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showInkAnnotation="0"/>
  <mc:AlternateContent xmlns:mc="http://schemas.openxmlformats.org/markup-compatibility/2006">
    <mc:Choice Requires="x15">
      <x15ac:absPath xmlns:x15ac="http://schemas.microsoft.com/office/spreadsheetml/2010/11/ac" url="C:\Users\PcAsusZenbookRafita\Desktop\REPO_RAFAEL_ANTEQUERA\TRABAJOS EN EXCEL\cotizadores aluminio y templado\"/>
    </mc:Choice>
  </mc:AlternateContent>
  <xr:revisionPtr revIDLastSave="0" documentId="13_ncr:1_{B26DFEF1-B45B-4DEA-9DAC-08E56B3B2AC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roforma" sheetId="16" r:id="rId1"/>
    <sheet name="Costo M.P.yMat." sheetId="9" r:id="rId2"/>
    <sheet name="Fachada tub.herr." sheetId="14" r:id="rId3"/>
    <sheet name="Pano Fijo" sheetId="12" r:id="rId4"/>
    <sheet name="P-V.Corrediza" sheetId="11" r:id="rId5"/>
    <sheet name="P.Batiente" sheetId="10" r:id="rId6"/>
    <sheet name="resumen" sheetId="3" r:id="rId7"/>
  </sheets>
  <definedNames>
    <definedName name="_xlnm.Print_Area" localSheetId="1">'Costo M.P.yMat.'!$A$3:$I$94</definedName>
    <definedName name="_xlnm.Print_Area" localSheetId="2">'Fachada tub.herr.'!$F$1:$G$48</definedName>
    <definedName name="_xlnm.Print_Area" localSheetId="5">P.Batiente!$L$1:$M$52</definedName>
    <definedName name="_xlnm.Print_Area" localSheetId="3">'Pano Fijo'!$F$1:$G$51</definedName>
    <definedName name="_xlnm.Print_Area" localSheetId="4">'P-V.Corrediza'!$G$1:$H$55</definedName>
    <definedName name="_xlnm.Print_Titles" localSheetId="2">'Fachada tub.herr.'!$A:$B</definedName>
    <definedName name="_xlnm.Print_Titles" localSheetId="5">P.Batiente!$A:$B</definedName>
    <definedName name="_xlnm.Print_Titles" localSheetId="3">'Pano Fijo'!$A:$B</definedName>
    <definedName name="_xlnm.Print_Titles" localSheetId="4">'P-V.Corrediza'!$A:$B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43" i="14" l="1"/>
  <c r="D44" i="14"/>
  <c r="D36" i="14"/>
  <c r="D37" i="14"/>
  <c r="D51" i="11"/>
  <c r="D52" i="11"/>
  <c r="D53" i="11"/>
  <c r="E47" i="11"/>
  <c r="E48" i="11"/>
  <c r="H96" i="9"/>
  <c r="I96" i="9"/>
  <c r="G96" i="9"/>
  <c r="C98" i="11"/>
  <c r="F96" i="9"/>
  <c r="C71" i="11"/>
  <c r="E43" i="11"/>
  <c r="D43" i="11"/>
  <c r="D98" i="11"/>
  <c r="E36" i="12"/>
  <c r="E35" i="12"/>
  <c r="E29" i="12"/>
  <c r="E28" i="12"/>
  <c r="E27" i="12"/>
  <c r="E26" i="12"/>
  <c r="D47" i="14"/>
  <c r="G194" i="9"/>
  <c r="C81" i="14"/>
  <c r="F194" i="9"/>
  <c r="C60" i="14"/>
  <c r="D31" i="14"/>
  <c r="H65" i="9"/>
  <c r="I65" i="9"/>
  <c r="H63" i="9"/>
  <c r="I63" i="9"/>
  <c r="I85" i="9"/>
  <c r="G85" i="9"/>
  <c r="C88" i="14"/>
  <c r="H85" i="9"/>
  <c r="F85" i="9"/>
  <c r="C67" i="14"/>
  <c r="M85" i="9"/>
  <c r="K85" i="9"/>
  <c r="G193" i="9"/>
  <c r="F193" i="9"/>
  <c r="G192" i="9"/>
  <c r="F192" i="9"/>
  <c r="I191" i="9"/>
  <c r="H191" i="9"/>
  <c r="G191" i="9"/>
  <c r="F191" i="9"/>
  <c r="L190" i="9"/>
  <c r="I190" i="9"/>
  <c r="H190" i="9"/>
  <c r="G190" i="9"/>
  <c r="F190" i="9"/>
  <c r="L189" i="9"/>
  <c r="I189" i="9"/>
  <c r="H189" i="9"/>
  <c r="G189" i="9"/>
  <c r="F189" i="9"/>
  <c r="L188" i="9"/>
  <c r="I188" i="9"/>
  <c r="H188" i="9"/>
  <c r="G188" i="9"/>
  <c r="F188" i="9"/>
  <c r="L187" i="9"/>
  <c r="I187" i="9"/>
  <c r="H187" i="9"/>
  <c r="G187" i="9"/>
  <c r="F187" i="9"/>
  <c r="I185" i="9"/>
  <c r="I100" i="9"/>
  <c r="I186" i="9"/>
  <c r="H185" i="9"/>
  <c r="H100" i="9"/>
  <c r="H186" i="9"/>
  <c r="G185" i="9"/>
  <c r="G100" i="9"/>
  <c r="G186" i="9"/>
  <c r="F185" i="9"/>
  <c r="F100" i="9"/>
  <c r="F186" i="9"/>
  <c r="I184" i="9"/>
  <c r="H184" i="9"/>
  <c r="G184" i="9"/>
  <c r="F184" i="9"/>
  <c r="I183" i="9"/>
  <c r="G183" i="9"/>
  <c r="H183" i="9"/>
  <c r="F183" i="9"/>
  <c r="K183" i="9"/>
  <c r="I182" i="9"/>
  <c r="G182" i="9"/>
  <c r="H182" i="9"/>
  <c r="F182" i="9"/>
  <c r="K182" i="9"/>
  <c r="H24" i="9"/>
  <c r="F24" i="9"/>
  <c r="C54" i="12"/>
  <c r="H26" i="12"/>
  <c r="H54" i="12"/>
  <c r="H29" i="9"/>
  <c r="F29" i="9"/>
  <c r="C55" i="12"/>
  <c r="H27" i="12"/>
  <c r="H55" i="12"/>
  <c r="H25" i="9"/>
  <c r="F25" i="9"/>
  <c r="C56" i="12"/>
  <c r="H28" i="12"/>
  <c r="H56" i="12"/>
  <c r="H30" i="9"/>
  <c r="F30" i="9"/>
  <c r="C57" i="12"/>
  <c r="H29" i="12"/>
  <c r="H57" i="12"/>
  <c r="F82" i="9"/>
  <c r="C58" i="12"/>
  <c r="H13" i="12"/>
  <c r="H30" i="12"/>
  <c r="H58" i="12"/>
  <c r="F7" i="9"/>
  <c r="C59" i="12"/>
  <c r="H31" i="12"/>
  <c r="H59" i="12"/>
  <c r="F9" i="9"/>
  <c r="C60" i="12"/>
  <c r="H32" i="12"/>
  <c r="H60" i="12"/>
  <c r="C61" i="12"/>
  <c r="H33" i="12"/>
  <c r="H61" i="12"/>
  <c r="F167" i="9"/>
  <c r="C62" i="12"/>
  <c r="H34" i="12"/>
  <c r="H62" i="12"/>
  <c r="F19" i="9"/>
  <c r="C63" i="12"/>
  <c r="H35" i="12"/>
  <c r="H63" i="12"/>
  <c r="F20" i="9"/>
  <c r="C64" i="12"/>
  <c r="H36" i="12"/>
  <c r="H64" i="12"/>
  <c r="N38" i="9"/>
  <c r="H38" i="9"/>
  <c r="F38" i="9"/>
  <c r="C65" i="12"/>
  <c r="H65" i="12"/>
  <c r="N37" i="9"/>
  <c r="H37" i="9"/>
  <c r="F37" i="9"/>
  <c r="C66" i="12"/>
  <c r="H66" i="12"/>
  <c r="C67" i="12"/>
  <c r="H67" i="12"/>
  <c r="C68" i="12"/>
  <c r="H68" i="12"/>
  <c r="C69" i="12"/>
  <c r="H69" i="12"/>
  <c r="C70" i="12"/>
  <c r="H70" i="12"/>
  <c r="H71" i="9"/>
  <c r="F71" i="9"/>
  <c r="C71" i="12"/>
  <c r="H71" i="12"/>
  <c r="H72" i="9"/>
  <c r="F72" i="9"/>
  <c r="C72" i="12"/>
  <c r="H72" i="12"/>
  <c r="H73" i="9"/>
  <c r="F73" i="9"/>
  <c r="C73" i="12"/>
  <c r="H73" i="12"/>
  <c r="H57" i="9"/>
  <c r="F57" i="9"/>
  <c r="C74" i="12"/>
  <c r="H74" i="12"/>
  <c r="H77" i="9"/>
  <c r="F77" i="9"/>
  <c r="C75" i="12"/>
  <c r="H75" i="12"/>
  <c r="H68" i="9"/>
  <c r="F68" i="9"/>
  <c r="C76" i="12"/>
  <c r="H76" i="12"/>
  <c r="H49" i="9"/>
  <c r="F49" i="9"/>
  <c r="C77" i="12"/>
  <c r="H77" i="12"/>
  <c r="H53" i="12"/>
  <c r="H12" i="12"/>
  <c r="I26" i="12"/>
  <c r="I54" i="12"/>
  <c r="I27" i="12"/>
  <c r="I55" i="12"/>
  <c r="I28" i="12"/>
  <c r="I56" i="12"/>
  <c r="I29" i="12"/>
  <c r="I57" i="12"/>
  <c r="I13" i="12"/>
  <c r="I30" i="12"/>
  <c r="I58" i="12"/>
  <c r="I31" i="12"/>
  <c r="I59" i="12"/>
  <c r="I32" i="12"/>
  <c r="I60" i="12"/>
  <c r="I33" i="12"/>
  <c r="I61" i="12"/>
  <c r="I34" i="12"/>
  <c r="I62" i="12"/>
  <c r="I35" i="12"/>
  <c r="I63" i="12"/>
  <c r="I36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53" i="12"/>
  <c r="I12" i="12"/>
  <c r="J26" i="12"/>
  <c r="J54" i="12"/>
  <c r="J27" i="12"/>
  <c r="J55" i="12"/>
  <c r="J28" i="12"/>
  <c r="J56" i="12"/>
  <c r="J29" i="12"/>
  <c r="J57" i="12"/>
  <c r="J13" i="12"/>
  <c r="J30" i="12"/>
  <c r="J58" i="12"/>
  <c r="J31" i="12"/>
  <c r="J59" i="12"/>
  <c r="J32" i="12"/>
  <c r="J60" i="12"/>
  <c r="J33" i="12"/>
  <c r="J61" i="12"/>
  <c r="J34" i="12"/>
  <c r="J62" i="12"/>
  <c r="J35" i="12"/>
  <c r="J63" i="12"/>
  <c r="J36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53" i="12"/>
  <c r="J12" i="12"/>
  <c r="K26" i="12"/>
  <c r="K54" i="12"/>
  <c r="K27" i="12"/>
  <c r="K55" i="12"/>
  <c r="K28" i="12"/>
  <c r="K56" i="12"/>
  <c r="K29" i="12"/>
  <c r="K57" i="12"/>
  <c r="K13" i="12"/>
  <c r="K30" i="12"/>
  <c r="K58" i="12"/>
  <c r="K31" i="12"/>
  <c r="K59" i="12"/>
  <c r="K32" i="12"/>
  <c r="K60" i="12"/>
  <c r="K33" i="12"/>
  <c r="K61" i="12"/>
  <c r="K34" i="12"/>
  <c r="K62" i="12"/>
  <c r="K35" i="12"/>
  <c r="K63" i="12"/>
  <c r="K36" i="12"/>
  <c r="K64" i="12"/>
  <c r="K65" i="12"/>
  <c r="K66" i="12"/>
  <c r="K67" i="12"/>
  <c r="K68" i="12"/>
  <c r="K69" i="12"/>
  <c r="K70" i="12"/>
  <c r="K71" i="12"/>
  <c r="K72" i="12"/>
  <c r="K73" i="12"/>
  <c r="K74" i="12"/>
  <c r="K75" i="12"/>
  <c r="K76" i="12"/>
  <c r="K77" i="12"/>
  <c r="K53" i="12"/>
  <c r="K12" i="12"/>
  <c r="F12" i="12"/>
  <c r="F1" i="12"/>
  <c r="I49" i="9"/>
  <c r="G49" i="9"/>
  <c r="C104" i="12"/>
  <c r="I68" i="9"/>
  <c r="G68" i="9"/>
  <c r="C103" i="12"/>
  <c r="I77" i="9"/>
  <c r="G77" i="9"/>
  <c r="C102" i="12"/>
  <c r="I57" i="9"/>
  <c r="G57" i="9"/>
  <c r="C101" i="12"/>
  <c r="I73" i="9"/>
  <c r="G73" i="9"/>
  <c r="C100" i="12"/>
  <c r="I72" i="9"/>
  <c r="G72" i="9"/>
  <c r="C99" i="12"/>
  <c r="I71" i="9"/>
  <c r="G71" i="9"/>
  <c r="C98" i="12"/>
  <c r="C97" i="12"/>
  <c r="C96" i="12"/>
  <c r="C95" i="12"/>
  <c r="C94" i="12"/>
  <c r="I37" i="9"/>
  <c r="G37" i="9"/>
  <c r="C93" i="12"/>
  <c r="I38" i="9"/>
  <c r="G38" i="9"/>
  <c r="C92" i="12"/>
  <c r="G20" i="9"/>
  <c r="C91" i="12"/>
  <c r="G19" i="9"/>
  <c r="C90" i="12"/>
  <c r="G167" i="9"/>
  <c r="C89" i="12"/>
  <c r="C88" i="12"/>
  <c r="G9" i="9"/>
  <c r="C87" i="12"/>
  <c r="G7" i="9"/>
  <c r="C86" i="12"/>
  <c r="G82" i="9"/>
  <c r="C85" i="12"/>
  <c r="I30" i="9"/>
  <c r="G30" i="9"/>
  <c r="C84" i="12"/>
  <c r="I25" i="9"/>
  <c r="G25" i="9"/>
  <c r="C83" i="12"/>
  <c r="I29" i="9"/>
  <c r="G29" i="9"/>
  <c r="C82" i="12"/>
  <c r="I24" i="9"/>
  <c r="G24" i="9"/>
  <c r="C81" i="12"/>
  <c r="C108" i="11"/>
  <c r="C107" i="11"/>
  <c r="C106" i="11"/>
  <c r="C105" i="11"/>
  <c r="C104" i="11"/>
  <c r="C103" i="11"/>
  <c r="C102" i="11"/>
  <c r="C97" i="11"/>
  <c r="C96" i="11"/>
  <c r="C95" i="11"/>
  <c r="C94" i="11"/>
  <c r="G17" i="9"/>
  <c r="C93" i="11"/>
  <c r="C92" i="11"/>
  <c r="C91" i="11"/>
  <c r="C90" i="11"/>
  <c r="C89" i="11"/>
  <c r="C88" i="11"/>
  <c r="C87" i="11"/>
  <c r="C86" i="11"/>
  <c r="C85" i="11"/>
  <c r="C81" i="11"/>
  <c r="C80" i="11"/>
  <c r="C79" i="11"/>
  <c r="C78" i="11"/>
  <c r="C77" i="11"/>
  <c r="C76" i="11"/>
  <c r="C75" i="11"/>
  <c r="N36" i="9"/>
  <c r="H36" i="9"/>
  <c r="F36" i="9"/>
  <c r="C70" i="11"/>
  <c r="C69" i="11"/>
  <c r="C68" i="11"/>
  <c r="C67" i="11"/>
  <c r="F17" i="9"/>
  <c r="C66" i="11"/>
  <c r="N11" i="9"/>
  <c r="H11" i="9"/>
  <c r="F11" i="9"/>
  <c r="C65" i="11"/>
  <c r="C64" i="11"/>
  <c r="C63" i="11"/>
  <c r="C62" i="11"/>
  <c r="C61" i="11"/>
  <c r="C60" i="11"/>
  <c r="C59" i="11"/>
  <c r="C58" i="11"/>
  <c r="L53" i="11"/>
  <c r="L108" i="11"/>
  <c r="L52" i="11"/>
  <c r="L107" i="11"/>
  <c r="L51" i="11"/>
  <c r="L106" i="11"/>
  <c r="L50" i="11"/>
  <c r="L105" i="11"/>
  <c r="L104" i="11"/>
  <c r="L48" i="11"/>
  <c r="L103" i="11"/>
  <c r="L47" i="11"/>
  <c r="L102" i="11"/>
  <c r="L101" i="11"/>
  <c r="L100" i="11"/>
  <c r="L99" i="11"/>
  <c r="L43" i="11"/>
  <c r="L98" i="11"/>
  <c r="L42" i="11"/>
  <c r="L97" i="11"/>
  <c r="L41" i="11"/>
  <c r="L96" i="11"/>
  <c r="L40" i="11"/>
  <c r="L95" i="11"/>
  <c r="L39" i="11"/>
  <c r="L94" i="11"/>
  <c r="L38" i="11"/>
  <c r="L93" i="11"/>
  <c r="L37" i="11"/>
  <c r="L92" i="11"/>
  <c r="L35" i="11"/>
  <c r="L36" i="11"/>
  <c r="L91" i="11"/>
  <c r="L90" i="11"/>
  <c r="L12" i="11"/>
  <c r="L34" i="11"/>
  <c r="L89" i="11"/>
  <c r="L33" i="11"/>
  <c r="L88" i="11"/>
  <c r="L32" i="11"/>
  <c r="L87" i="11"/>
  <c r="L31" i="11"/>
  <c r="L86" i="11"/>
  <c r="L30" i="11"/>
  <c r="L85" i="11"/>
  <c r="L84" i="11"/>
  <c r="L81" i="11"/>
  <c r="L80" i="11"/>
  <c r="L79" i="11"/>
  <c r="L78" i="11"/>
  <c r="L77" i="11"/>
  <c r="L76" i="11"/>
  <c r="L75" i="11"/>
  <c r="L71" i="11"/>
  <c r="L70" i="11"/>
  <c r="L69" i="11"/>
  <c r="L68" i="11"/>
  <c r="L67" i="11"/>
  <c r="L66" i="11"/>
  <c r="L65" i="11"/>
  <c r="L64" i="11"/>
  <c r="L63" i="11"/>
  <c r="L62" i="11"/>
  <c r="L61" i="11"/>
  <c r="L60" i="11"/>
  <c r="L59" i="11"/>
  <c r="L58" i="11"/>
  <c r="L57" i="11"/>
  <c r="L29" i="11"/>
  <c r="L11" i="11"/>
  <c r="L14" i="11"/>
  <c r="L26" i="11"/>
  <c r="L21" i="11"/>
  <c r="L22" i="11"/>
  <c r="L23" i="11"/>
  <c r="L16" i="11"/>
  <c r="L24" i="11"/>
  <c r="L25" i="11"/>
  <c r="L17" i="11"/>
  <c r="L18" i="11"/>
  <c r="L19" i="11"/>
  <c r="L20" i="11"/>
  <c r="L15" i="11"/>
  <c r="L13" i="11"/>
  <c r="L4" i="11"/>
  <c r="L3" i="11"/>
  <c r="K53" i="11"/>
  <c r="K108" i="11"/>
  <c r="K52" i="11"/>
  <c r="K107" i="11"/>
  <c r="K51" i="11"/>
  <c r="K106" i="11"/>
  <c r="K50" i="11"/>
  <c r="K105" i="11"/>
  <c r="K104" i="11"/>
  <c r="K48" i="11"/>
  <c r="K103" i="11"/>
  <c r="K47" i="11"/>
  <c r="K102" i="11"/>
  <c r="K101" i="11"/>
  <c r="K100" i="11"/>
  <c r="K99" i="11"/>
  <c r="K43" i="11"/>
  <c r="K98" i="11"/>
  <c r="K42" i="11"/>
  <c r="K97" i="11"/>
  <c r="K41" i="11"/>
  <c r="K96" i="11"/>
  <c r="K40" i="11"/>
  <c r="K95" i="11"/>
  <c r="K39" i="11"/>
  <c r="K94" i="11"/>
  <c r="K38" i="11"/>
  <c r="K93" i="11"/>
  <c r="K37" i="11"/>
  <c r="K92" i="11"/>
  <c r="K35" i="11"/>
  <c r="K36" i="11"/>
  <c r="K91" i="11"/>
  <c r="K90" i="11"/>
  <c r="K12" i="11"/>
  <c r="K34" i="11"/>
  <c r="K89" i="11"/>
  <c r="K33" i="11"/>
  <c r="K88" i="11"/>
  <c r="K32" i="11"/>
  <c r="K87" i="11"/>
  <c r="K31" i="11"/>
  <c r="K86" i="11"/>
  <c r="K30" i="11"/>
  <c r="K85" i="11"/>
  <c r="K84" i="11"/>
  <c r="K81" i="11"/>
  <c r="K80" i="11"/>
  <c r="K79" i="11"/>
  <c r="K78" i="11"/>
  <c r="K77" i="11"/>
  <c r="K76" i="11"/>
  <c r="K75" i="11"/>
  <c r="K71" i="11"/>
  <c r="K70" i="11"/>
  <c r="K69" i="11"/>
  <c r="K68" i="11"/>
  <c r="K67" i="11"/>
  <c r="K66" i="11"/>
  <c r="K65" i="11"/>
  <c r="K64" i="11"/>
  <c r="K63" i="11"/>
  <c r="K62" i="11"/>
  <c r="K61" i="11"/>
  <c r="K60" i="11"/>
  <c r="K59" i="11"/>
  <c r="K58" i="11"/>
  <c r="K57" i="11"/>
  <c r="K29" i="11"/>
  <c r="K11" i="11"/>
  <c r="K14" i="11"/>
  <c r="K26" i="11"/>
  <c r="K21" i="11"/>
  <c r="K22" i="11"/>
  <c r="K23" i="11"/>
  <c r="K16" i="11"/>
  <c r="K24" i="11"/>
  <c r="K25" i="11"/>
  <c r="K17" i="11"/>
  <c r="K18" i="11"/>
  <c r="K19" i="11"/>
  <c r="K20" i="11"/>
  <c r="K15" i="11"/>
  <c r="K13" i="11"/>
  <c r="K4" i="11"/>
  <c r="K3" i="11"/>
  <c r="J53" i="11"/>
  <c r="J108" i="11"/>
  <c r="J52" i="11"/>
  <c r="J107" i="11"/>
  <c r="J51" i="11"/>
  <c r="J106" i="11"/>
  <c r="J50" i="11"/>
  <c r="J105" i="11"/>
  <c r="J49" i="11"/>
  <c r="J104" i="11"/>
  <c r="J103" i="11"/>
  <c r="J47" i="11"/>
  <c r="J102" i="11"/>
  <c r="J101" i="11"/>
  <c r="J100" i="11"/>
  <c r="J99" i="11"/>
  <c r="J43" i="11"/>
  <c r="J98" i="11"/>
  <c r="J97" i="11"/>
  <c r="J41" i="11"/>
  <c r="J96" i="11"/>
  <c r="J40" i="11"/>
  <c r="J95" i="11"/>
  <c r="J39" i="11"/>
  <c r="J94" i="11"/>
  <c r="J38" i="11"/>
  <c r="J93" i="11"/>
  <c r="J37" i="11"/>
  <c r="J92" i="11"/>
  <c r="J35" i="11"/>
  <c r="J36" i="11"/>
  <c r="J91" i="11"/>
  <c r="J90" i="11"/>
  <c r="J12" i="11"/>
  <c r="J34" i="11"/>
  <c r="J89" i="11"/>
  <c r="J33" i="11"/>
  <c r="J88" i="11"/>
  <c r="J32" i="11"/>
  <c r="J87" i="11"/>
  <c r="J31" i="11"/>
  <c r="J86" i="11"/>
  <c r="J30" i="11"/>
  <c r="J85" i="11"/>
  <c r="J84" i="11"/>
  <c r="J81" i="11"/>
  <c r="J80" i="11"/>
  <c r="J79" i="11"/>
  <c r="J78" i="11"/>
  <c r="J77" i="11"/>
  <c r="J76" i="11"/>
  <c r="J75" i="11"/>
  <c r="J71" i="11"/>
  <c r="J70" i="11"/>
  <c r="J69" i="11"/>
  <c r="J68" i="11"/>
  <c r="J67" i="11"/>
  <c r="J66" i="11"/>
  <c r="J65" i="11"/>
  <c r="J64" i="11"/>
  <c r="J63" i="11"/>
  <c r="J62" i="11"/>
  <c r="J61" i="11"/>
  <c r="J60" i="11"/>
  <c r="J59" i="11"/>
  <c r="J58" i="11"/>
  <c r="J57" i="11"/>
  <c r="J29" i="11"/>
  <c r="J11" i="11"/>
  <c r="J14" i="11"/>
  <c r="J26" i="11"/>
  <c r="J16" i="11"/>
  <c r="J21" i="11"/>
  <c r="J17" i="11"/>
  <c r="J22" i="11"/>
  <c r="J18" i="11"/>
  <c r="J23" i="11"/>
  <c r="J19" i="11"/>
  <c r="J24" i="11"/>
  <c r="J25" i="11"/>
  <c r="J20" i="11"/>
  <c r="J15" i="11"/>
  <c r="J13" i="11"/>
  <c r="J4" i="11"/>
  <c r="J3" i="11"/>
  <c r="K104" i="12"/>
  <c r="K103" i="12"/>
  <c r="K102" i="12"/>
  <c r="K101" i="12"/>
  <c r="K100" i="12"/>
  <c r="K99" i="12"/>
  <c r="K98" i="12"/>
  <c r="K97" i="12"/>
  <c r="K96" i="12"/>
  <c r="K95" i="12"/>
  <c r="K94" i="12"/>
  <c r="K93" i="12"/>
  <c r="K92" i="12"/>
  <c r="K91" i="12"/>
  <c r="K90" i="12"/>
  <c r="K89" i="12"/>
  <c r="K88" i="12"/>
  <c r="K87" i="12"/>
  <c r="K86" i="12"/>
  <c r="K85" i="12"/>
  <c r="K84" i="12"/>
  <c r="K83" i="12"/>
  <c r="K82" i="12"/>
  <c r="K81" i="12"/>
  <c r="K80" i="12"/>
  <c r="K25" i="12"/>
  <c r="K15" i="12"/>
  <c r="K22" i="12"/>
  <c r="K17" i="12"/>
  <c r="K18" i="12"/>
  <c r="K19" i="12"/>
  <c r="K20" i="12"/>
  <c r="K21" i="12"/>
  <c r="K16" i="12"/>
  <c r="K14" i="12"/>
  <c r="K4" i="12"/>
  <c r="K3" i="12"/>
  <c r="J104" i="12"/>
  <c r="J103" i="12"/>
  <c r="J102" i="12"/>
  <c r="J101" i="12"/>
  <c r="J100" i="12"/>
  <c r="J99" i="12"/>
  <c r="J98" i="12"/>
  <c r="J97" i="12"/>
  <c r="J96" i="12"/>
  <c r="J95" i="12"/>
  <c r="J94" i="12"/>
  <c r="J93" i="12"/>
  <c r="J92" i="12"/>
  <c r="J91" i="12"/>
  <c r="J90" i="12"/>
  <c r="J89" i="12"/>
  <c r="J88" i="12"/>
  <c r="J87" i="12"/>
  <c r="J86" i="12"/>
  <c r="J85" i="12"/>
  <c r="J84" i="12"/>
  <c r="J83" i="12"/>
  <c r="J82" i="12"/>
  <c r="J81" i="12"/>
  <c r="J80" i="12"/>
  <c r="J25" i="12"/>
  <c r="J15" i="12"/>
  <c r="J22" i="12"/>
  <c r="J17" i="12"/>
  <c r="J18" i="12"/>
  <c r="J19" i="12"/>
  <c r="J20" i="12"/>
  <c r="J21" i="12"/>
  <c r="J16" i="12"/>
  <c r="J14" i="12"/>
  <c r="J4" i="12"/>
  <c r="J3" i="12"/>
  <c r="I104" i="12"/>
  <c r="I103" i="12"/>
  <c r="I102" i="12"/>
  <c r="I101" i="12"/>
  <c r="I100" i="12"/>
  <c r="I99" i="12"/>
  <c r="I98" i="12"/>
  <c r="I97" i="12"/>
  <c r="I96" i="12"/>
  <c r="I95" i="12"/>
  <c r="I94" i="12"/>
  <c r="I93" i="12"/>
  <c r="I92" i="12"/>
  <c r="I91" i="12"/>
  <c r="I90" i="12"/>
  <c r="I89" i="12"/>
  <c r="I88" i="12"/>
  <c r="I87" i="12"/>
  <c r="I86" i="12"/>
  <c r="I85" i="12"/>
  <c r="I84" i="12"/>
  <c r="I83" i="12"/>
  <c r="I82" i="12"/>
  <c r="I81" i="12"/>
  <c r="I80" i="12"/>
  <c r="I25" i="12"/>
  <c r="I15" i="12"/>
  <c r="I22" i="12"/>
  <c r="I17" i="12"/>
  <c r="I18" i="12"/>
  <c r="I19" i="12"/>
  <c r="I20" i="12"/>
  <c r="I21" i="12"/>
  <c r="I16" i="12"/>
  <c r="I14" i="12"/>
  <c r="I4" i="12"/>
  <c r="I3" i="12"/>
  <c r="H104" i="12"/>
  <c r="H103" i="12"/>
  <c r="H102" i="12"/>
  <c r="H101" i="12"/>
  <c r="H100" i="12"/>
  <c r="H99" i="12"/>
  <c r="H98" i="12"/>
  <c r="H97" i="12"/>
  <c r="H96" i="12"/>
  <c r="H95" i="12"/>
  <c r="H94" i="12"/>
  <c r="H93" i="12"/>
  <c r="H92" i="12"/>
  <c r="H91" i="12"/>
  <c r="H90" i="12"/>
  <c r="H89" i="12"/>
  <c r="H88" i="12"/>
  <c r="H87" i="12"/>
  <c r="H86" i="12"/>
  <c r="H85" i="12"/>
  <c r="H84" i="12"/>
  <c r="H83" i="12"/>
  <c r="H82" i="12"/>
  <c r="H81" i="12"/>
  <c r="H80" i="12"/>
  <c r="H25" i="12"/>
  <c r="H15" i="12"/>
  <c r="H22" i="12"/>
  <c r="H17" i="12"/>
  <c r="H18" i="12"/>
  <c r="H19" i="12"/>
  <c r="H20" i="12"/>
  <c r="H21" i="12"/>
  <c r="H16" i="12"/>
  <c r="H14" i="12"/>
  <c r="H4" i="12"/>
  <c r="H3" i="12"/>
  <c r="H67" i="9"/>
  <c r="I67" i="9"/>
  <c r="G67" i="9"/>
  <c r="C113" i="10"/>
  <c r="T113" i="10"/>
  <c r="H62" i="9"/>
  <c r="I62" i="9"/>
  <c r="G62" i="9"/>
  <c r="C112" i="10"/>
  <c r="T112" i="10"/>
  <c r="H64" i="9"/>
  <c r="I64" i="9"/>
  <c r="G64" i="9"/>
  <c r="C111" i="10"/>
  <c r="T111" i="10"/>
  <c r="H60" i="9"/>
  <c r="I60" i="9"/>
  <c r="G60" i="9"/>
  <c r="C110" i="10"/>
  <c r="T110" i="10"/>
  <c r="H59" i="9"/>
  <c r="I59" i="9"/>
  <c r="G59" i="9"/>
  <c r="C109" i="10"/>
  <c r="T109" i="10"/>
  <c r="H69" i="9"/>
  <c r="I69" i="9"/>
  <c r="G69" i="9"/>
  <c r="C108" i="10"/>
  <c r="T108" i="10"/>
  <c r="C107" i="10"/>
  <c r="T107" i="10"/>
  <c r="H58" i="9"/>
  <c r="I58" i="9"/>
  <c r="G58" i="9"/>
  <c r="C106" i="10"/>
  <c r="T106" i="10"/>
  <c r="T43" i="10"/>
  <c r="H47" i="9"/>
  <c r="I47" i="9"/>
  <c r="G47" i="9"/>
  <c r="C105" i="10"/>
  <c r="T105" i="10"/>
  <c r="T42" i="10"/>
  <c r="H48" i="9"/>
  <c r="I48" i="9"/>
  <c r="G48" i="9"/>
  <c r="C104" i="10"/>
  <c r="T104" i="10"/>
  <c r="T41" i="10"/>
  <c r="H76" i="9"/>
  <c r="I76" i="9"/>
  <c r="G76" i="9"/>
  <c r="C103" i="10"/>
  <c r="T103" i="10"/>
  <c r="T40" i="10"/>
  <c r="H74" i="9"/>
  <c r="I74" i="9"/>
  <c r="G74" i="9"/>
  <c r="C102" i="10"/>
  <c r="T102" i="10"/>
  <c r="T39" i="10"/>
  <c r="H79" i="9"/>
  <c r="I79" i="9"/>
  <c r="G79" i="9"/>
  <c r="C101" i="10"/>
  <c r="T101" i="10"/>
  <c r="T38" i="10"/>
  <c r="H50" i="9"/>
  <c r="I50" i="9"/>
  <c r="G50" i="9"/>
  <c r="C100" i="10"/>
  <c r="T100" i="10"/>
  <c r="T37" i="10"/>
  <c r="H51" i="9"/>
  <c r="I51" i="9"/>
  <c r="G51" i="9"/>
  <c r="C99" i="10"/>
  <c r="T99" i="10"/>
  <c r="C98" i="10"/>
  <c r="T98" i="10"/>
  <c r="T35" i="10"/>
  <c r="G45" i="9"/>
  <c r="C97" i="10"/>
  <c r="T97" i="10"/>
  <c r="T34" i="10"/>
  <c r="G44" i="9"/>
  <c r="C96" i="10"/>
  <c r="T96" i="10"/>
  <c r="T33" i="10"/>
  <c r="C95" i="10"/>
  <c r="T95" i="10"/>
  <c r="T32" i="10"/>
  <c r="C94" i="10"/>
  <c r="T94" i="10"/>
  <c r="T31" i="10"/>
  <c r="C93" i="10"/>
  <c r="T93" i="10"/>
  <c r="T30" i="10"/>
  <c r="C92" i="10"/>
  <c r="T92" i="10"/>
  <c r="T29" i="10"/>
  <c r="N10" i="9"/>
  <c r="H10" i="9"/>
  <c r="I10" i="9"/>
  <c r="G10" i="9"/>
  <c r="C91" i="10"/>
  <c r="T91" i="10"/>
  <c r="T28" i="10"/>
  <c r="C90" i="10"/>
  <c r="T90" i="10"/>
  <c r="T27" i="10"/>
  <c r="C89" i="10"/>
  <c r="T89" i="10"/>
  <c r="T11" i="10"/>
  <c r="T26" i="10"/>
  <c r="C88" i="10"/>
  <c r="T88" i="10"/>
  <c r="T25" i="10"/>
  <c r="C87" i="10"/>
  <c r="T87" i="10"/>
  <c r="T24" i="10"/>
  <c r="C86" i="10"/>
  <c r="T86" i="10"/>
  <c r="T85" i="10"/>
  <c r="F67" i="9"/>
  <c r="C82" i="10"/>
  <c r="T82" i="10"/>
  <c r="F62" i="9"/>
  <c r="C81" i="10"/>
  <c r="T81" i="10"/>
  <c r="F64" i="9"/>
  <c r="C80" i="10"/>
  <c r="T80" i="10"/>
  <c r="F60" i="9"/>
  <c r="C79" i="10"/>
  <c r="T79" i="10"/>
  <c r="F59" i="9"/>
  <c r="C78" i="10"/>
  <c r="T78" i="10"/>
  <c r="F69" i="9"/>
  <c r="C77" i="10"/>
  <c r="T77" i="10"/>
  <c r="C76" i="10"/>
  <c r="T76" i="10"/>
  <c r="F58" i="9"/>
  <c r="C75" i="10"/>
  <c r="T75" i="10"/>
  <c r="F47" i="9"/>
  <c r="C74" i="10"/>
  <c r="T74" i="10"/>
  <c r="F48" i="9"/>
  <c r="C73" i="10"/>
  <c r="T73" i="10"/>
  <c r="F76" i="9"/>
  <c r="C72" i="10"/>
  <c r="T72" i="10"/>
  <c r="F74" i="9"/>
  <c r="C71" i="10"/>
  <c r="T71" i="10"/>
  <c r="F79" i="9"/>
  <c r="C70" i="10"/>
  <c r="T70" i="10"/>
  <c r="F50" i="9"/>
  <c r="C69" i="10"/>
  <c r="T69" i="10"/>
  <c r="F51" i="9"/>
  <c r="C68" i="10"/>
  <c r="T68" i="10"/>
  <c r="C67" i="10"/>
  <c r="T67" i="10"/>
  <c r="F45" i="9"/>
  <c r="C66" i="10"/>
  <c r="T66" i="10"/>
  <c r="F44" i="9"/>
  <c r="C65" i="10"/>
  <c r="T65" i="10"/>
  <c r="C64" i="10"/>
  <c r="T64" i="10"/>
  <c r="C63" i="10"/>
  <c r="T63" i="10"/>
  <c r="C62" i="10"/>
  <c r="T62" i="10"/>
  <c r="C61" i="10"/>
  <c r="T61" i="10"/>
  <c r="F10" i="9"/>
  <c r="C60" i="10"/>
  <c r="T60" i="10"/>
  <c r="C59" i="10"/>
  <c r="T59" i="10"/>
  <c r="C58" i="10"/>
  <c r="T58" i="10"/>
  <c r="C57" i="10"/>
  <c r="T57" i="10"/>
  <c r="C56" i="10"/>
  <c r="T56" i="10"/>
  <c r="C55" i="10"/>
  <c r="T55" i="10"/>
  <c r="T54" i="10"/>
  <c r="T10" i="10"/>
  <c r="T13" i="10"/>
  <c r="T20" i="10"/>
  <c r="T15" i="10"/>
  <c r="T16" i="10"/>
  <c r="T17" i="10"/>
  <c r="T18" i="10"/>
  <c r="T19" i="10"/>
  <c r="T14" i="10"/>
  <c r="T12" i="10"/>
  <c r="T4" i="10"/>
  <c r="S113" i="10"/>
  <c r="S112" i="10"/>
  <c r="S111" i="10"/>
  <c r="S110" i="10"/>
  <c r="S109" i="10"/>
  <c r="S108" i="10"/>
  <c r="S107" i="10"/>
  <c r="S106" i="10"/>
  <c r="S43" i="10"/>
  <c r="S105" i="10"/>
  <c r="S42" i="10"/>
  <c r="S104" i="10"/>
  <c r="S41" i="10"/>
  <c r="S103" i="10"/>
  <c r="S40" i="10"/>
  <c r="S102" i="10"/>
  <c r="S39" i="10"/>
  <c r="S101" i="10"/>
  <c r="S38" i="10"/>
  <c r="S100" i="10"/>
  <c r="S37" i="10"/>
  <c r="S99" i="10"/>
  <c r="S98" i="10"/>
  <c r="S35" i="10"/>
  <c r="S97" i="10"/>
  <c r="S34" i="10"/>
  <c r="S96" i="10"/>
  <c r="S33" i="10"/>
  <c r="S95" i="10"/>
  <c r="S32" i="10"/>
  <c r="S94" i="10"/>
  <c r="S31" i="10"/>
  <c r="S93" i="10"/>
  <c r="S30" i="10"/>
  <c r="S92" i="10"/>
  <c r="S29" i="10"/>
  <c r="S91" i="10"/>
  <c r="S28" i="10"/>
  <c r="S90" i="10"/>
  <c r="S27" i="10"/>
  <c r="S89" i="10"/>
  <c r="S11" i="10"/>
  <c r="S26" i="10"/>
  <c r="S88" i="10"/>
  <c r="S25" i="10"/>
  <c r="S87" i="10"/>
  <c r="S24" i="10"/>
  <c r="S86" i="10"/>
  <c r="S85" i="10"/>
  <c r="S82" i="10"/>
  <c r="S81" i="10"/>
  <c r="S80" i="10"/>
  <c r="S79" i="10"/>
  <c r="S78" i="10"/>
  <c r="S77" i="10"/>
  <c r="S76" i="10"/>
  <c r="S75" i="10"/>
  <c r="S74" i="10"/>
  <c r="S73" i="10"/>
  <c r="S72" i="10"/>
  <c r="S71" i="10"/>
  <c r="S70" i="10"/>
  <c r="S69" i="10"/>
  <c r="S68" i="10"/>
  <c r="S67" i="10"/>
  <c r="S66" i="10"/>
  <c r="S65" i="10"/>
  <c r="S64" i="10"/>
  <c r="S63" i="10"/>
  <c r="S62" i="10"/>
  <c r="S61" i="10"/>
  <c r="S60" i="10"/>
  <c r="S59" i="10"/>
  <c r="S58" i="10"/>
  <c r="S57" i="10"/>
  <c r="S56" i="10"/>
  <c r="S55" i="10"/>
  <c r="S54" i="10"/>
  <c r="S10" i="10"/>
  <c r="S13" i="10"/>
  <c r="S20" i="10"/>
  <c r="S15" i="10"/>
  <c r="S16" i="10"/>
  <c r="S17" i="10"/>
  <c r="S18" i="10"/>
  <c r="S19" i="10"/>
  <c r="S14" i="10"/>
  <c r="S12" i="10"/>
  <c r="S4" i="10"/>
  <c r="R113" i="10"/>
  <c r="R112" i="10"/>
  <c r="R111" i="10"/>
  <c r="R110" i="10"/>
  <c r="R109" i="10"/>
  <c r="R108" i="10"/>
  <c r="R107" i="10"/>
  <c r="R106" i="10"/>
  <c r="R43" i="10"/>
  <c r="R105" i="10"/>
  <c r="R42" i="10"/>
  <c r="R104" i="10"/>
  <c r="R41" i="10"/>
  <c r="R103" i="10"/>
  <c r="R40" i="10"/>
  <c r="R102" i="10"/>
  <c r="R39" i="10"/>
  <c r="R101" i="10"/>
  <c r="R38" i="10"/>
  <c r="R100" i="10"/>
  <c r="R37" i="10"/>
  <c r="R99" i="10"/>
  <c r="R98" i="10"/>
  <c r="R35" i="10"/>
  <c r="R97" i="10"/>
  <c r="R34" i="10"/>
  <c r="R96" i="10"/>
  <c r="R33" i="10"/>
  <c r="R95" i="10"/>
  <c r="R32" i="10"/>
  <c r="R94" i="10"/>
  <c r="R31" i="10"/>
  <c r="R93" i="10"/>
  <c r="R30" i="10"/>
  <c r="R92" i="10"/>
  <c r="R29" i="10"/>
  <c r="R91" i="10"/>
  <c r="R28" i="10"/>
  <c r="R90" i="10"/>
  <c r="R27" i="10"/>
  <c r="R89" i="10"/>
  <c r="R11" i="10"/>
  <c r="R26" i="10"/>
  <c r="R88" i="10"/>
  <c r="R25" i="10"/>
  <c r="R87" i="10"/>
  <c r="R24" i="10"/>
  <c r="R86" i="10"/>
  <c r="R85" i="10"/>
  <c r="R82" i="10"/>
  <c r="R81" i="10"/>
  <c r="R80" i="10"/>
  <c r="R79" i="10"/>
  <c r="R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R65" i="10"/>
  <c r="R64" i="10"/>
  <c r="R63" i="10"/>
  <c r="R62" i="10"/>
  <c r="R61" i="10"/>
  <c r="R60" i="10"/>
  <c r="R59" i="10"/>
  <c r="R58" i="10"/>
  <c r="R57" i="10"/>
  <c r="R56" i="10"/>
  <c r="R55" i="10"/>
  <c r="R54" i="10"/>
  <c r="R10" i="10"/>
  <c r="R13" i="10"/>
  <c r="R20" i="10"/>
  <c r="R15" i="10"/>
  <c r="R16" i="10"/>
  <c r="R17" i="10"/>
  <c r="R18" i="10"/>
  <c r="R19" i="10"/>
  <c r="R14" i="10"/>
  <c r="R12" i="10"/>
  <c r="R4" i="10"/>
  <c r="Q113" i="10"/>
  <c r="Q112" i="10"/>
  <c r="Q111" i="10"/>
  <c r="Q110" i="10"/>
  <c r="Q109" i="10"/>
  <c r="Q108" i="10"/>
  <c r="Q107" i="10"/>
  <c r="Q106" i="10"/>
  <c r="Q43" i="10"/>
  <c r="Q105" i="10"/>
  <c r="Q42" i="10"/>
  <c r="Q104" i="10"/>
  <c r="Q41" i="10"/>
  <c r="Q103" i="10"/>
  <c r="Q40" i="10"/>
  <c r="Q102" i="10"/>
  <c r="Q39" i="10"/>
  <c r="Q101" i="10"/>
  <c r="Q38" i="10"/>
  <c r="Q100" i="10"/>
  <c r="Q37" i="10"/>
  <c r="Q99" i="10"/>
  <c r="Q98" i="10"/>
  <c r="Q35" i="10"/>
  <c r="Q97" i="10"/>
  <c r="Q34" i="10"/>
  <c r="Q96" i="10"/>
  <c r="Q33" i="10"/>
  <c r="Q95" i="10"/>
  <c r="Q32" i="10"/>
  <c r="Q94" i="10"/>
  <c r="Q31" i="10"/>
  <c r="Q93" i="10"/>
  <c r="Q30" i="10"/>
  <c r="Q92" i="10"/>
  <c r="Q29" i="10"/>
  <c r="Q91" i="10"/>
  <c r="Q28" i="10"/>
  <c r="Q90" i="10"/>
  <c r="Q27" i="10"/>
  <c r="Q89" i="10"/>
  <c r="Q11" i="10"/>
  <c r="Q26" i="10"/>
  <c r="Q88" i="10"/>
  <c r="Q25" i="10"/>
  <c r="Q87" i="10"/>
  <c r="Q24" i="10"/>
  <c r="Q86" i="10"/>
  <c r="Q85" i="10"/>
  <c r="Q82" i="10"/>
  <c r="Q81" i="10"/>
  <c r="Q80" i="10"/>
  <c r="Q79" i="10"/>
  <c r="Q78" i="10"/>
  <c r="Q77" i="10"/>
  <c r="Q76" i="10"/>
  <c r="Q75" i="10"/>
  <c r="Q74" i="10"/>
  <c r="Q73" i="10"/>
  <c r="Q72" i="10"/>
  <c r="Q71" i="10"/>
  <c r="Q70" i="10"/>
  <c r="Q69" i="10"/>
  <c r="Q68" i="10"/>
  <c r="Q67" i="10"/>
  <c r="Q66" i="10"/>
  <c r="Q65" i="10"/>
  <c r="Q64" i="10"/>
  <c r="Q63" i="10"/>
  <c r="Q62" i="10"/>
  <c r="Q61" i="10"/>
  <c r="Q60" i="10"/>
  <c r="Q59" i="10"/>
  <c r="Q58" i="10"/>
  <c r="Q57" i="10"/>
  <c r="Q56" i="10"/>
  <c r="Q55" i="10"/>
  <c r="Q54" i="10"/>
  <c r="Q10" i="10"/>
  <c r="Q13" i="10"/>
  <c r="Q20" i="10"/>
  <c r="Q15" i="10"/>
  <c r="Q16" i="10"/>
  <c r="Q17" i="10"/>
  <c r="Q18" i="10"/>
  <c r="Q19" i="10"/>
  <c r="Q14" i="10"/>
  <c r="Q12" i="10"/>
  <c r="Q4" i="10"/>
  <c r="P113" i="10"/>
  <c r="P112" i="10"/>
  <c r="P111" i="10"/>
  <c r="P110" i="10"/>
  <c r="P109" i="10"/>
  <c r="P108" i="10"/>
  <c r="P107" i="10"/>
  <c r="P106" i="10"/>
  <c r="P43" i="10"/>
  <c r="P105" i="10"/>
  <c r="P42" i="10"/>
  <c r="P104" i="10"/>
  <c r="P41" i="10"/>
  <c r="P103" i="10"/>
  <c r="P40" i="10"/>
  <c r="P102" i="10"/>
  <c r="P39" i="10"/>
  <c r="P101" i="10"/>
  <c r="P38" i="10"/>
  <c r="P100" i="10"/>
  <c r="P37" i="10"/>
  <c r="P99" i="10"/>
  <c r="P98" i="10"/>
  <c r="P35" i="10"/>
  <c r="P97" i="10"/>
  <c r="P34" i="10"/>
  <c r="P96" i="10"/>
  <c r="P33" i="10"/>
  <c r="P95" i="10"/>
  <c r="P32" i="10"/>
  <c r="P94" i="10"/>
  <c r="P31" i="10"/>
  <c r="P93" i="10"/>
  <c r="P30" i="10"/>
  <c r="P92" i="10"/>
  <c r="P29" i="10"/>
  <c r="P91" i="10"/>
  <c r="P28" i="10"/>
  <c r="P90" i="10"/>
  <c r="P27" i="10"/>
  <c r="P89" i="10"/>
  <c r="P11" i="10"/>
  <c r="P26" i="10"/>
  <c r="P88" i="10"/>
  <c r="P25" i="10"/>
  <c r="P87" i="10"/>
  <c r="P24" i="10"/>
  <c r="P86" i="10"/>
  <c r="P85" i="10"/>
  <c r="P82" i="10"/>
  <c r="P81" i="10"/>
  <c r="P80" i="10"/>
  <c r="P79" i="10"/>
  <c r="P78" i="10"/>
  <c r="P77" i="10"/>
  <c r="P76" i="10"/>
  <c r="P75" i="10"/>
  <c r="P74" i="10"/>
  <c r="P73" i="10"/>
  <c r="P72" i="10"/>
  <c r="P71" i="10"/>
  <c r="P70" i="10"/>
  <c r="P69" i="10"/>
  <c r="P68" i="10"/>
  <c r="P67" i="10"/>
  <c r="P66" i="10"/>
  <c r="P65" i="10"/>
  <c r="P64" i="10"/>
  <c r="P63" i="10"/>
  <c r="P62" i="10"/>
  <c r="P61" i="10"/>
  <c r="P60" i="10"/>
  <c r="P59" i="10"/>
  <c r="P58" i="10"/>
  <c r="P57" i="10"/>
  <c r="P56" i="10"/>
  <c r="P55" i="10"/>
  <c r="P54" i="10"/>
  <c r="P10" i="10"/>
  <c r="P13" i="10"/>
  <c r="P20" i="10"/>
  <c r="P15" i="10"/>
  <c r="P16" i="10"/>
  <c r="P17" i="10"/>
  <c r="P18" i="10"/>
  <c r="P19" i="10"/>
  <c r="P14" i="10"/>
  <c r="P12" i="10"/>
  <c r="P4" i="10"/>
  <c r="O113" i="10"/>
  <c r="O112" i="10"/>
  <c r="O111" i="10"/>
  <c r="O110" i="10"/>
  <c r="O109" i="10"/>
  <c r="O108" i="10"/>
  <c r="O107" i="10"/>
  <c r="O106" i="10"/>
  <c r="O43" i="10"/>
  <c r="O105" i="10"/>
  <c r="O42" i="10"/>
  <c r="O104" i="10"/>
  <c r="O41" i="10"/>
  <c r="O103" i="10"/>
  <c r="O40" i="10"/>
  <c r="O102" i="10"/>
  <c r="O39" i="10"/>
  <c r="O101" i="10"/>
  <c r="O38" i="10"/>
  <c r="O100" i="10"/>
  <c r="O37" i="10"/>
  <c r="O99" i="10"/>
  <c r="O98" i="10"/>
  <c r="O35" i="10"/>
  <c r="O97" i="10"/>
  <c r="O34" i="10"/>
  <c r="O96" i="10"/>
  <c r="O33" i="10"/>
  <c r="O95" i="10"/>
  <c r="O32" i="10"/>
  <c r="O94" i="10"/>
  <c r="O31" i="10"/>
  <c r="O93" i="10"/>
  <c r="O30" i="10"/>
  <c r="O92" i="10"/>
  <c r="O29" i="10"/>
  <c r="O91" i="10"/>
  <c r="O28" i="10"/>
  <c r="O90" i="10"/>
  <c r="O27" i="10"/>
  <c r="O89" i="10"/>
  <c r="O11" i="10"/>
  <c r="O26" i="10"/>
  <c r="O88" i="10"/>
  <c r="O25" i="10"/>
  <c r="O87" i="10"/>
  <c r="O24" i="10"/>
  <c r="O86" i="10"/>
  <c r="O85" i="10"/>
  <c r="O82" i="10"/>
  <c r="O81" i="10"/>
  <c r="O80" i="10"/>
  <c r="O79" i="10"/>
  <c r="O78" i="10"/>
  <c r="O77" i="10"/>
  <c r="O76" i="10"/>
  <c r="O75" i="10"/>
  <c r="O74" i="10"/>
  <c r="O73" i="10"/>
  <c r="O72" i="10"/>
  <c r="O71" i="10"/>
  <c r="O70" i="10"/>
  <c r="O69" i="10"/>
  <c r="O68" i="10"/>
  <c r="O67" i="10"/>
  <c r="O66" i="10"/>
  <c r="O65" i="10"/>
  <c r="O64" i="10"/>
  <c r="O63" i="10"/>
  <c r="O62" i="10"/>
  <c r="O61" i="10"/>
  <c r="O60" i="10"/>
  <c r="O59" i="10"/>
  <c r="O58" i="10"/>
  <c r="O57" i="10"/>
  <c r="O56" i="10"/>
  <c r="O55" i="10"/>
  <c r="O54" i="10"/>
  <c r="O10" i="10"/>
  <c r="O13" i="10"/>
  <c r="O20" i="10"/>
  <c r="O15" i="10"/>
  <c r="O16" i="10"/>
  <c r="O17" i="10"/>
  <c r="O18" i="10"/>
  <c r="O19" i="10"/>
  <c r="O14" i="10"/>
  <c r="O12" i="10"/>
  <c r="O4" i="10"/>
  <c r="N113" i="10"/>
  <c r="N112" i="10"/>
  <c r="N111" i="10"/>
  <c r="N110" i="10"/>
  <c r="N109" i="10"/>
  <c r="N108" i="10"/>
  <c r="N107" i="10"/>
  <c r="N106" i="10"/>
  <c r="N43" i="10"/>
  <c r="N105" i="10"/>
  <c r="N42" i="10"/>
  <c r="N104" i="10"/>
  <c r="N41" i="10"/>
  <c r="N103" i="10"/>
  <c r="N40" i="10"/>
  <c r="N102" i="10"/>
  <c r="N39" i="10"/>
  <c r="N101" i="10"/>
  <c r="N38" i="10"/>
  <c r="N100" i="10"/>
  <c r="N37" i="10"/>
  <c r="N99" i="10"/>
  <c r="N98" i="10"/>
  <c r="N35" i="10"/>
  <c r="N97" i="10"/>
  <c r="N34" i="10"/>
  <c r="N96" i="10"/>
  <c r="N33" i="10"/>
  <c r="N95" i="10"/>
  <c r="N32" i="10"/>
  <c r="N94" i="10"/>
  <c r="N31" i="10"/>
  <c r="N93" i="10"/>
  <c r="N30" i="10"/>
  <c r="N92" i="10"/>
  <c r="N29" i="10"/>
  <c r="N91" i="10"/>
  <c r="N28" i="10"/>
  <c r="N90" i="10"/>
  <c r="N27" i="10"/>
  <c r="N89" i="10"/>
  <c r="N11" i="10"/>
  <c r="N26" i="10"/>
  <c r="N88" i="10"/>
  <c r="N25" i="10"/>
  <c r="N87" i="10"/>
  <c r="N24" i="10"/>
  <c r="N86" i="10"/>
  <c r="N85" i="10"/>
  <c r="N82" i="10"/>
  <c r="N81" i="10"/>
  <c r="N80" i="10"/>
  <c r="N79" i="10"/>
  <c r="N78" i="10"/>
  <c r="N77" i="10"/>
  <c r="N76" i="10"/>
  <c r="N75" i="10"/>
  <c r="N74" i="10"/>
  <c r="N73" i="10"/>
  <c r="N72" i="10"/>
  <c r="N71" i="10"/>
  <c r="N70" i="10"/>
  <c r="N69" i="10"/>
  <c r="N68" i="10"/>
  <c r="N67" i="10"/>
  <c r="N66" i="10"/>
  <c r="N65" i="10"/>
  <c r="N64" i="10"/>
  <c r="N63" i="10"/>
  <c r="N62" i="10"/>
  <c r="N61" i="10"/>
  <c r="N60" i="10"/>
  <c r="N59" i="10"/>
  <c r="N58" i="10"/>
  <c r="N57" i="10"/>
  <c r="N56" i="10"/>
  <c r="N55" i="10"/>
  <c r="N54" i="10"/>
  <c r="N10" i="10"/>
  <c r="N13" i="10"/>
  <c r="N20" i="10"/>
  <c r="N15" i="10"/>
  <c r="N16" i="10"/>
  <c r="N17" i="10"/>
  <c r="N18" i="10"/>
  <c r="N19" i="10"/>
  <c r="N14" i="10"/>
  <c r="N12" i="10"/>
  <c r="N4" i="10"/>
  <c r="I181" i="9"/>
  <c r="G181" i="9"/>
  <c r="H181" i="9"/>
  <c r="F181" i="9"/>
  <c r="K181" i="9"/>
  <c r="I180" i="9"/>
  <c r="G180" i="9"/>
  <c r="H180" i="9"/>
  <c r="F180" i="9"/>
  <c r="K180" i="9"/>
  <c r="I179" i="9"/>
  <c r="H179" i="9"/>
  <c r="G179" i="9"/>
  <c r="F179" i="9"/>
  <c r="G178" i="9"/>
  <c r="H178" i="9"/>
  <c r="F178" i="9"/>
  <c r="K178" i="9"/>
  <c r="I177" i="9"/>
  <c r="H177" i="9"/>
  <c r="G177" i="9"/>
  <c r="F177" i="9"/>
  <c r="I176" i="9"/>
  <c r="G176" i="9"/>
  <c r="H176" i="9"/>
  <c r="F176" i="9"/>
  <c r="K176" i="9"/>
  <c r="I175" i="9"/>
  <c r="G175" i="9"/>
  <c r="H175" i="9"/>
  <c r="F175" i="9"/>
  <c r="K175" i="9"/>
  <c r="I174" i="9"/>
  <c r="G174" i="9"/>
  <c r="H174" i="9"/>
  <c r="F174" i="9"/>
  <c r="K174" i="9"/>
  <c r="G173" i="9"/>
  <c r="H173" i="9"/>
  <c r="F173" i="9"/>
  <c r="K173" i="9"/>
  <c r="G172" i="9"/>
  <c r="H172" i="9"/>
  <c r="F172" i="9"/>
  <c r="K172" i="9"/>
  <c r="G171" i="9"/>
  <c r="H171" i="9"/>
  <c r="F171" i="9"/>
  <c r="K171" i="9"/>
  <c r="G170" i="9"/>
  <c r="H170" i="9"/>
  <c r="F170" i="9"/>
  <c r="K170" i="9"/>
  <c r="G169" i="9"/>
  <c r="H169" i="9"/>
  <c r="F169" i="9"/>
  <c r="K169" i="9"/>
  <c r="G168" i="9"/>
  <c r="H168" i="9"/>
  <c r="F168" i="9"/>
  <c r="K168" i="9"/>
  <c r="K167" i="9"/>
  <c r="G166" i="9"/>
  <c r="F166" i="9"/>
  <c r="K166" i="9"/>
  <c r="G165" i="9"/>
  <c r="F165" i="9"/>
  <c r="K165" i="9"/>
  <c r="G164" i="9"/>
  <c r="F164" i="9"/>
  <c r="K164" i="9"/>
  <c r="G163" i="9"/>
  <c r="H163" i="9"/>
  <c r="F163" i="9"/>
  <c r="K163" i="9"/>
  <c r="G162" i="9"/>
  <c r="F162" i="9"/>
  <c r="K162" i="9"/>
  <c r="G161" i="9"/>
  <c r="F161" i="9"/>
  <c r="K161" i="9"/>
  <c r="H160" i="9"/>
  <c r="I160" i="9"/>
  <c r="G160" i="9"/>
  <c r="F160" i="9"/>
  <c r="K160" i="9"/>
  <c r="H159" i="9"/>
  <c r="I159" i="9"/>
  <c r="G159" i="9"/>
  <c r="F159" i="9"/>
  <c r="K159" i="9"/>
  <c r="G158" i="9"/>
  <c r="F158" i="9"/>
  <c r="K158" i="9"/>
  <c r="G157" i="9"/>
  <c r="F157" i="9"/>
  <c r="K157" i="9"/>
  <c r="I156" i="9"/>
  <c r="G156" i="9"/>
  <c r="F156" i="9"/>
  <c r="K156" i="9"/>
  <c r="G155" i="9"/>
  <c r="F155" i="9"/>
  <c r="K155" i="9"/>
  <c r="G154" i="9"/>
  <c r="H154" i="9"/>
  <c r="F154" i="9"/>
  <c r="K154" i="9"/>
  <c r="G153" i="9"/>
  <c r="H153" i="9"/>
  <c r="F153" i="9"/>
  <c r="K153" i="9"/>
  <c r="G152" i="9"/>
  <c r="H152" i="9"/>
  <c r="F152" i="9"/>
  <c r="K152" i="9"/>
  <c r="G151" i="9"/>
  <c r="H151" i="9"/>
  <c r="F151" i="9"/>
  <c r="K151" i="9"/>
  <c r="G150" i="9"/>
  <c r="F150" i="9"/>
  <c r="K150" i="9"/>
  <c r="G149" i="9"/>
  <c r="H149" i="9"/>
  <c r="F149" i="9"/>
  <c r="K149" i="9"/>
  <c r="G148" i="9"/>
  <c r="H148" i="9"/>
  <c r="F148" i="9"/>
  <c r="K148" i="9"/>
  <c r="I147" i="9"/>
  <c r="G147" i="9"/>
  <c r="F147" i="9"/>
  <c r="K147" i="9"/>
  <c r="I146" i="9"/>
  <c r="G146" i="9"/>
  <c r="F146" i="9"/>
  <c r="K146" i="9"/>
  <c r="I145" i="9"/>
  <c r="G145" i="9"/>
  <c r="F145" i="9"/>
  <c r="K145" i="9"/>
  <c r="I144" i="9"/>
  <c r="G144" i="9"/>
  <c r="F144" i="9"/>
  <c r="K144" i="9"/>
  <c r="I143" i="9"/>
  <c r="G143" i="9"/>
  <c r="F143" i="9"/>
  <c r="K143" i="9"/>
  <c r="I142" i="9"/>
  <c r="G142" i="9"/>
  <c r="F142" i="9"/>
  <c r="K142" i="9"/>
  <c r="I141" i="9"/>
  <c r="G141" i="9"/>
  <c r="F141" i="9"/>
  <c r="K141" i="9"/>
  <c r="I140" i="9"/>
  <c r="G140" i="9"/>
  <c r="F140" i="9"/>
  <c r="K140" i="9"/>
  <c r="I139" i="9"/>
  <c r="G139" i="9"/>
  <c r="F139" i="9"/>
  <c r="K139" i="9"/>
  <c r="I138" i="9"/>
  <c r="G138" i="9"/>
  <c r="F138" i="9"/>
  <c r="K138" i="9"/>
  <c r="G137" i="9"/>
  <c r="H137" i="9"/>
  <c r="F137" i="9"/>
  <c r="K137" i="9"/>
  <c r="G136" i="9"/>
  <c r="H136" i="9"/>
  <c r="F136" i="9"/>
  <c r="K136" i="9"/>
  <c r="G135" i="9"/>
  <c r="H135" i="9"/>
  <c r="F135" i="9"/>
  <c r="K135" i="9"/>
  <c r="G134" i="9"/>
  <c r="H134" i="9"/>
  <c r="F134" i="9"/>
  <c r="K134" i="9"/>
  <c r="G133" i="9"/>
  <c r="H133" i="9"/>
  <c r="F133" i="9"/>
  <c r="K133" i="9"/>
  <c r="G132" i="9"/>
  <c r="H132" i="9"/>
  <c r="F132" i="9"/>
  <c r="K132" i="9"/>
  <c r="G131" i="9"/>
  <c r="H131" i="9"/>
  <c r="F131" i="9"/>
  <c r="K131" i="9"/>
  <c r="G130" i="9"/>
  <c r="H130" i="9"/>
  <c r="F130" i="9"/>
  <c r="K130" i="9"/>
  <c r="I129" i="9"/>
  <c r="G129" i="9"/>
  <c r="F129" i="9"/>
  <c r="K129" i="9"/>
  <c r="I128" i="9"/>
  <c r="G128" i="9"/>
  <c r="F128" i="9"/>
  <c r="K128" i="9"/>
  <c r="I127" i="9"/>
  <c r="G127" i="9"/>
  <c r="F127" i="9"/>
  <c r="K127" i="9"/>
  <c r="I126" i="9"/>
  <c r="G126" i="9"/>
  <c r="F126" i="9"/>
  <c r="K126" i="9"/>
  <c r="I125" i="9"/>
  <c r="G125" i="9"/>
  <c r="F125" i="9"/>
  <c r="K125" i="9"/>
  <c r="I124" i="9"/>
  <c r="G124" i="9"/>
  <c r="F124" i="9"/>
  <c r="K124" i="9"/>
  <c r="I123" i="9"/>
  <c r="G123" i="9"/>
  <c r="F123" i="9"/>
  <c r="K123" i="9"/>
  <c r="I122" i="9"/>
  <c r="G122" i="9"/>
  <c r="F122" i="9"/>
  <c r="K122" i="9"/>
  <c r="I121" i="9"/>
  <c r="G121" i="9"/>
  <c r="F121" i="9"/>
  <c r="K121" i="9"/>
  <c r="I120" i="9"/>
  <c r="G120" i="9"/>
  <c r="F120" i="9"/>
  <c r="K120" i="9"/>
  <c r="I119" i="9"/>
  <c r="G119" i="9"/>
  <c r="F119" i="9"/>
  <c r="K119" i="9"/>
  <c r="I118" i="9"/>
  <c r="G118" i="9"/>
  <c r="F118" i="9"/>
  <c r="K118" i="9"/>
  <c r="I117" i="9"/>
  <c r="G117" i="9"/>
  <c r="F117" i="9"/>
  <c r="K117" i="9"/>
  <c r="I116" i="9"/>
  <c r="G116" i="9"/>
  <c r="F116" i="9"/>
  <c r="K116" i="9"/>
  <c r="I115" i="9"/>
  <c r="G115" i="9"/>
  <c r="F115" i="9"/>
  <c r="K115" i="9"/>
  <c r="I114" i="9"/>
  <c r="G114" i="9"/>
  <c r="F114" i="9"/>
  <c r="K114" i="9"/>
  <c r="H113" i="9"/>
  <c r="I113" i="9"/>
  <c r="G113" i="9"/>
  <c r="F113" i="9"/>
  <c r="K113" i="9"/>
  <c r="G112" i="9"/>
  <c r="F112" i="9"/>
  <c r="G111" i="9"/>
  <c r="F111" i="9"/>
  <c r="G110" i="9"/>
  <c r="F110" i="9"/>
  <c r="H109" i="9"/>
  <c r="I109" i="9"/>
  <c r="G109" i="9"/>
  <c r="F109" i="9"/>
  <c r="K109" i="9"/>
  <c r="H108" i="9"/>
  <c r="I108" i="9"/>
  <c r="G108" i="9"/>
  <c r="F108" i="9"/>
  <c r="K108" i="9"/>
  <c r="H107" i="9"/>
  <c r="I107" i="9"/>
  <c r="G107" i="9"/>
  <c r="F107" i="9"/>
  <c r="K107" i="9"/>
  <c r="H106" i="9"/>
  <c r="I106" i="9"/>
  <c r="G106" i="9"/>
  <c r="F106" i="9"/>
  <c r="K106" i="9"/>
  <c r="I105" i="9"/>
  <c r="G105" i="9"/>
  <c r="H105" i="9"/>
  <c r="F105" i="9"/>
  <c r="K105" i="9"/>
  <c r="I104" i="9"/>
  <c r="G104" i="9"/>
  <c r="H104" i="9"/>
  <c r="F104" i="9"/>
  <c r="K104" i="9"/>
  <c r="I103" i="9"/>
  <c r="G103" i="9"/>
  <c r="H103" i="9"/>
  <c r="F103" i="9"/>
  <c r="K103" i="9"/>
  <c r="I102" i="9"/>
  <c r="G102" i="9"/>
  <c r="H102" i="9"/>
  <c r="F102" i="9"/>
  <c r="K102" i="9"/>
  <c r="L101" i="9"/>
  <c r="I101" i="9"/>
  <c r="G101" i="9"/>
  <c r="H101" i="9"/>
  <c r="F101" i="9"/>
  <c r="K101" i="9"/>
  <c r="L100" i="9"/>
  <c r="K100" i="9"/>
  <c r="L99" i="9"/>
  <c r="I99" i="9"/>
  <c r="G99" i="9"/>
  <c r="H99" i="9"/>
  <c r="F99" i="9"/>
  <c r="K99" i="9"/>
  <c r="I98" i="9"/>
  <c r="G98" i="9"/>
  <c r="H98" i="9"/>
  <c r="F98" i="9"/>
  <c r="K98" i="9"/>
  <c r="H97" i="9"/>
  <c r="I97" i="9"/>
  <c r="G97" i="9"/>
  <c r="F97" i="9"/>
  <c r="K97" i="9"/>
  <c r="K96" i="9"/>
  <c r="I84" i="9"/>
  <c r="G84" i="9"/>
  <c r="F84" i="9"/>
  <c r="K84" i="9"/>
  <c r="G83" i="9"/>
  <c r="F83" i="9"/>
  <c r="K83" i="9"/>
  <c r="K82" i="9"/>
  <c r="H81" i="9"/>
  <c r="I81" i="9"/>
  <c r="G81" i="9"/>
  <c r="F81" i="9"/>
  <c r="K81" i="9"/>
  <c r="H80" i="9"/>
  <c r="I80" i="9"/>
  <c r="G80" i="9"/>
  <c r="F80" i="9"/>
  <c r="K80" i="9"/>
  <c r="K79" i="9"/>
  <c r="H78" i="9"/>
  <c r="I78" i="9"/>
  <c r="G78" i="9"/>
  <c r="F78" i="9"/>
  <c r="K78" i="9"/>
  <c r="K77" i="9"/>
  <c r="K76" i="9"/>
  <c r="H75" i="9"/>
  <c r="I75" i="9"/>
  <c r="G75" i="9"/>
  <c r="F75" i="9"/>
  <c r="K75" i="9"/>
  <c r="K74" i="9"/>
  <c r="K73" i="9"/>
  <c r="K72" i="9"/>
  <c r="K71" i="9"/>
  <c r="H70" i="9"/>
  <c r="I70" i="9"/>
  <c r="G70" i="9"/>
  <c r="F70" i="9"/>
  <c r="K70" i="9"/>
  <c r="K69" i="9"/>
  <c r="K68" i="9"/>
  <c r="K67" i="9"/>
  <c r="H66" i="9"/>
  <c r="I66" i="9"/>
  <c r="G66" i="9"/>
  <c r="F66" i="9"/>
  <c r="K66" i="9"/>
  <c r="G65" i="9"/>
  <c r="F65" i="9"/>
  <c r="K65" i="9"/>
  <c r="K64" i="9"/>
  <c r="G63" i="9"/>
  <c r="F63" i="9"/>
  <c r="K63" i="9"/>
  <c r="K62" i="9"/>
  <c r="H61" i="9"/>
  <c r="I61" i="9"/>
  <c r="G61" i="9"/>
  <c r="F61" i="9"/>
  <c r="K61" i="9"/>
  <c r="K60" i="9"/>
  <c r="K59" i="9"/>
  <c r="K58" i="9"/>
  <c r="K57" i="9"/>
  <c r="H56" i="9"/>
  <c r="I56" i="9"/>
  <c r="G56" i="9"/>
  <c r="F56" i="9"/>
  <c r="K56" i="9"/>
  <c r="H55" i="9"/>
  <c r="I55" i="9"/>
  <c r="G55" i="9"/>
  <c r="F55" i="9"/>
  <c r="K55" i="9"/>
  <c r="H54" i="9"/>
  <c r="I54" i="9"/>
  <c r="G54" i="9"/>
  <c r="F54" i="9"/>
  <c r="K54" i="9"/>
  <c r="H53" i="9"/>
  <c r="I53" i="9"/>
  <c r="G53" i="9"/>
  <c r="F53" i="9"/>
  <c r="K53" i="9"/>
  <c r="H52" i="9"/>
  <c r="I52" i="9"/>
  <c r="G52" i="9"/>
  <c r="F52" i="9"/>
  <c r="K52" i="9"/>
  <c r="K51" i="9"/>
  <c r="K50" i="9"/>
  <c r="K49" i="9"/>
  <c r="K48" i="9"/>
  <c r="K47" i="9"/>
  <c r="H46" i="9"/>
  <c r="I46" i="9"/>
  <c r="G46" i="9"/>
  <c r="F46" i="9"/>
  <c r="K46" i="9"/>
  <c r="K45" i="9"/>
  <c r="K44" i="9"/>
  <c r="G43" i="9"/>
  <c r="H43" i="9"/>
  <c r="F43" i="9"/>
  <c r="K43" i="9"/>
  <c r="G42" i="9"/>
  <c r="H42" i="9"/>
  <c r="F42" i="9"/>
  <c r="K42" i="9"/>
  <c r="G41" i="9"/>
  <c r="H41" i="9"/>
  <c r="F41" i="9"/>
  <c r="K41" i="9"/>
  <c r="G40" i="9"/>
  <c r="H40" i="9"/>
  <c r="F40" i="9"/>
  <c r="K40" i="9"/>
  <c r="G39" i="9"/>
  <c r="H39" i="9"/>
  <c r="F39" i="9"/>
  <c r="K39" i="9"/>
  <c r="L38" i="9"/>
  <c r="K38" i="9"/>
  <c r="L37" i="9"/>
  <c r="K37" i="9"/>
  <c r="L36" i="9"/>
  <c r="I36" i="9"/>
  <c r="G36" i="9"/>
  <c r="K36" i="9"/>
  <c r="G35" i="9"/>
  <c r="F35" i="9"/>
  <c r="K35" i="9"/>
  <c r="G34" i="9"/>
  <c r="F34" i="9"/>
  <c r="K34" i="9"/>
  <c r="G33" i="9"/>
  <c r="F33" i="9"/>
  <c r="K33" i="9"/>
  <c r="G32" i="9"/>
  <c r="F32" i="9"/>
  <c r="K32" i="9"/>
  <c r="G31" i="9"/>
  <c r="F31" i="9"/>
  <c r="K31" i="9"/>
  <c r="M30" i="9"/>
  <c r="K30" i="9"/>
  <c r="M29" i="9"/>
  <c r="K29" i="9"/>
  <c r="G28" i="9"/>
  <c r="F28" i="9"/>
  <c r="K28" i="9"/>
  <c r="G27" i="9"/>
  <c r="F27" i="9"/>
  <c r="K27" i="9"/>
  <c r="G26" i="9"/>
  <c r="F26" i="9"/>
  <c r="K26" i="9"/>
  <c r="P25" i="9"/>
  <c r="M25" i="9"/>
  <c r="K25" i="9"/>
  <c r="P24" i="9"/>
  <c r="M24" i="9"/>
  <c r="K24" i="9"/>
  <c r="H22" i="9"/>
  <c r="I22" i="9"/>
  <c r="G22" i="9"/>
  <c r="F22" i="9"/>
  <c r="K22" i="9"/>
  <c r="G21" i="9"/>
  <c r="F21" i="9"/>
  <c r="K21" i="9"/>
  <c r="K20" i="9"/>
  <c r="K19" i="9"/>
  <c r="G18" i="9"/>
  <c r="F18" i="9"/>
  <c r="K18" i="9"/>
  <c r="K17" i="9"/>
  <c r="N16" i="9"/>
  <c r="L16" i="9"/>
  <c r="H16" i="9"/>
  <c r="I16" i="9"/>
  <c r="G16" i="9"/>
  <c r="F16" i="9"/>
  <c r="K16" i="9"/>
  <c r="N15" i="9"/>
  <c r="L15" i="9"/>
  <c r="H15" i="9"/>
  <c r="I15" i="9"/>
  <c r="G15" i="9"/>
  <c r="F15" i="9"/>
  <c r="K15" i="9"/>
  <c r="N14" i="9"/>
  <c r="L14" i="9"/>
  <c r="H14" i="9"/>
  <c r="I14" i="9"/>
  <c r="G14" i="9"/>
  <c r="F14" i="9"/>
  <c r="K14" i="9"/>
  <c r="L13" i="9"/>
  <c r="N13" i="9"/>
  <c r="H13" i="9"/>
  <c r="I13" i="9"/>
  <c r="G13" i="9"/>
  <c r="F13" i="9"/>
  <c r="K13" i="9"/>
  <c r="L12" i="9"/>
  <c r="N12" i="9"/>
  <c r="H12" i="9"/>
  <c r="I12" i="9"/>
  <c r="G12" i="9"/>
  <c r="F12" i="9"/>
  <c r="K12" i="9"/>
  <c r="L11" i="9"/>
  <c r="I11" i="9"/>
  <c r="G11" i="9"/>
  <c r="K11" i="9"/>
  <c r="L10" i="9"/>
  <c r="K10" i="9"/>
  <c r="K9" i="9"/>
  <c r="I8" i="9"/>
  <c r="G8" i="9"/>
  <c r="F8" i="9"/>
  <c r="K8" i="9"/>
  <c r="K7" i="9"/>
  <c r="C77" i="14"/>
  <c r="C56" i="14"/>
  <c r="B98" i="14"/>
  <c r="B149" i="14"/>
  <c r="C52" i="14"/>
  <c r="B94" i="14"/>
  <c r="B145" i="14"/>
  <c r="C53" i="14"/>
  <c r="B95" i="14"/>
  <c r="B146" i="14"/>
  <c r="C54" i="14"/>
  <c r="B96" i="14"/>
  <c r="B147" i="14"/>
  <c r="C55" i="14"/>
  <c r="B97" i="14"/>
  <c r="B148" i="14"/>
  <c r="C57" i="14"/>
  <c r="B99" i="14"/>
  <c r="B150" i="14"/>
  <c r="C58" i="14"/>
  <c r="B100" i="14"/>
  <c r="B151" i="14"/>
  <c r="C59" i="14"/>
  <c r="B101" i="14"/>
  <c r="B152" i="14"/>
  <c r="B102" i="14"/>
  <c r="B153" i="14"/>
  <c r="C61" i="14"/>
  <c r="B103" i="14"/>
  <c r="B154" i="14"/>
  <c r="C62" i="14"/>
  <c r="B104" i="14"/>
  <c r="B155" i="14"/>
  <c r="C63" i="14"/>
  <c r="B105" i="14"/>
  <c r="B156" i="14"/>
  <c r="C64" i="14"/>
  <c r="B106" i="14"/>
  <c r="B157" i="14"/>
  <c r="C65" i="14"/>
  <c r="B107" i="14"/>
  <c r="B158" i="14"/>
  <c r="C66" i="14"/>
  <c r="B108" i="14"/>
  <c r="B159" i="14"/>
  <c r="B109" i="14"/>
  <c r="B160" i="14"/>
  <c r="C68" i="14"/>
  <c r="B110" i="14"/>
  <c r="B161" i="14"/>
  <c r="I191" i="14"/>
  <c r="I190" i="14"/>
  <c r="I189" i="14"/>
  <c r="I188" i="14"/>
  <c r="I101" i="14"/>
  <c r="I166" i="14"/>
  <c r="I165" i="14"/>
  <c r="I164" i="14"/>
  <c r="I163" i="14"/>
  <c r="I152" i="14"/>
  <c r="I140" i="14"/>
  <c r="I139" i="14"/>
  <c r="I138" i="14"/>
  <c r="I137" i="14"/>
  <c r="I115" i="14"/>
  <c r="I114" i="14"/>
  <c r="I113" i="14"/>
  <c r="I112" i="14"/>
  <c r="I48" i="14"/>
  <c r="C90" i="14"/>
  <c r="I90" i="14"/>
  <c r="I46" i="14"/>
  <c r="C89" i="14"/>
  <c r="I89" i="14"/>
  <c r="I45" i="14"/>
  <c r="I88" i="14"/>
  <c r="C87" i="14"/>
  <c r="I87" i="14"/>
  <c r="I43" i="14"/>
  <c r="I44" i="14"/>
  <c r="C86" i="14"/>
  <c r="I86" i="14"/>
  <c r="C85" i="14"/>
  <c r="I85" i="14"/>
  <c r="I42" i="14"/>
  <c r="C84" i="14"/>
  <c r="I84" i="14"/>
  <c r="I41" i="14"/>
  <c r="C83" i="14"/>
  <c r="I83" i="14"/>
  <c r="I40" i="14"/>
  <c r="C82" i="14"/>
  <c r="I82" i="14"/>
  <c r="I39" i="14"/>
  <c r="I81" i="14"/>
  <c r="I38" i="14"/>
  <c r="C80" i="14"/>
  <c r="I80" i="14"/>
  <c r="I36" i="14"/>
  <c r="I37" i="14"/>
  <c r="C79" i="14"/>
  <c r="I79" i="14"/>
  <c r="C78" i="14"/>
  <c r="I78" i="14"/>
  <c r="I18" i="14"/>
  <c r="I35" i="14"/>
  <c r="I77" i="14"/>
  <c r="I34" i="14"/>
  <c r="C76" i="14"/>
  <c r="I76" i="14"/>
  <c r="I33" i="14"/>
  <c r="C75" i="14"/>
  <c r="I75" i="14"/>
  <c r="I32" i="14"/>
  <c r="C74" i="14"/>
  <c r="I74" i="14"/>
  <c r="I31" i="14"/>
  <c r="C73" i="14"/>
  <c r="I73" i="14"/>
  <c r="I72" i="14"/>
  <c r="C69" i="14"/>
  <c r="I69" i="14"/>
  <c r="I68" i="14"/>
  <c r="I67" i="14"/>
  <c r="I66" i="14"/>
  <c r="I65" i="14"/>
  <c r="I64" i="14"/>
  <c r="I63" i="14"/>
  <c r="I62" i="14"/>
  <c r="I61" i="14"/>
  <c r="I60" i="14"/>
  <c r="I59" i="14"/>
  <c r="I58" i="14"/>
  <c r="I57" i="14"/>
  <c r="I56" i="14"/>
  <c r="I55" i="14"/>
  <c r="I54" i="14"/>
  <c r="I53" i="14"/>
  <c r="I52" i="14"/>
  <c r="I51" i="14"/>
  <c r="I47" i="14"/>
  <c r="I30" i="14"/>
  <c r="I17" i="14"/>
  <c r="I20" i="14"/>
  <c r="I27" i="14"/>
  <c r="I22" i="14"/>
  <c r="I23" i="14"/>
  <c r="I24" i="14"/>
  <c r="I25" i="14"/>
  <c r="I26" i="14"/>
  <c r="I21" i="14"/>
  <c r="I19" i="14"/>
  <c r="I16" i="14"/>
  <c r="I15" i="14"/>
  <c r="I4" i="14"/>
  <c r="I3" i="14"/>
  <c r="H191" i="14"/>
  <c r="H190" i="14"/>
  <c r="H189" i="14"/>
  <c r="H188" i="14"/>
  <c r="H101" i="14"/>
  <c r="H166" i="14"/>
  <c r="H165" i="14"/>
  <c r="H164" i="14"/>
  <c r="H163" i="14"/>
  <c r="H152" i="14"/>
  <c r="H140" i="14"/>
  <c r="H139" i="14"/>
  <c r="H138" i="14"/>
  <c r="H137" i="14"/>
  <c r="H115" i="14"/>
  <c r="H114" i="14"/>
  <c r="H113" i="14"/>
  <c r="H112" i="14"/>
  <c r="H48" i="14"/>
  <c r="H90" i="14"/>
  <c r="H46" i="14"/>
  <c r="H89" i="14"/>
  <c r="H45" i="14"/>
  <c r="H88" i="14"/>
  <c r="H87" i="14"/>
  <c r="H43" i="14"/>
  <c r="H44" i="14"/>
  <c r="H86" i="14"/>
  <c r="H85" i="14"/>
  <c r="H42" i="14"/>
  <c r="H84" i="14"/>
  <c r="H41" i="14"/>
  <c r="H83" i="14"/>
  <c r="H40" i="14"/>
  <c r="H82" i="14"/>
  <c r="H39" i="14"/>
  <c r="H81" i="14"/>
  <c r="H38" i="14"/>
  <c r="H80" i="14"/>
  <c r="H36" i="14"/>
  <c r="H37" i="14"/>
  <c r="H79" i="14"/>
  <c r="H78" i="14"/>
  <c r="H18" i="14"/>
  <c r="H35" i="14"/>
  <c r="H77" i="14"/>
  <c r="H34" i="14"/>
  <c r="H76" i="14"/>
  <c r="H33" i="14"/>
  <c r="H75" i="14"/>
  <c r="H32" i="14"/>
  <c r="H74" i="14"/>
  <c r="H31" i="14"/>
  <c r="H73" i="14"/>
  <c r="H72" i="14"/>
  <c r="H69" i="14"/>
  <c r="H68" i="14"/>
  <c r="H67" i="14"/>
  <c r="H66" i="14"/>
  <c r="H65" i="14"/>
  <c r="H64" i="14"/>
  <c r="H63" i="14"/>
  <c r="H62" i="14"/>
  <c r="H61" i="14"/>
  <c r="H60" i="14"/>
  <c r="H59" i="14"/>
  <c r="H58" i="14"/>
  <c r="H57" i="14"/>
  <c r="H56" i="14"/>
  <c r="H55" i="14"/>
  <c r="H54" i="14"/>
  <c r="H53" i="14"/>
  <c r="H52" i="14"/>
  <c r="H51" i="14"/>
  <c r="H47" i="14"/>
  <c r="H30" i="14"/>
  <c r="H17" i="14"/>
  <c r="H20" i="14"/>
  <c r="H27" i="14"/>
  <c r="H22" i="14"/>
  <c r="H23" i="14"/>
  <c r="H24" i="14"/>
  <c r="H25" i="14"/>
  <c r="H26" i="14"/>
  <c r="H21" i="14"/>
  <c r="H19" i="14"/>
  <c r="H16" i="14"/>
  <c r="H15" i="14"/>
  <c r="H4" i="14"/>
  <c r="H3" i="14"/>
  <c r="E37" i="11"/>
  <c r="D37" i="11"/>
  <c r="G46" i="11"/>
  <c r="G45" i="11"/>
  <c r="G44" i="11"/>
  <c r="I43" i="11"/>
  <c r="I71" i="11"/>
  <c r="G71" i="11"/>
  <c r="G43" i="11"/>
  <c r="C72" i="11"/>
  <c r="C74" i="11"/>
  <c r="F2" i="3"/>
  <c r="F3" i="3"/>
  <c r="F6" i="3"/>
  <c r="F9" i="3"/>
  <c r="F10" i="3"/>
  <c r="F11" i="3"/>
  <c r="F12" i="3"/>
  <c r="F16" i="3"/>
  <c r="F17" i="3"/>
  <c r="F18" i="3"/>
  <c r="F19" i="3"/>
  <c r="F20" i="3"/>
  <c r="F21" i="3"/>
  <c r="F22" i="3"/>
  <c r="F23" i="3"/>
  <c r="F24" i="3"/>
  <c r="F26" i="3"/>
  <c r="F27" i="3"/>
  <c r="F28" i="3"/>
  <c r="F30" i="3"/>
  <c r="F31" i="3"/>
  <c r="F32" i="3"/>
  <c r="F33" i="3"/>
  <c r="F34" i="3"/>
  <c r="F35" i="3"/>
  <c r="D1" i="12"/>
  <c r="D3" i="12"/>
  <c r="D4" i="12"/>
  <c r="F7" i="12"/>
  <c r="D13" i="12"/>
  <c r="D30" i="12"/>
  <c r="D25" i="12"/>
  <c r="D26" i="12"/>
  <c r="D81" i="12"/>
  <c r="D27" i="12"/>
  <c r="D28" i="12"/>
  <c r="D29" i="12"/>
  <c r="D31" i="12"/>
  <c r="D32" i="12"/>
  <c r="D87" i="12"/>
  <c r="D33" i="12"/>
  <c r="F33" i="12"/>
  <c r="D34" i="12"/>
  <c r="F34" i="12"/>
  <c r="D35" i="12"/>
  <c r="F35" i="12"/>
  <c r="D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D4" i="10"/>
  <c r="E4" i="10"/>
  <c r="F4" i="10"/>
  <c r="G4" i="10"/>
  <c r="H4" i="10"/>
  <c r="I4" i="10"/>
  <c r="J4" i="10"/>
  <c r="L7" i="10"/>
  <c r="D11" i="10"/>
  <c r="D26" i="10"/>
  <c r="E11" i="10"/>
  <c r="E26" i="10"/>
  <c r="F11" i="10"/>
  <c r="G11" i="10"/>
  <c r="G26" i="10"/>
  <c r="H11" i="10"/>
  <c r="H26" i="10"/>
  <c r="I11" i="10"/>
  <c r="J11" i="10"/>
  <c r="L11" i="10"/>
  <c r="D24" i="10"/>
  <c r="E24" i="10"/>
  <c r="F24" i="10"/>
  <c r="G24" i="10"/>
  <c r="H24" i="10"/>
  <c r="I24" i="10"/>
  <c r="J24" i="10"/>
  <c r="L24" i="10"/>
  <c r="D25" i="10"/>
  <c r="E25" i="10"/>
  <c r="E56" i="10"/>
  <c r="F25" i="10"/>
  <c r="G25" i="10"/>
  <c r="H25" i="10"/>
  <c r="H56" i="10"/>
  <c r="I25" i="10"/>
  <c r="J25" i="10"/>
  <c r="L25" i="10"/>
  <c r="F26" i="10"/>
  <c r="I26" i="10"/>
  <c r="J26" i="10"/>
  <c r="F27" i="10"/>
  <c r="G27" i="10"/>
  <c r="H27" i="10"/>
  <c r="I27" i="10"/>
  <c r="J27" i="10"/>
  <c r="L27" i="10"/>
  <c r="F28" i="10"/>
  <c r="G28" i="10"/>
  <c r="H28" i="10"/>
  <c r="I28" i="10"/>
  <c r="J28" i="10"/>
  <c r="L28" i="10"/>
  <c r="F29" i="10"/>
  <c r="G29" i="10"/>
  <c r="H29" i="10"/>
  <c r="I29" i="10"/>
  <c r="J29" i="10"/>
  <c r="L29" i="10"/>
  <c r="E30" i="10"/>
  <c r="F30" i="10"/>
  <c r="G30" i="10"/>
  <c r="H30" i="10"/>
  <c r="I30" i="10"/>
  <c r="F31" i="10"/>
  <c r="G31" i="10"/>
  <c r="H31" i="10"/>
  <c r="H62" i="10"/>
  <c r="I31" i="10"/>
  <c r="J31" i="10"/>
  <c r="L31" i="10"/>
  <c r="F32" i="10"/>
  <c r="G32" i="10"/>
  <c r="H32" i="10"/>
  <c r="I32" i="10"/>
  <c r="J32" i="10"/>
  <c r="L32" i="10"/>
  <c r="E33" i="10"/>
  <c r="F33" i="10"/>
  <c r="G33" i="10"/>
  <c r="H33" i="10"/>
  <c r="I33" i="10"/>
  <c r="L33" i="10"/>
  <c r="D34" i="10"/>
  <c r="D65" i="10"/>
  <c r="E34" i="10"/>
  <c r="F34" i="10"/>
  <c r="G34" i="10"/>
  <c r="H34" i="10"/>
  <c r="I34" i="10"/>
  <c r="J34" i="10"/>
  <c r="L34" i="10"/>
  <c r="D35" i="10"/>
  <c r="E35" i="10"/>
  <c r="F35" i="10"/>
  <c r="G35" i="10"/>
  <c r="H35" i="10"/>
  <c r="I35" i="10"/>
  <c r="L35" i="10"/>
  <c r="L36" i="10"/>
  <c r="D37" i="10"/>
  <c r="E37" i="10"/>
  <c r="F37" i="10"/>
  <c r="G37" i="10"/>
  <c r="H37" i="10"/>
  <c r="I37" i="10"/>
  <c r="J37" i="10"/>
  <c r="L37" i="10"/>
  <c r="D38" i="10"/>
  <c r="E38" i="10"/>
  <c r="F38" i="10"/>
  <c r="G38" i="10"/>
  <c r="H38" i="10"/>
  <c r="I38" i="10"/>
  <c r="J38" i="10"/>
  <c r="L38" i="10"/>
  <c r="D39" i="10"/>
  <c r="E39" i="10"/>
  <c r="F39" i="10"/>
  <c r="G39" i="10"/>
  <c r="H39" i="10"/>
  <c r="I39" i="10"/>
  <c r="J39" i="10"/>
  <c r="L39" i="10"/>
  <c r="D40" i="10"/>
  <c r="E40" i="10"/>
  <c r="F40" i="10"/>
  <c r="G40" i="10"/>
  <c r="H40" i="10"/>
  <c r="I40" i="10"/>
  <c r="J40" i="10"/>
  <c r="L40" i="10"/>
  <c r="E41" i="10"/>
  <c r="F41" i="10"/>
  <c r="G41" i="10"/>
  <c r="H41" i="10"/>
  <c r="I41" i="10"/>
  <c r="E42" i="10"/>
  <c r="F42" i="10"/>
  <c r="G42" i="10"/>
  <c r="H42" i="10"/>
  <c r="I42" i="10"/>
  <c r="L42" i="10"/>
  <c r="D43" i="10"/>
  <c r="E43" i="10"/>
  <c r="F43" i="10"/>
  <c r="G43" i="10"/>
  <c r="H43" i="10"/>
  <c r="I43" i="10"/>
  <c r="J43" i="10"/>
  <c r="L43" i="10"/>
  <c r="D44" i="10"/>
  <c r="L44" i="10"/>
  <c r="D45" i="10"/>
  <c r="L45" i="10"/>
  <c r="L46" i="10"/>
  <c r="L47" i="10"/>
  <c r="L48" i="10"/>
  <c r="L49" i="10"/>
  <c r="L50" i="10"/>
  <c r="L51" i="10"/>
  <c r="D77" i="10"/>
  <c r="D78" i="10"/>
  <c r="D79" i="10"/>
  <c r="D80" i="10"/>
  <c r="D81" i="10"/>
  <c r="D82" i="10"/>
  <c r="D2" i="11"/>
  <c r="D29" i="11"/>
  <c r="E2" i="11"/>
  <c r="E29" i="11"/>
  <c r="D3" i="11"/>
  <c r="E3" i="11"/>
  <c r="I3" i="11"/>
  <c r="D4" i="11"/>
  <c r="E4" i="11"/>
  <c r="I4" i="11"/>
  <c r="G7" i="11"/>
  <c r="D12" i="11"/>
  <c r="D34" i="11"/>
  <c r="E12" i="11"/>
  <c r="E34" i="11"/>
  <c r="I12" i="11"/>
  <c r="I34" i="11"/>
  <c r="G12" i="11"/>
  <c r="I29" i="11"/>
  <c r="D30" i="11"/>
  <c r="E30" i="11"/>
  <c r="I30" i="11"/>
  <c r="D31" i="11"/>
  <c r="D86" i="11"/>
  <c r="E31" i="11"/>
  <c r="I31" i="11"/>
  <c r="D32" i="11"/>
  <c r="E32" i="11"/>
  <c r="I32" i="11"/>
  <c r="G32" i="11"/>
  <c r="D33" i="11"/>
  <c r="E33" i="11"/>
  <c r="I33" i="11"/>
  <c r="G33" i="11"/>
  <c r="D35" i="11"/>
  <c r="E35" i="11"/>
  <c r="E36" i="11"/>
  <c r="I35" i="11"/>
  <c r="I36" i="11"/>
  <c r="I63" i="11"/>
  <c r="G63" i="11"/>
  <c r="I37" i="11"/>
  <c r="D38" i="11"/>
  <c r="E38" i="11"/>
  <c r="I38" i="11"/>
  <c r="G38" i="11"/>
  <c r="D39" i="11"/>
  <c r="E39" i="11"/>
  <c r="I39" i="11"/>
  <c r="D40" i="11"/>
  <c r="E40" i="11"/>
  <c r="I40" i="11"/>
  <c r="G40" i="11"/>
  <c r="D41" i="11"/>
  <c r="E41" i="11"/>
  <c r="I41" i="11"/>
  <c r="E42" i="11"/>
  <c r="I42" i="11"/>
  <c r="D47" i="11"/>
  <c r="I47" i="11"/>
  <c r="I48" i="11"/>
  <c r="D49" i="11"/>
  <c r="G49" i="11"/>
  <c r="D50" i="11"/>
  <c r="E50" i="11"/>
  <c r="I50" i="11"/>
  <c r="G50" i="11"/>
  <c r="E51" i="11"/>
  <c r="I51" i="11"/>
  <c r="E52" i="11"/>
  <c r="I52" i="11"/>
  <c r="G52" i="11"/>
  <c r="E53" i="11"/>
  <c r="I53" i="11"/>
  <c r="G53" i="11"/>
  <c r="H65" i="11"/>
  <c r="H72" i="11"/>
  <c r="H73" i="11"/>
  <c r="H74" i="11"/>
  <c r="D3" i="14"/>
  <c r="D4" i="14"/>
  <c r="F7" i="14"/>
  <c r="D15" i="14"/>
  <c r="D16" i="14"/>
  <c r="D18" i="14"/>
  <c r="F18" i="14"/>
  <c r="D30" i="14"/>
  <c r="F31" i="14"/>
  <c r="D32" i="14"/>
  <c r="D33" i="14"/>
  <c r="D34" i="14"/>
  <c r="D35" i="14"/>
  <c r="F36" i="14"/>
  <c r="F37" i="14"/>
  <c r="D38" i="14"/>
  <c r="F38" i="14"/>
  <c r="D39" i="14"/>
  <c r="F39" i="14"/>
  <c r="D40" i="14"/>
  <c r="F40" i="14"/>
  <c r="D41" i="14"/>
  <c r="F41" i="14"/>
  <c r="D42" i="14"/>
  <c r="F42" i="14"/>
  <c r="F43" i="14"/>
  <c r="F44" i="14"/>
  <c r="D45" i="14"/>
  <c r="F45" i="14"/>
  <c r="D46" i="14"/>
  <c r="F46" i="14"/>
  <c r="F47" i="14"/>
  <c r="D48" i="14"/>
  <c r="F48" i="14"/>
  <c r="C101" i="14"/>
  <c r="D101" i="14"/>
  <c r="C152" i="14"/>
  <c r="D152" i="14"/>
  <c r="G65" i="10"/>
  <c r="H99" i="10"/>
  <c r="D69" i="14"/>
  <c r="D67" i="14"/>
  <c r="F102" i="10"/>
  <c r="H71" i="10"/>
  <c r="G70" i="10"/>
  <c r="M10" i="16"/>
  <c r="M11" i="16"/>
  <c r="M12" i="16"/>
  <c r="M13" i="16"/>
  <c r="M14" i="16"/>
  <c r="F17" i="16"/>
  <c r="N17" i="16"/>
  <c r="M17" i="16"/>
  <c r="E82" i="10"/>
  <c r="F82" i="10"/>
  <c r="G82" i="10"/>
  <c r="L82" i="10"/>
  <c r="F69" i="14"/>
  <c r="J78" i="10"/>
  <c r="J74" i="10"/>
  <c r="D74" i="10"/>
  <c r="L74" i="10"/>
  <c r="D90" i="14"/>
  <c r="D52" i="14"/>
  <c r="E76" i="11"/>
  <c r="F75" i="10"/>
  <c r="G75" i="10"/>
  <c r="H75" i="10"/>
  <c r="I75" i="10"/>
  <c r="D62" i="14"/>
  <c r="F62" i="14"/>
  <c r="D77" i="14"/>
  <c r="D54" i="14"/>
  <c r="H60" i="10"/>
  <c r="I60" i="10"/>
  <c r="D57" i="12"/>
  <c r="D63" i="12"/>
  <c r="I90" i="11"/>
  <c r="D65" i="14"/>
  <c r="G97" i="10"/>
  <c r="D97" i="10"/>
  <c r="H97" i="10"/>
  <c r="L97" i="10"/>
  <c r="E97" i="10"/>
  <c r="I97" i="10"/>
  <c r="F97" i="10"/>
  <c r="J97" i="10"/>
  <c r="L65" i="10"/>
  <c r="J65" i="10"/>
  <c r="D86" i="10"/>
  <c r="E68" i="11"/>
  <c r="E58" i="10"/>
  <c r="D88" i="14"/>
  <c r="D101" i="10"/>
  <c r="H101" i="10"/>
  <c r="L101" i="10"/>
  <c r="E101" i="10"/>
  <c r="I101" i="10"/>
  <c r="F101" i="10"/>
  <c r="J101" i="10"/>
  <c r="D102" i="10"/>
  <c r="H102" i="10"/>
  <c r="L102" i="10"/>
  <c r="E102" i="10"/>
  <c r="I102" i="10"/>
  <c r="G102" i="10"/>
  <c r="I102" i="11"/>
  <c r="G102" i="11"/>
  <c r="J113" i="10"/>
  <c r="L106" i="10"/>
  <c r="J106" i="10"/>
  <c r="F100" i="10"/>
  <c r="J100" i="10"/>
  <c r="G100" i="10"/>
  <c r="L100" i="10"/>
  <c r="E100" i="10"/>
  <c r="I100" i="10"/>
  <c r="F104" i="10"/>
  <c r="J104" i="10"/>
  <c r="D104" i="10"/>
  <c r="H104" i="10"/>
  <c r="E104" i="10"/>
  <c r="I104" i="10"/>
  <c r="D93" i="12"/>
  <c r="D74" i="14"/>
  <c r="I55" i="10"/>
  <c r="E58" i="11"/>
  <c r="D81" i="14"/>
  <c r="I88" i="11"/>
  <c r="D59" i="11"/>
  <c r="E60" i="11"/>
  <c r="I93" i="10"/>
  <c r="I94" i="11"/>
  <c r="F88" i="14"/>
  <c r="D79" i="14"/>
  <c r="F65" i="14"/>
  <c r="F77" i="14"/>
  <c r="J87" i="10"/>
  <c r="G87" i="10"/>
  <c r="F79" i="14"/>
  <c r="E102" i="11"/>
  <c r="D63" i="11"/>
  <c r="J90" i="10"/>
  <c r="I68" i="11"/>
  <c r="G89" i="10"/>
  <c r="E89" i="10"/>
  <c r="G93" i="10"/>
  <c r="D93" i="10"/>
  <c r="E93" i="10"/>
  <c r="F93" i="10"/>
  <c r="J93" i="10"/>
  <c r="H55" i="10"/>
  <c r="D98" i="12"/>
  <c r="I88" i="10"/>
  <c r="D58" i="10"/>
  <c r="G63" i="10"/>
  <c r="D63" i="10"/>
  <c r="E63" i="10"/>
  <c r="B117" i="12"/>
  <c r="D68" i="14"/>
  <c r="F68" i="14"/>
  <c r="D76" i="12"/>
  <c r="B130" i="12"/>
  <c r="D55" i="12"/>
  <c r="F89" i="14"/>
  <c r="D89" i="14"/>
  <c r="F35" i="14"/>
  <c r="L104" i="10"/>
  <c r="I103" i="11"/>
  <c r="G103" i="11"/>
  <c r="D103" i="11"/>
  <c r="D85" i="12"/>
  <c r="D59" i="12"/>
  <c r="B113" i="12"/>
  <c r="I93" i="11"/>
  <c r="B118" i="12"/>
  <c r="D61" i="14"/>
  <c r="F61" i="14"/>
  <c r="G60" i="10"/>
  <c r="D60" i="10"/>
  <c r="L60" i="10"/>
  <c r="J60" i="10"/>
  <c r="E60" i="10"/>
  <c r="F60" i="10"/>
  <c r="G74" i="11"/>
  <c r="J81" i="10"/>
  <c r="D99" i="12"/>
  <c r="F60" i="14"/>
  <c r="D60" i="14"/>
  <c r="F57" i="14"/>
  <c r="D57" i="14"/>
  <c r="F78" i="14"/>
  <c r="D78" i="14"/>
  <c r="E67" i="11"/>
  <c r="I67" i="11"/>
  <c r="I23" i="11"/>
  <c r="E94" i="10"/>
  <c r="G94" i="10"/>
  <c r="H94" i="10"/>
  <c r="D94" i="10"/>
  <c r="L94" i="10"/>
  <c r="D65" i="12"/>
  <c r="F65" i="12"/>
  <c r="B119" i="12"/>
  <c r="J91" i="10"/>
  <c r="L93" i="10"/>
  <c r="L63" i="10"/>
  <c r="L89" i="10"/>
  <c r="F27" i="12"/>
  <c r="L56" i="10"/>
  <c r="L87" i="10"/>
  <c r="J94" i="10"/>
  <c r="J63" i="10"/>
  <c r="F55" i="10"/>
  <c r="L71" i="10"/>
  <c r="G71" i="10"/>
  <c r="E71" i="10"/>
  <c r="I108" i="10"/>
  <c r="E78" i="10"/>
  <c r="G78" i="10"/>
  <c r="I78" i="10"/>
  <c r="H78" i="10"/>
  <c r="F78" i="10"/>
  <c r="L78" i="10"/>
  <c r="E106" i="10"/>
  <c r="G106" i="10"/>
  <c r="D106" i="10"/>
  <c r="I106" i="10"/>
  <c r="H106" i="10"/>
  <c r="F106" i="10"/>
  <c r="E66" i="10"/>
  <c r="H66" i="10"/>
  <c r="E65" i="10"/>
  <c r="I65" i="10"/>
  <c r="H65" i="10"/>
  <c r="G104" i="10"/>
  <c r="E55" i="10"/>
  <c r="D67" i="10"/>
  <c r="I67" i="10"/>
  <c r="F67" i="10"/>
  <c r="H67" i="10"/>
  <c r="J67" i="10"/>
  <c r="L67" i="10"/>
  <c r="L41" i="10"/>
  <c r="J71" i="10"/>
  <c r="J102" i="10"/>
  <c r="H100" i="10"/>
  <c r="F63" i="10"/>
  <c r="E67" i="10"/>
  <c r="D100" i="10"/>
  <c r="G101" i="10"/>
  <c r="J92" i="10"/>
  <c r="E92" i="10"/>
  <c r="F71" i="10"/>
  <c r="H93" i="10"/>
  <c r="G67" i="10"/>
  <c r="L30" i="10"/>
  <c r="G90" i="10"/>
  <c r="D76" i="11"/>
  <c r="I59" i="11"/>
  <c r="G94" i="11"/>
  <c r="I86" i="11"/>
  <c r="G72" i="11"/>
  <c r="G31" i="11"/>
  <c r="G39" i="11"/>
  <c r="G35" i="11"/>
  <c r="G41" i="11"/>
  <c r="G37" i="11"/>
  <c r="J56" i="10"/>
  <c r="D56" i="10"/>
  <c r="I56" i="10"/>
  <c r="F56" i="10"/>
  <c r="G56" i="10"/>
  <c r="F86" i="10"/>
  <c r="E59" i="11"/>
  <c r="B109" i="12"/>
  <c r="B111" i="12"/>
  <c r="E86" i="10"/>
  <c r="D84" i="12"/>
  <c r="D60" i="11"/>
  <c r="E87" i="11"/>
  <c r="D36" i="11"/>
  <c r="D91" i="11"/>
  <c r="D94" i="11"/>
  <c r="D79" i="11"/>
  <c r="I76" i="11"/>
  <c r="G76" i="11"/>
  <c r="E94" i="11"/>
  <c r="D102" i="11"/>
  <c r="D68" i="11"/>
  <c r="D67" i="11"/>
  <c r="D93" i="11"/>
  <c r="D90" i="11"/>
  <c r="D80" i="11"/>
  <c r="E63" i="11"/>
  <c r="D73" i="14"/>
  <c r="F73" i="14"/>
  <c r="E85" i="11"/>
  <c r="L86" i="10"/>
  <c r="G86" i="10"/>
  <c r="H86" i="10"/>
  <c r="F54" i="14"/>
  <c r="D88" i="11"/>
  <c r="F74" i="14"/>
  <c r="F55" i="14"/>
  <c r="D55" i="14"/>
  <c r="D83" i="12"/>
  <c r="B110" i="12"/>
  <c r="D56" i="12"/>
  <c r="L55" i="10"/>
  <c r="J55" i="10"/>
  <c r="J15" i="10"/>
  <c r="G55" i="10"/>
  <c r="I58" i="11"/>
  <c r="D58" i="11"/>
  <c r="I91" i="11"/>
  <c r="I85" i="11"/>
  <c r="G15" i="10"/>
  <c r="L15" i="10"/>
  <c r="E90" i="11"/>
  <c r="D86" i="12"/>
  <c r="L88" i="10"/>
  <c r="L26" i="10"/>
  <c r="F112" i="10"/>
  <c r="H112" i="10"/>
  <c r="J112" i="10"/>
  <c r="L112" i="10"/>
  <c r="G112" i="10"/>
  <c r="E112" i="10"/>
  <c r="D112" i="10"/>
  <c r="I112" i="10"/>
  <c r="F99" i="10"/>
  <c r="E105" i="10"/>
  <c r="H105" i="10"/>
  <c r="F105" i="10"/>
  <c r="I105" i="10"/>
  <c r="D105" i="10"/>
  <c r="L105" i="10"/>
  <c r="J111" i="10"/>
  <c r="G111" i="10"/>
  <c r="L111" i="10"/>
  <c r="I111" i="10"/>
  <c r="F111" i="10"/>
  <c r="D111" i="10"/>
  <c r="H111" i="10"/>
  <c r="E111" i="10"/>
  <c r="F99" i="12"/>
  <c r="F79" i="10"/>
  <c r="L79" i="10"/>
  <c r="J79" i="10"/>
  <c r="E79" i="10"/>
  <c r="G79" i="10"/>
  <c r="I79" i="10"/>
  <c r="H79" i="10"/>
  <c r="D72" i="10"/>
  <c r="J72" i="10"/>
  <c r="L72" i="10"/>
  <c r="D71" i="10"/>
  <c r="B126" i="12"/>
  <c r="I80" i="10"/>
  <c r="G80" i="10"/>
  <c r="I71" i="10"/>
  <c r="D70" i="10"/>
  <c r="I70" i="10"/>
  <c r="I80" i="11"/>
  <c r="E80" i="11"/>
  <c r="E80" i="10"/>
  <c r="J70" i="10"/>
  <c r="D72" i="12"/>
  <c r="J80" i="10"/>
  <c r="L70" i="10"/>
  <c r="F70" i="10"/>
  <c r="J73" i="10"/>
  <c r="H73" i="10"/>
  <c r="E73" i="10"/>
  <c r="F73" i="10"/>
  <c r="L73" i="10"/>
  <c r="D73" i="10"/>
  <c r="I73" i="10"/>
  <c r="G73" i="10"/>
  <c r="I74" i="10"/>
  <c r="F57" i="10"/>
  <c r="F17" i="10"/>
  <c r="J57" i="10"/>
  <c r="J17" i="10"/>
  <c r="D89" i="11"/>
  <c r="G58" i="10"/>
  <c r="I58" i="10"/>
  <c r="J58" i="10"/>
  <c r="L58" i="10"/>
  <c r="D87" i="14"/>
  <c r="F87" i="14"/>
  <c r="D89" i="12"/>
  <c r="F75" i="14"/>
  <c r="D75" i="14"/>
  <c r="J86" i="10"/>
  <c r="F63" i="14"/>
  <c r="D63" i="14"/>
  <c r="F83" i="14"/>
  <c r="F82" i="14"/>
  <c r="I87" i="10"/>
  <c r="D87" i="10"/>
  <c r="F87" i="10"/>
  <c r="H87" i="10"/>
  <c r="F98" i="12"/>
  <c r="D62" i="12"/>
  <c r="B116" i="12"/>
  <c r="D64" i="14"/>
  <c r="F72" i="10"/>
  <c r="H72" i="10"/>
  <c r="E72" i="10"/>
  <c r="G72" i="10"/>
  <c r="I72" i="10"/>
  <c r="H77" i="10"/>
  <c r="G96" i="10"/>
  <c r="D53" i="14"/>
  <c r="F81" i="14"/>
  <c r="D82" i="14"/>
  <c r="E86" i="11"/>
  <c r="G86" i="11"/>
  <c r="F86" i="14"/>
  <c r="D86" i="14"/>
  <c r="D90" i="10"/>
  <c r="H90" i="10"/>
  <c r="F90" i="10"/>
  <c r="I69" i="10"/>
  <c r="G105" i="10"/>
  <c r="J105" i="10"/>
  <c r="E88" i="11"/>
  <c r="J88" i="10"/>
  <c r="F58" i="10"/>
  <c r="H58" i="10"/>
  <c r="D89" i="10"/>
  <c r="F89" i="10"/>
  <c r="J89" i="10"/>
  <c r="D62" i="10"/>
  <c r="L62" i="10"/>
  <c r="J62" i="10"/>
  <c r="D85" i="14"/>
  <c r="F32" i="14"/>
  <c r="F33" i="14"/>
  <c r="G48" i="11"/>
  <c r="F61" i="10"/>
  <c r="F34" i="14"/>
  <c r="G51" i="11"/>
  <c r="D64" i="12"/>
  <c r="F26" i="12"/>
  <c r="C73" i="11"/>
  <c r="L57" i="10"/>
  <c r="I57" i="10"/>
  <c r="I17" i="10"/>
  <c r="L17" i="10"/>
  <c r="D22" i="14"/>
  <c r="F53" i="14"/>
  <c r="F22" i="14"/>
  <c r="D75" i="12"/>
  <c r="B129" i="12"/>
  <c r="G68" i="10"/>
  <c r="F68" i="10"/>
  <c r="D68" i="10"/>
  <c r="J68" i="10"/>
  <c r="H68" i="10"/>
  <c r="E68" i="10"/>
  <c r="L68" i="10"/>
  <c r="I68" i="10"/>
  <c r="D92" i="12"/>
  <c r="E69" i="10"/>
  <c r="G69" i="10"/>
  <c r="H69" i="10"/>
  <c r="L69" i="10"/>
  <c r="F66" i="14"/>
  <c r="D66" i="14"/>
  <c r="I66" i="11"/>
  <c r="E66" i="11"/>
  <c r="D66" i="11"/>
  <c r="D95" i="11"/>
  <c r="I95" i="11"/>
  <c r="G95" i="11"/>
  <c r="H96" i="10"/>
  <c r="L77" i="10"/>
  <c r="G77" i="10"/>
  <c r="E77" i="10"/>
  <c r="H61" i="10"/>
  <c r="J61" i="10"/>
  <c r="E61" i="10"/>
  <c r="D61" i="10"/>
  <c r="I61" i="10"/>
  <c r="G61" i="10"/>
  <c r="F85" i="14"/>
  <c r="E65" i="11"/>
  <c r="I65" i="11"/>
  <c r="G65" i="11"/>
  <c r="D65" i="11"/>
  <c r="L61" i="10"/>
  <c r="E87" i="10"/>
  <c r="F15" i="10"/>
  <c r="E15" i="10"/>
  <c r="E57" i="10"/>
  <c r="E17" i="10"/>
  <c r="D55" i="10"/>
  <c r="D15" i="10"/>
  <c r="D96" i="10"/>
  <c r="I63" i="10"/>
  <c r="I15" i="10"/>
  <c r="I86" i="10"/>
  <c r="H15" i="10"/>
  <c r="H88" i="10"/>
  <c r="H57" i="10"/>
  <c r="H17" i="10"/>
  <c r="H91" i="10"/>
  <c r="G88" i="10"/>
  <c r="G57" i="10"/>
  <c r="G17" i="10"/>
  <c r="E103" i="11"/>
  <c r="E95" i="11"/>
  <c r="E64" i="11"/>
  <c r="E91" i="11"/>
  <c r="D71" i="11"/>
  <c r="E71" i="11"/>
  <c r="G73" i="11"/>
  <c r="F64" i="12"/>
  <c r="F63" i="12"/>
  <c r="F36" i="12"/>
  <c r="F31" i="12"/>
  <c r="F30" i="12"/>
  <c r="F59" i="12"/>
  <c r="F13" i="12"/>
  <c r="F86" i="12"/>
  <c r="F87" i="12"/>
  <c r="F32" i="12"/>
  <c r="F85" i="12"/>
  <c r="G80" i="11"/>
  <c r="G42" i="11"/>
  <c r="G90" i="11"/>
  <c r="G66" i="11"/>
  <c r="G91" i="11"/>
  <c r="G68" i="11"/>
  <c r="G34" i="11"/>
  <c r="G59" i="11"/>
  <c r="G93" i="11"/>
  <c r="G30" i="11"/>
  <c r="F75" i="12"/>
  <c r="H110" i="10"/>
  <c r="F110" i="10"/>
  <c r="D110" i="10"/>
  <c r="I110" i="10"/>
  <c r="J110" i="10"/>
  <c r="E110" i="10"/>
  <c r="L110" i="10"/>
  <c r="G110" i="10"/>
  <c r="D54" i="12"/>
  <c r="D57" i="10"/>
  <c r="D17" i="10"/>
  <c r="D88" i="10"/>
  <c r="F84" i="12"/>
  <c r="F29" i="12"/>
  <c r="F57" i="12"/>
  <c r="F83" i="12"/>
  <c r="F28" i="12"/>
  <c r="E103" i="10"/>
  <c r="D103" i="10"/>
  <c r="I103" i="10"/>
  <c r="H103" i="10"/>
  <c r="L103" i="10"/>
  <c r="F103" i="10"/>
  <c r="J103" i="10"/>
  <c r="F91" i="12"/>
  <c r="L96" i="10"/>
  <c r="F96" i="10"/>
  <c r="D58" i="12"/>
  <c r="D19" i="12"/>
  <c r="F89" i="12"/>
  <c r="L99" i="10"/>
  <c r="E99" i="10"/>
  <c r="G23" i="11"/>
  <c r="G67" i="11"/>
  <c r="B108" i="12"/>
  <c r="E62" i="10"/>
  <c r="I62" i="10"/>
  <c r="G62" i="10"/>
  <c r="E79" i="11"/>
  <c r="I79" i="11"/>
  <c r="G113" i="10"/>
  <c r="E113" i="10"/>
  <c r="D113" i="10"/>
  <c r="I113" i="10"/>
  <c r="H113" i="10"/>
  <c r="F113" i="10"/>
  <c r="G108" i="10"/>
  <c r="F108" i="10"/>
  <c r="J108" i="10"/>
  <c r="E108" i="10"/>
  <c r="H108" i="10"/>
  <c r="L108" i="10"/>
  <c r="D108" i="10"/>
  <c r="D91" i="12"/>
  <c r="J77" i="10"/>
  <c r="I77" i="10"/>
  <c r="J96" i="10"/>
  <c r="E96" i="10"/>
  <c r="F69" i="10"/>
  <c r="J69" i="10"/>
  <c r="D83" i="14"/>
  <c r="B112" i="12"/>
  <c r="D69" i="10"/>
  <c r="I99" i="10"/>
  <c r="J99" i="10"/>
  <c r="D99" i="10"/>
  <c r="F52" i="14"/>
  <c r="I64" i="11"/>
  <c r="F56" i="12"/>
  <c r="I91" i="10"/>
  <c r="G91" i="10"/>
  <c r="E91" i="10"/>
  <c r="D91" i="10"/>
  <c r="F91" i="10"/>
  <c r="L91" i="10"/>
  <c r="D90" i="12"/>
  <c r="D82" i="12"/>
  <c r="L113" i="10"/>
  <c r="G103" i="10"/>
  <c r="L92" i="10"/>
  <c r="D92" i="10"/>
  <c r="F92" i="10"/>
  <c r="I92" i="10"/>
  <c r="H92" i="10"/>
  <c r="G92" i="10"/>
  <c r="B120" i="12"/>
  <c r="D66" i="12"/>
  <c r="F66" i="12"/>
  <c r="F77" i="10"/>
  <c r="I96" i="10"/>
  <c r="G99" i="10"/>
  <c r="D85" i="11"/>
  <c r="D64" i="11"/>
  <c r="I87" i="11"/>
  <c r="D87" i="11"/>
  <c r="G88" i="11"/>
  <c r="F62" i="12"/>
  <c r="F76" i="12"/>
  <c r="D76" i="14"/>
  <c r="F76" i="14"/>
  <c r="I89" i="11"/>
  <c r="G89" i="11"/>
  <c r="E89" i="11"/>
  <c r="I90" i="10"/>
  <c r="E90" i="10"/>
  <c r="E61" i="11"/>
  <c r="I61" i="11"/>
  <c r="D61" i="11"/>
  <c r="E81" i="10"/>
  <c r="G81" i="10"/>
  <c r="H81" i="10"/>
  <c r="I81" i="10"/>
  <c r="L81" i="10"/>
  <c r="F81" i="10"/>
  <c r="F80" i="10"/>
  <c r="L80" i="10"/>
  <c r="H80" i="10"/>
  <c r="F66" i="10"/>
  <c r="J66" i="10"/>
  <c r="G66" i="10"/>
  <c r="L66" i="10"/>
  <c r="I66" i="10"/>
  <c r="D66" i="10"/>
  <c r="E88" i="10"/>
  <c r="F88" i="10"/>
  <c r="F64" i="14"/>
  <c r="J75" i="10"/>
  <c r="L75" i="10"/>
  <c r="D75" i="10"/>
  <c r="E75" i="10"/>
  <c r="G47" i="11"/>
  <c r="E93" i="11"/>
  <c r="I60" i="11"/>
  <c r="F55" i="12"/>
  <c r="F72" i="12"/>
  <c r="E70" i="10"/>
  <c r="I82" i="10"/>
  <c r="H82" i="10"/>
  <c r="J82" i="10"/>
  <c r="F93" i="12"/>
  <c r="H70" i="10"/>
  <c r="F65" i="10"/>
  <c r="H63" i="10"/>
  <c r="I89" i="10"/>
  <c r="H89" i="10"/>
  <c r="I94" i="10"/>
  <c r="F94" i="10"/>
  <c r="F67" i="14"/>
  <c r="F90" i="14"/>
  <c r="F74" i="10"/>
  <c r="H74" i="10"/>
  <c r="G74" i="10"/>
  <c r="E74" i="10"/>
  <c r="F62" i="10"/>
  <c r="F59" i="10"/>
  <c r="G61" i="11"/>
  <c r="G36" i="11"/>
  <c r="G60" i="11"/>
  <c r="F54" i="12"/>
  <c r="I109" i="10"/>
  <c r="J109" i="10"/>
  <c r="F109" i="10"/>
  <c r="G109" i="10"/>
  <c r="D109" i="10"/>
  <c r="L109" i="10"/>
  <c r="E109" i="10"/>
  <c r="H109" i="10"/>
  <c r="B114" i="12"/>
  <c r="D60" i="12"/>
  <c r="D103" i="12"/>
  <c r="E75" i="11"/>
  <c r="I75" i="11"/>
  <c r="D75" i="11"/>
  <c r="E16" i="11"/>
  <c r="G64" i="11"/>
  <c r="I21" i="11"/>
  <c r="E106" i="11"/>
  <c r="D106" i="11"/>
  <c r="I106" i="11"/>
  <c r="D17" i="12"/>
  <c r="I16" i="11"/>
  <c r="D71" i="12"/>
  <c r="B125" i="12"/>
  <c r="E62" i="11"/>
  <c r="E18" i="11"/>
  <c r="E23" i="11"/>
  <c r="I62" i="11"/>
  <c r="I18" i="11"/>
  <c r="D62" i="11"/>
  <c r="D18" i="11"/>
  <c r="D23" i="11"/>
  <c r="F92" i="12"/>
  <c r="F82" i="12"/>
  <c r="G85" i="11"/>
  <c r="D102" i="12"/>
  <c r="D59" i="10"/>
  <c r="H59" i="10"/>
  <c r="I59" i="10"/>
  <c r="G59" i="10"/>
  <c r="J59" i="10"/>
  <c r="E59" i="10"/>
  <c r="G79" i="11"/>
  <c r="D84" i="14"/>
  <c r="F81" i="12"/>
  <c r="E98" i="10"/>
  <c r="L98" i="10"/>
  <c r="G98" i="10"/>
  <c r="J98" i="10"/>
  <c r="H98" i="10"/>
  <c r="I98" i="10"/>
  <c r="F98" i="10"/>
  <c r="D98" i="10"/>
  <c r="D56" i="14"/>
  <c r="L90" i="10"/>
  <c r="D107" i="11"/>
  <c r="E107" i="11"/>
  <c r="I107" i="11"/>
  <c r="G87" i="11"/>
  <c r="F19" i="12"/>
  <c r="F58" i="12"/>
  <c r="D58" i="14"/>
  <c r="F90" i="12"/>
  <c r="D16" i="11"/>
  <c r="G107" i="11"/>
  <c r="E81" i="11"/>
  <c r="D81" i="11"/>
  <c r="I81" i="11"/>
  <c r="B131" i="12"/>
  <c r="D77" i="12"/>
  <c r="F71" i="12"/>
  <c r="D96" i="12"/>
  <c r="D69" i="11"/>
  <c r="E69" i="11"/>
  <c r="I69" i="11"/>
  <c r="D80" i="14"/>
  <c r="D72" i="14"/>
  <c r="D20" i="14"/>
  <c r="D21" i="14"/>
  <c r="D94" i="12"/>
  <c r="E70" i="11"/>
  <c r="D70" i="11"/>
  <c r="I70" i="11"/>
  <c r="D92" i="11"/>
  <c r="E92" i="11"/>
  <c r="I92" i="11"/>
  <c r="D100" i="12"/>
  <c r="F60" i="12"/>
  <c r="E77" i="11"/>
  <c r="I77" i="11"/>
  <c r="G77" i="11"/>
  <c r="D77" i="11"/>
  <c r="D97" i="11"/>
  <c r="I97" i="11"/>
  <c r="E97" i="11"/>
  <c r="I100" i="11"/>
  <c r="G100" i="11"/>
  <c r="E100" i="11"/>
  <c r="D100" i="11"/>
  <c r="H64" i="10"/>
  <c r="J64" i="10"/>
  <c r="D64" i="10"/>
  <c r="D76" i="10"/>
  <c r="D16" i="10"/>
  <c r="G64" i="10"/>
  <c r="G76" i="10"/>
  <c r="G54" i="10"/>
  <c r="G10" i="10"/>
  <c r="I64" i="10"/>
  <c r="I76" i="10"/>
  <c r="I16" i="10"/>
  <c r="L64" i="10"/>
  <c r="F64" i="10"/>
  <c r="E64" i="10"/>
  <c r="I99" i="11"/>
  <c r="G99" i="11"/>
  <c r="D99" i="11"/>
  <c r="E99" i="11"/>
  <c r="I98" i="11"/>
  <c r="E98" i="11"/>
  <c r="F69" i="12"/>
  <c r="D69" i="12"/>
  <c r="B123" i="12"/>
  <c r="D105" i="11"/>
  <c r="E105" i="11"/>
  <c r="I105" i="11"/>
  <c r="I104" i="11"/>
  <c r="D104" i="11"/>
  <c r="E104" i="11"/>
  <c r="G75" i="11"/>
  <c r="G16" i="10"/>
  <c r="E76" i="10"/>
  <c r="J76" i="10"/>
  <c r="L76" i="10"/>
  <c r="F76" i="10"/>
  <c r="H76" i="10"/>
  <c r="D24" i="14"/>
  <c r="E95" i="10"/>
  <c r="H95" i="10"/>
  <c r="J95" i="10"/>
  <c r="I95" i="10"/>
  <c r="D95" i="10"/>
  <c r="G95" i="10"/>
  <c r="F95" i="10"/>
  <c r="F58" i="14"/>
  <c r="F24" i="14"/>
  <c r="F56" i="14"/>
  <c r="E16" i="10"/>
  <c r="E54" i="10"/>
  <c r="E10" i="10"/>
  <c r="L59" i="10"/>
  <c r="F102" i="12"/>
  <c r="D104" i="12"/>
  <c r="D61" i="12"/>
  <c r="B115" i="12"/>
  <c r="I96" i="11"/>
  <c r="D96" i="11"/>
  <c r="E96" i="11"/>
  <c r="B121" i="12"/>
  <c r="D67" i="12"/>
  <c r="I101" i="11"/>
  <c r="D101" i="11"/>
  <c r="E101" i="11"/>
  <c r="D68" i="12"/>
  <c r="B122" i="12"/>
  <c r="D54" i="10"/>
  <c r="D10" i="10"/>
  <c r="G106" i="11"/>
  <c r="G21" i="11"/>
  <c r="E21" i="11"/>
  <c r="F103" i="12"/>
  <c r="D74" i="12"/>
  <c r="B128" i="12"/>
  <c r="B127" i="12"/>
  <c r="D73" i="12"/>
  <c r="D21" i="11"/>
  <c r="F84" i="14"/>
  <c r="J16" i="10"/>
  <c r="J54" i="10"/>
  <c r="J10" i="10"/>
  <c r="H16" i="10"/>
  <c r="H54" i="10"/>
  <c r="H10" i="10"/>
  <c r="G18" i="11"/>
  <c r="E108" i="11"/>
  <c r="I108" i="11"/>
  <c r="D108" i="11"/>
  <c r="D88" i="12"/>
  <c r="G163" i="14"/>
  <c r="D59" i="14"/>
  <c r="D23" i="14"/>
  <c r="F59" i="14"/>
  <c r="D70" i="12"/>
  <c r="B124" i="12"/>
  <c r="D95" i="12"/>
  <c r="D97" i="12"/>
  <c r="G16" i="11"/>
  <c r="F101" i="12"/>
  <c r="D101" i="12"/>
  <c r="I107" i="10"/>
  <c r="L107" i="10"/>
  <c r="J107" i="10"/>
  <c r="G107" i="10"/>
  <c r="E107" i="10"/>
  <c r="F107" i="10"/>
  <c r="D107" i="10"/>
  <c r="H107" i="10"/>
  <c r="D139" i="14"/>
  <c r="G112" i="14"/>
  <c r="D164" i="14"/>
  <c r="C114" i="14"/>
  <c r="F17" i="12"/>
  <c r="D78" i="11"/>
  <c r="E78" i="11"/>
  <c r="I78" i="11"/>
  <c r="I57" i="11"/>
  <c r="I11" i="11"/>
  <c r="G108" i="11"/>
  <c r="G81" i="11"/>
  <c r="G70" i="11"/>
  <c r="F18" i="12"/>
  <c r="G18" i="10"/>
  <c r="G19" i="10"/>
  <c r="G12" i="10"/>
  <c r="H18" i="10"/>
  <c r="H12" i="10"/>
  <c r="G164" i="14"/>
  <c r="D188" i="14"/>
  <c r="I13" i="11"/>
  <c r="C164" i="14"/>
  <c r="F95" i="12"/>
  <c r="H19" i="10"/>
  <c r="F74" i="12"/>
  <c r="B190" i="14"/>
  <c r="F165" i="14"/>
  <c r="D190" i="14"/>
  <c r="D189" i="14"/>
  <c r="C191" i="14"/>
  <c r="D138" i="14"/>
  <c r="F114" i="14"/>
  <c r="F67" i="12"/>
  <c r="G96" i="11"/>
  <c r="L16" i="10"/>
  <c r="F85" i="10"/>
  <c r="F13" i="10"/>
  <c r="F14" i="10"/>
  <c r="J85" i="10"/>
  <c r="J13" i="10"/>
  <c r="J14" i="10"/>
  <c r="D51" i="14"/>
  <c r="D17" i="14"/>
  <c r="C139" i="14"/>
  <c r="G114" i="14"/>
  <c r="G105" i="11"/>
  <c r="I54" i="10"/>
  <c r="I10" i="10"/>
  <c r="D140" i="14"/>
  <c r="D84" i="11"/>
  <c r="D14" i="11"/>
  <c r="D15" i="11"/>
  <c r="F80" i="14"/>
  <c r="F72" i="14"/>
  <c r="D17" i="11"/>
  <c r="D57" i="11"/>
  <c r="D11" i="11"/>
  <c r="F96" i="12"/>
  <c r="F88" i="12"/>
  <c r="G166" i="14"/>
  <c r="B191" i="14"/>
  <c r="C189" i="14"/>
  <c r="D191" i="14"/>
  <c r="F164" i="14"/>
  <c r="B140" i="14"/>
  <c r="C137" i="14"/>
  <c r="F68" i="12"/>
  <c r="D53" i="12"/>
  <c r="D12" i="12"/>
  <c r="L54" i="10"/>
  <c r="G85" i="10"/>
  <c r="G13" i="10"/>
  <c r="G14" i="10"/>
  <c r="H85" i="10"/>
  <c r="H13" i="10"/>
  <c r="H14" i="10"/>
  <c r="D165" i="14"/>
  <c r="C115" i="14"/>
  <c r="F54" i="10"/>
  <c r="F10" i="10"/>
  <c r="F16" i="10"/>
  <c r="D137" i="14"/>
  <c r="C163" i="14"/>
  <c r="C112" i="14"/>
  <c r="F77" i="12"/>
  <c r="F97" i="12"/>
  <c r="J18" i="10"/>
  <c r="J20" i="10"/>
  <c r="J12" i="10"/>
  <c r="C190" i="14"/>
  <c r="G78" i="11"/>
  <c r="C113" i="14"/>
  <c r="G113" i="14"/>
  <c r="G115" i="14"/>
  <c r="F70" i="12"/>
  <c r="D80" i="12"/>
  <c r="D15" i="12"/>
  <c r="D16" i="12"/>
  <c r="J19" i="10"/>
  <c r="F73" i="12"/>
  <c r="G165" i="14"/>
  <c r="B188" i="14"/>
  <c r="F163" i="14"/>
  <c r="D166" i="14"/>
  <c r="F115" i="14"/>
  <c r="G101" i="11"/>
  <c r="C132" i="12"/>
  <c r="C134" i="12"/>
  <c r="C135" i="12"/>
  <c r="C136" i="12"/>
  <c r="C137" i="12"/>
  <c r="F132" i="12"/>
  <c r="D132" i="12"/>
  <c r="D134" i="12"/>
  <c r="D135" i="12"/>
  <c r="D136" i="12"/>
  <c r="D137" i="12"/>
  <c r="G132" i="12"/>
  <c r="G134" i="12"/>
  <c r="G135" i="12"/>
  <c r="G136" i="12"/>
  <c r="G137" i="12"/>
  <c r="F51" i="14"/>
  <c r="D85" i="10"/>
  <c r="D13" i="10"/>
  <c r="D14" i="10"/>
  <c r="L95" i="10"/>
  <c r="D163" i="14"/>
  <c r="D112" i="14"/>
  <c r="D114" i="14"/>
  <c r="G104" i="11"/>
  <c r="G98" i="11"/>
  <c r="G97" i="11"/>
  <c r="D113" i="14"/>
  <c r="F112" i="14"/>
  <c r="B138" i="14"/>
  <c r="C138" i="14"/>
  <c r="G92" i="11"/>
  <c r="I84" i="11"/>
  <c r="F94" i="12"/>
  <c r="I22" i="11"/>
  <c r="G69" i="11"/>
  <c r="I17" i="11"/>
  <c r="I19" i="11"/>
  <c r="F166" i="14"/>
  <c r="C188" i="14"/>
  <c r="B189" i="14"/>
  <c r="C166" i="14"/>
  <c r="D115" i="14"/>
  <c r="D20" i="10"/>
  <c r="D12" i="10"/>
  <c r="D18" i="10"/>
  <c r="D19" i="10"/>
  <c r="F61" i="12"/>
  <c r="F104" i="12"/>
  <c r="E18" i="10"/>
  <c r="E19" i="10"/>
  <c r="E12" i="10"/>
  <c r="I85" i="10"/>
  <c r="I13" i="10"/>
  <c r="I14" i="10"/>
  <c r="E85" i="10"/>
  <c r="E13" i="10"/>
  <c r="E14" i="10"/>
  <c r="D18" i="12"/>
  <c r="C140" i="14"/>
  <c r="F113" i="14"/>
  <c r="B139" i="14"/>
  <c r="B137" i="14"/>
  <c r="C165" i="14"/>
  <c r="F100" i="12"/>
  <c r="E84" i="11"/>
  <c r="E14" i="11"/>
  <c r="E15" i="11"/>
  <c r="E17" i="11"/>
  <c r="E57" i="11"/>
  <c r="E11" i="11"/>
  <c r="G19" i="11"/>
  <c r="G11" i="11"/>
  <c r="G57" i="11"/>
  <c r="E26" i="11"/>
  <c r="E13" i="11"/>
  <c r="E19" i="11"/>
  <c r="E24" i="11"/>
  <c r="F20" i="10"/>
  <c r="F18" i="10"/>
  <c r="F12" i="10"/>
  <c r="L10" i="10"/>
  <c r="E22" i="11"/>
  <c r="E20" i="11"/>
  <c r="G17" i="11"/>
  <c r="I20" i="11"/>
  <c r="G84" i="11"/>
  <c r="I14" i="11"/>
  <c r="F137" i="12"/>
  <c r="F134" i="12"/>
  <c r="F135" i="12"/>
  <c r="F136" i="12"/>
  <c r="D19" i="11"/>
  <c r="D24" i="11"/>
  <c r="D13" i="11"/>
  <c r="D26" i="11"/>
  <c r="G13" i="11"/>
  <c r="H20" i="10"/>
  <c r="G20" i="10"/>
  <c r="E20" i="10"/>
  <c r="F53" i="12"/>
  <c r="L85" i="10"/>
  <c r="D20" i="12"/>
  <c r="D21" i="12"/>
  <c r="D14" i="12"/>
  <c r="D22" i="12"/>
  <c r="F80" i="12"/>
  <c r="D22" i="11"/>
  <c r="D20" i="11"/>
  <c r="I18" i="10"/>
  <c r="I19" i="10"/>
  <c r="I20" i="10"/>
  <c r="I12" i="10"/>
  <c r="F23" i="14"/>
  <c r="I24" i="11"/>
  <c r="F19" i="10"/>
  <c r="F17" i="14"/>
  <c r="F25" i="14"/>
  <c r="F20" i="14"/>
  <c r="F21" i="14"/>
  <c r="D25" i="14"/>
  <c r="D26" i="14"/>
  <c r="D19" i="14"/>
  <c r="D27" i="14"/>
  <c r="G24" i="11"/>
  <c r="G22" i="11"/>
  <c r="G20" i="11"/>
  <c r="F19" i="14"/>
  <c r="F27" i="14"/>
  <c r="I25" i="11"/>
  <c r="D25" i="11"/>
  <c r="L13" i="10"/>
  <c r="L14" i="10"/>
  <c r="E25" i="11"/>
  <c r="L18" i="10"/>
  <c r="L19" i="10"/>
  <c r="L12" i="10"/>
  <c r="L20" i="10"/>
  <c r="F26" i="14"/>
  <c r="F15" i="12"/>
  <c r="F16" i="12"/>
  <c r="G14" i="11"/>
  <c r="I15" i="11"/>
  <c r="I26" i="11"/>
  <c r="G25" i="11"/>
  <c r="F20" i="12"/>
  <c r="F21" i="12"/>
  <c r="G15" i="11"/>
  <c r="G26" i="11"/>
  <c r="F22" i="12"/>
  <c r="F14" i="12"/>
  <c r="G27" i="11"/>
  <c r="H132" i="12"/>
  <c r="H134" i="12"/>
  <c r="H135" i="12"/>
  <c r="H136" i="12"/>
  <c r="H137" i="12"/>
  <c r="I132" i="12"/>
  <c r="I134" i="12"/>
  <c r="I135" i="12"/>
  <c r="I136" i="12"/>
  <c r="I137" i="12"/>
  <c r="J132" i="12"/>
  <c r="J134" i="12"/>
  <c r="J135" i="12"/>
  <c r="J136" i="12"/>
  <c r="J137" i="12"/>
  <c r="K132" i="12"/>
  <c r="K134" i="12"/>
  <c r="K135" i="12"/>
  <c r="K136" i="12"/>
  <c r="K137" i="12"/>
</calcChain>
</file>

<file path=xl/sharedStrings.xml><?xml version="1.0" encoding="utf-8"?>
<sst xmlns="http://schemas.openxmlformats.org/spreadsheetml/2006/main" count="1729" uniqueCount="634">
  <si>
    <t>ANALISIS DE COSTOS Y DETERMINACION DE PRECIOS DE VENTA (/i1,1/,84)</t>
  </si>
  <si>
    <t>PRODUCTO</t>
  </si>
  <si>
    <t>Unidad</t>
  </si>
  <si>
    <t>Precio de</t>
  </si>
  <si>
    <t>Costo oper.</t>
  </si>
  <si>
    <t>Proveedor</t>
  </si>
  <si>
    <t>venta CF</t>
  </si>
  <si>
    <t>venta SF</t>
  </si>
  <si>
    <t>CF</t>
  </si>
  <si>
    <t>SF</t>
  </si>
  <si>
    <t>$us/unid.</t>
  </si>
  <si>
    <t>MATERIALES COMUNES PARA EL VIDRIO TEMPLADO Y LA CARPINTERIA DE ALUMINIO</t>
  </si>
  <si>
    <t>Silicona transparente, blanca o negra</t>
  </si>
  <si>
    <t>Tubo</t>
  </si>
  <si>
    <t>Silicona estructural</t>
  </si>
  <si>
    <t>Cinta masking 1/2 " (rollo de 20)</t>
  </si>
  <si>
    <t>Rollo</t>
  </si>
  <si>
    <t xml:space="preserve">Ribepar </t>
  </si>
  <si>
    <t>"U" 15 x 15   ( 16x16 ) - 0,159 Kg/Mt.</t>
  </si>
  <si>
    <t>Mt lineal</t>
  </si>
  <si>
    <t>Indalum</t>
  </si>
  <si>
    <t>Tubo 50 x 50 - 1,037 Kg/Mt.</t>
  </si>
  <si>
    <t>Tubo 40 x 40 - 0,624 Kg/Mt.</t>
  </si>
  <si>
    <t>Tubo 80 x 40 - 0,948 Kg/Mt.</t>
  </si>
  <si>
    <t>Tubo 60 x 30 - 0,705 Kg/Mt.</t>
  </si>
  <si>
    <t>Felpa</t>
  </si>
  <si>
    <t>Remache 4 x 10</t>
  </si>
  <si>
    <t>Pza.</t>
  </si>
  <si>
    <t>Perbol</t>
  </si>
  <si>
    <t>Tarugos No. 6</t>
  </si>
  <si>
    <t xml:space="preserve">Tornillos 8 x 1 1/2 </t>
  </si>
  <si>
    <t xml:space="preserve">Tornillos 8 x 1/2 </t>
  </si>
  <si>
    <t>PARA EL VIDRIO TEMPLADO</t>
  </si>
  <si>
    <t>Vidrio Templado 10mm Incoloro</t>
  </si>
  <si>
    <t>Mt²</t>
  </si>
  <si>
    <t>Revibol</t>
  </si>
  <si>
    <t>Vidrio Templado 8mm Incoloro</t>
  </si>
  <si>
    <t>Vidrio Templado 6mm Incoloro</t>
  </si>
  <si>
    <t>Vidrio Templado 5mm Incoloro</t>
  </si>
  <si>
    <t>Vidrio Templado 4mm Incoloro</t>
  </si>
  <si>
    <t>Vidrio Templado 10mm Color</t>
  </si>
  <si>
    <t>Vidrio Templado 8mm Color</t>
  </si>
  <si>
    <t>Vidrio Templado 6mm Color</t>
  </si>
  <si>
    <t>Vidrio Templado 5mm Color</t>
  </si>
  <si>
    <t>Vidrio Templado 4mm Color</t>
  </si>
  <si>
    <t>Vidrio Templado Catedral 10mm Incoloro</t>
  </si>
  <si>
    <t>Vidrio Templado Catedral 10mm Color</t>
  </si>
  <si>
    <t>Barra</t>
  </si>
  <si>
    <t>Florencio Rivero</t>
  </si>
  <si>
    <t>Vedapres 003 - H (2,10mt/barra) Inc.</t>
  </si>
  <si>
    <t>Vedapres 001 - h (2,10mt/barra) Bce.</t>
  </si>
  <si>
    <t>Vedapres 002 - Uc (2,10mt/barra) Bce.</t>
  </si>
  <si>
    <t>Vedapres 003 - H (2,10mt/barra) Bce.</t>
  </si>
  <si>
    <t>Freno Hidráulico DORMA</t>
  </si>
  <si>
    <t>Freno Hidráulico HyH</t>
  </si>
  <si>
    <t>Cristembo La Paz</t>
  </si>
  <si>
    <t>Manijones de vidrio</t>
  </si>
  <si>
    <t>1003 ( cromado ó bronce viejo )</t>
  </si>
  <si>
    <t>1013 ( cromado ó bronce viejo )</t>
  </si>
  <si>
    <t>1038 ( cromado ó bronce viejo )</t>
  </si>
  <si>
    <t>1038-C ( cromado ó bronce viejo )</t>
  </si>
  <si>
    <t>1101 ( cromado ó bronce viejo )</t>
  </si>
  <si>
    <t>1103 ( cromado ó bronce viejo )</t>
  </si>
  <si>
    <t>1114 ( cromado ó bronce viejo )</t>
  </si>
  <si>
    <t>1115 ( cromado ó bronce viejo )</t>
  </si>
  <si>
    <t>1117 ( cromado ó bronce viejo )</t>
  </si>
  <si>
    <t>1123 ( cromado ó bronce viejo )</t>
  </si>
  <si>
    <t>1125 ( cromado ó bronce viejo )</t>
  </si>
  <si>
    <t>1125-A ( cromado ó bronce viejo )</t>
  </si>
  <si>
    <t>1201 ( cromado ó bronce viejo )</t>
  </si>
  <si>
    <t>1203 ( cromado ó bronce viejo )</t>
  </si>
  <si>
    <t>1209 ( cromado ó bronce viejo )</t>
  </si>
  <si>
    <t>1230 ( cromado ó bronce viejo )</t>
  </si>
  <si>
    <t>1302 ( cromado ó bronce viejo )</t>
  </si>
  <si>
    <t>1306 ( cromado ó bronce viejo )</t>
  </si>
  <si>
    <t>1310 ( cromado ó bronce viejo )</t>
  </si>
  <si>
    <t>1316 ( cromado ó bronce viejo )</t>
  </si>
  <si>
    <t>1319 ( cromado ó bronce viejo )</t>
  </si>
  <si>
    <t>1329 ( cromado ó bronce viejo )</t>
  </si>
  <si>
    <t>1335 ( cromado ó bronce viejo )</t>
  </si>
  <si>
    <t>1335-C ( cromado ó bronce viejo )</t>
  </si>
  <si>
    <t>1504 ( cromado ó bronce viejo )</t>
  </si>
  <si>
    <t>1510 ( cromado ó bronce viejo )</t>
  </si>
  <si>
    <t>1511 ( cromado ó bronce viejo )</t>
  </si>
  <si>
    <t>1511-A ( cromado ó bronce viejo )</t>
  </si>
  <si>
    <t>1520 ( cromado ó bronce viejo )</t>
  </si>
  <si>
    <t>1523 ( cromado ó bronce viejo )</t>
  </si>
  <si>
    <t>1531 ( cromado ó bronce viejo )</t>
  </si>
  <si>
    <t>1629-J ( cromado ó bronce viejo )</t>
  </si>
  <si>
    <t>1629-P ( cromado ó bronce viejo )</t>
  </si>
  <si>
    <t>1636-AL ( cromado ó bronce viejo )</t>
  </si>
  <si>
    <t>1800 ( cromado ó bronce viejo )</t>
  </si>
  <si>
    <t>1800-C ( cromado ó bronce viejo )</t>
  </si>
  <si>
    <t>Mano de obra instalaciòn templado</t>
  </si>
  <si>
    <t>MATERIALES Y MATERIA PRIMA PARA LA CARPINTERIA DE ALUMINIO</t>
  </si>
  <si>
    <t>Aluminio Anodizado Bronce o Champagne</t>
  </si>
  <si>
    <t>Kgr.</t>
  </si>
  <si>
    <t>Aluminio Anodizado natural</t>
  </si>
  <si>
    <t>Vidrio Incolororo 3mm</t>
  </si>
  <si>
    <t>Vidrio Incolororo 4mm</t>
  </si>
  <si>
    <t>Vidrio Incolororo 5mm</t>
  </si>
  <si>
    <t>Vidrio Incolororo 6mm</t>
  </si>
  <si>
    <t>Vidrio Color 3mm</t>
  </si>
  <si>
    <t>Vidrio Color 4mm</t>
  </si>
  <si>
    <t>Vidrio Color 5mm</t>
  </si>
  <si>
    <t>Vidrio Color 6mm</t>
  </si>
  <si>
    <t>Vidrio catedral claro</t>
  </si>
  <si>
    <t>Vidrio catedral color</t>
  </si>
  <si>
    <t>Vidrio Reflectivo Bronce o Gris 4mm</t>
  </si>
  <si>
    <t>Vidrio Reflectivo Bronce o Gris 5mm</t>
  </si>
  <si>
    <t>Vidrio Reflectivo Bronce o Gris 6mm</t>
  </si>
  <si>
    <t>Vidrio Reflectivo Azurlite 4mm</t>
  </si>
  <si>
    <t>Vidrio Reflectivo Azurlite 5mm</t>
  </si>
  <si>
    <t>Vidrio Reflectivo Azurlite 6mm</t>
  </si>
  <si>
    <t>Cinta dob.cont. 4972 - 3M 1/2"=12mm (rollo de 20)</t>
  </si>
  <si>
    <t>America home center</t>
  </si>
  <si>
    <t>Cinta dob.cont. 4972 - 3M 3/4"=19mm (rollo de 20)</t>
  </si>
  <si>
    <t>Cinta dob.cont. 4972 - 3M 1"=25mm (rollo de 20)</t>
  </si>
  <si>
    <t>Burlete</t>
  </si>
  <si>
    <t>Patin serie 25</t>
  </si>
  <si>
    <t>Patin serie 50</t>
  </si>
  <si>
    <t>Patin serie 4000</t>
  </si>
  <si>
    <t>Patin shower door</t>
  </si>
  <si>
    <t>Cierre serie 20</t>
  </si>
  <si>
    <t>Cierre serie 25</t>
  </si>
  <si>
    <t>Guia exterior Shower door</t>
  </si>
  <si>
    <t>Guia serie 50</t>
  </si>
  <si>
    <t>Guia serie 20</t>
  </si>
  <si>
    <t>Guia serie 25</t>
  </si>
  <si>
    <t>Par</t>
  </si>
  <si>
    <t>Bisagra serie 32 y 42</t>
  </si>
  <si>
    <t>Bisagra serie 35</t>
  </si>
  <si>
    <t>Bisagra serie 45</t>
  </si>
  <si>
    <t>Brazo de apertura p/proyectante 300</t>
  </si>
  <si>
    <t>Brazo de apertura p/proyectante 400</t>
  </si>
  <si>
    <t>Brazo de apertura p/proyectante 500</t>
  </si>
  <si>
    <t>Brazo de apertura p/proyectante 650</t>
  </si>
  <si>
    <t>Brazo de apertura p/proyectante 900</t>
  </si>
  <si>
    <t>Brazo de apertura p/proyectante 1200</t>
  </si>
  <si>
    <t>Manija para proyectante</t>
  </si>
  <si>
    <t>Chapa p/puerta de aluminio</t>
  </si>
  <si>
    <t>Mano de obra carpinterìa de aluminio.</t>
  </si>
  <si>
    <t>Mano de obra fachadas, techos y especiales</t>
  </si>
  <si>
    <t>Mano de obra colocación espejos</t>
  </si>
  <si>
    <t>Mano de obra fabricación malleras</t>
  </si>
  <si>
    <t>Mano de obra colocación crudo</t>
  </si>
  <si>
    <t>Mano de obra Divisores de ambiente y cielos</t>
  </si>
  <si>
    <t>Tesador para puertas 5/16</t>
  </si>
  <si>
    <t>Malla milimétrica plástica</t>
  </si>
  <si>
    <t>Biselado hasta 2,7 cm</t>
  </si>
  <si>
    <t>VICOR</t>
  </si>
  <si>
    <t>Escuadra de armado</t>
  </si>
  <si>
    <t>Vidrio espejo incoloro 3mm</t>
  </si>
  <si>
    <t>Revibol - 9,15 - 8,38 - 18%</t>
  </si>
  <si>
    <t>Vidrio espejo incoloro 4mm</t>
  </si>
  <si>
    <t>Revibol - 10,98 - 9,89 - 18%</t>
  </si>
  <si>
    <t>Pulido de vidrio a máquina</t>
  </si>
  <si>
    <t>Perforación de vidrio</t>
  </si>
  <si>
    <t>Hoyo</t>
  </si>
  <si>
    <t>Total</t>
  </si>
  <si>
    <t>DATOS BASE PARA EL ANALISIS</t>
  </si>
  <si>
    <t>BASE ( Metros )</t>
  </si>
  <si>
    <t>ALTURA ( Metros )</t>
  </si>
  <si>
    <t>CANTIDAD DE PIEZAS</t>
  </si>
  <si>
    <t>Total Precio c/factura</t>
  </si>
  <si>
    <t>$us.</t>
  </si>
  <si>
    <t>Superficie Mt²</t>
  </si>
  <si>
    <t>Precio con factura en $us / Mt²</t>
  </si>
  <si>
    <t>$us./Mt²</t>
  </si>
  <si>
    <t>Total Precio s/factura</t>
  </si>
  <si>
    <t>Precio sin factura en $us / Mt²</t>
  </si>
  <si>
    <t>% descuento del con al sin</t>
  </si>
  <si>
    <t>DETALLE DE MATERIALES A UTILIZAR</t>
  </si>
  <si>
    <t>MATERIAL</t>
  </si>
  <si>
    <t>Cantidad</t>
  </si>
  <si>
    <t>PB1H</t>
  </si>
  <si>
    <t>PB2H</t>
  </si>
  <si>
    <t>PB4H</t>
  </si>
  <si>
    <t>10mm.</t>
  </si>
  <si>
    <t>INCOLORO = 1 ; COLOR =2</t>
  </si>
  <si>
    <t xml:space="preserve">Puertas </t>
  </si>
  <si>
    <t>C/FRENO = 1 ; S/FRENO =2</t>
  </si>
  <si>
    <t>Mano de obra</t>
  </si>
  <si>
    <t>1504a</t>
  </si>
  <si>
    <t>PUERTAS DE VIDRIO TEMPLADO</t>
  </si>
  <si>
    <t>"U" 15x15 - Kg/Mt lineal.</t>
  </si>
  <si>
    <t>Kgr</t>
  </si>
  <si>
    <t>COSTO SIN FACTURA</t>
  </si>
  <si>
    <t>COSTO CON FACTURA</t>
  </si>
  <si>
    <t xml:space="preserve">Barras </t>
  </si>
  <si>
    <t>Silicona transp., blanca o negra</t>
  </si>
  <si>
    <t xml:space="preserve">Vedapres 001 - h (2,10mt/barra) </t>
  </si>
  <si>
    <t>Celosias 2 aletas - 320 mm.</t>
  </si>
  <si>
    <t>Celosias 3 aletas - 460 mm.</t>
  </si>
  <si>
    <t>Celosias 4 aletas - 600 mm.</t>
  </si>
  <si>
    <t>Celosias 5 aletas - 740mm.</t>
  </si>
  <si>
    <t>Celosias 6 aletas - 880 mm.</t>
  </si>
  <si>
    <t>Celosias 7 aletas - 1000 mm.</t>
  </si>
  <si>
    <t>Celosias 8 aletas - 1160 mm.</t>
  </si>
  <si>
    <t>Celosias 9 aletas - 1300 mm.</t>
  </si>
  <si>
    <t xml:space="preserve">ESPESOR DEL VIDRIO = 8 ó 10 mm. </t>
  </si>
  <si>
    <t>PUERTA / VENTANA CORREDIZA</t>
  </si>
  <si>
    <t>PUERTA = 1; VENTANA = 2</t>
  </si>
  <si>
    <t>Cabezal 7313 - Kg/Mt l.</t>
  </si>
  <si>
    <t>Tapa 7312 - Kg/Mt l.</t>
  </si>
  <si>
    <t>Trillo 7314 - Kg/Mt l.</t>
  </si>
  <si>
    <t>TapaTrillo Rev. - Kg/Mt l.</t>
  </si>
  <si>
    <t>1511a</t>
  </si>
  <si>
    <t>1125a</t>
  </si>
  <si>
    <t>1629j</t>
  </si>
  <si>
    <t>1038c</t>
  </si>
  <si>
    <t xml:space="preserve">Vedapres 001 - u (2,10mt/barra) </t>
  </si>
  <si>
    <t>pn</t>
  </si>
  <si>
    <t>Pzas.</t>
  </si>
  <si>
    <t>Barras</t>
  </si>
  <si>
    <t>Ferretería - 20%</t>
  </si>
  <si>
    <t>Mano de obra celosías</t>
  </si>
  <si>
    <t>jalador para mallera</t>
  </si>
  <si>
    <t>PF</t>
  </si>
  <si>
    <t>CANTIDAD DE VANOS</t>
  </si>
  <si>
    <t>PANO FIJO</t>
  </si>
  <si>
    <t xml:space="preserve">Esmerilado </t>
  </si>
  <si>
    <t>ESMERILADO = E</t>
  </si>
  <si>
    <t>Hilarion ; 7 maestro + 3diseno</t>
  </si>
  <si>
    <t>Hilarion ; 7 maestro + 5diseno</t>
  </si>
  <si>
    <t xml:space="preserve">Hilarion </t>
  </si>
  <si>
    <t>Anclajes de hierro (pzas.)</t>
  </si>
  <si>
    <t>Pernos de expansión (pzas.)</t>
  </si>
  <si>
    <t>Tornillo y tuerca de 2" (pzas.)</t>
  </si>
  <si>
    <t>Mano de obra Box de bano recto</t>
  </si>
  <si>
    <t>Box de  bano recto</t>
  </si>
  <si>
    <t>Mano de obra Box de bano curvo</t>
  </si>
  <si>
    <t>Box de  bano curvo</t>
  </si>
  <si>
    <t>Mano de obra Fachada estructural peque</t>
  </si>
  <si>
    <t>Fachada estructural pequena</t>
  </si>
  <si>
    <t>Mano de obra Fachada estructural grande</t>
  </si>
  <si>
    <t>Fachada estructural alta</t>
  </si>
  <si>
    <t>Mano de obra Carpinteria de aluminio con termopanel</t>
  </si>
  <si>
    <t>Termopanel</t>
  </si>
  <si>
    <t>n   =  div. Verticales</t>
  </si>
  <si>
    <t>m  =  div. Horizontales</t>
  </si>
  <si>
    <t>MODULOS</t>
  </si>
  <si>
    <t xml:space="preserve">    ANCHO ( metros )</t>
  </si>
  <si>
    <t xml:space="preserve">    ALTO ( metros )</t>
  </si>
  <si>
    <t>FACHADA EN VIDRIO TEMPLADO</t>
  </si>
  <si>
    <t>VIENTOS VIDRIO ( 1 ) o TUBULAR + ARANA ( 2 )</t>
  </si>
  <si>
    <t>HERRAJES Y VIENTOS VIDRIO o TUBULAR 4" CON ARANA</t>
  </si>
  <si>
    <t>Tubo galvanizado de 4"</t>
  </si>
  <si>
    <t>Herraje arana</t>
  </si>
  <si>
    <t>Mt.lin.</t>
  </si>
  <si>
    <t>Soporte Herraje - tubo</t>
  </si>
  <si>
    <t>Soporte herraje - tubo</t>
  </si>
  <si>
    <t>Herraje Arana</t>
  </si>
  <si>
    <t>Anclaje tubo</t>
  </si>
  <si>
    <t xml:space="preserve">Tubo Galvanizado de 4" </t>
  </si>
  <si>
    <t>Las Lomas ( 150+5%uniones)</t>
  </si>
  <si>
    <t>8 o 10 mm. c/PERFIL U 15x15 DE ALUMINIO</t>
  </si>
  <si>
    <t>$us./barra</t>
  </si>
  <si>
    <t>BASE</t>
  </si>
  <si>
    <t>ALTURA</t>
  </si>
  <si>
    <t>Vedapres 001 - u  - Kg/Mt l.</t>
  </si>
  <si>
    <t>Vedapres 001 - h  - Kg/Mt l.</t>
  </si>
  <si>
    <t>BARRAS</t>
  </si>
  <si>
    <t>FORMULA</t>
  </si>
  <si>
    <t>BXH</t>
  </si>
  <si>
    <t>(N-1)*h</t>
  </si>
  <si>
    <t>(N-1)*H</t>
  </si>
  <si>
    <t>(N-1)*(M-1)</t>
  </si>
  <si>
    <t>(N-1)</t>
  </si>
  <si>
    <t>(M-1)*B</t>
  </si>
  <si>
    <t>FORMULA CON TUBOS Y ARANAS</t>
  </si>
  <si>
    <t>FORMULA CON herrajes</t>
  </si>
  <si>
    <t>Alcoa 6,73 + 15%</t>
  </si>
  <si>
    <t>Kgr./barra</t>
  </si>
  <si>
    <t>Oriental 7.68 + 15%</t>
  </si>
  <si>
    <t>Oriental 9.48 + 15%</t>
  </si>
  <si>
    <t>Oriental 10.76 + 15%</t>
  </si>
  <si>
    <t>Oriental 14.30 + 15%</t>
  </si>
  <si>
    <t>Garcia 10.09 + 15%</t>
  </si>
  <si>
    <t>Oriental 11.08 + 15%</t>
  </si>
  <si>
    <t>Garcia 14.33 + 15%</t>
  </si>
  <si>
    <t>Oriental 16.65 + 15%</t>
  </si>
  <si>
    <t>Revibol - 5,55  + 15%</t>
  </si>
  <si>
    <t>Revibol - 7,16 + 15%</t>
  </si>
  <si>
    <t>Garcia 24 + 15%</t>
  </si>
  <si>
    <t>Garcia 37 + 15%</t>
  </si>
  <si>
    <t>Jaladores PAR serie 25</t>
  </si>
  <si>
    <t xml:space="preserve">ALUCOBOND - WILSTRONG </t>
  </si>
  <si>
    <t>Vidrio Laminado Reflectivo Gris 4+4mm</t>
  </si>
  <si>
    <t>CRIS LP 43 + 30%</t>
  </si>
  <si>
    <t>Vidrio Laminado Reflectivo Azul 4+4mm</t>
  </si>
  <si>
    <t>CRIS LP 46 + 30%</t>
  </si>
  <si>
    <t>Vidrio Laminado Incoloro 4+4mm</t>
  </si>
  <si>
    <t>CRIS LP 24 + 30%</t>
  </si>
  <si>
    <t>Patin serie 30 + riel sup</t>
  </si>
  <si>
    <t>"U" 15x25 - Kg/Mt lineal.</t>
  </si>
  <si>
    <t>"U" 15 x 25 - 0,20 Kg/Mt.</t>
  </si>
  <si>
    <t>FACTURA PROFORMA</t>
  </si>
  <si>
    <t>No. :</t>
  </si>
  <si>
    <t>RAC-105/2014</t>
  </si>
  <si>
    <t xml:space="preserve"> OBRA :</t>
  </si>
  <si>
    <t>Edificio LUSSO</t>
  </si>
  <si>
    <t xml:space="preserve">Fecha : </t>
  </si>
  <si>
    <t xml:space="preserve"> CLIENTE :</t>
  </si>
  <si>
    <t>Sr. Henry Maldonado</t>
  </si>
  <si>
    <t>Teléfono:</t>
  </si>
  <si>
    <t>Item</t>
  </si>
  <si>
    <t>Cant.</t>
  </si>
  <si>
    <t>Medidas</t>
  </si>
  <si>
    <t>Superficie</t>
  </si>
  <si>
    <t>Tipo de</t>
  </si>
  <si>
    <t>Material</t>
  </si>
  <si>
    <t>P R E C I O   $us</t>
  </si>
  <si>
    <t>Ancho</t>
  </si>
  <si>
    <t>x</t>
  </si>
  <si>
    <t>Alto</t>
  </si>
  <si>
    <t>Unid.</t>
  </si>
  <si>
    <t>Cerramiento</t>
  </si>
  <si>
    <t>x  Mt²</t>
  </si>
  <si>
    <t>T O T A L</t>
  </si>
  <si>
    <t>Puerta / Ventanas Corredizas</t>
  </si>
  <si>
    <r>
      <t xml:space="preserve">PUERTA/VENTANAS CORREDIZAS DE 4 HOJAS: Montadas sobre carpintería de </t>
    </r>
    <r>
      <rPr>
        <b/>
        <u/>
        <sz val="14"/>
        <rFont val="Rockwell"/>
        <family val="1"/>
      </rPr>
      <t xml:space="preserve">aluminio natural </t>
    </r>
    <r>
      <rPr>
        <sz val="14"/>
        <rFont val="Rockwell"/>
        <family val="1"/>
      </rPr>
      <t xml:space="preserve"> con </t>
    </r>
    <r>
      <rPr>
        <b/>
        <u/>
        <sz val="14"/>
        <rFont val="Rockwell"/>
        <family val="1"/>
      </rPr>
      <t>vidrio Templado de Seguridad Incoloro de 10mm</t>
    </r>
    <r>
      <rPr>
        <sz val="14"/>
        <rFont val="Rockwell"/>
        <family val="1"/>
      </rPr>
      <t xml:space="preserve"> de espesor en puerta/ventanas corredizas de 4 hojas, accesorios y mano de obra altamente calificada.</t>
    </r>
  </si>
  <si>
    <t>Ventanas Corredizas</t>
  </si>
  <si>
    <t>VENTANAS CORREDIZAS DE 2 HOJAS: Montadas sobre carpintería de aluminio natural  con vidrio Templado de Seguridad Incoloro de 8mm de espesor en ventanas corredizas de 2 hojas, accesorios y mano de obra altamente calificada.</t>
  </si>
  <si>
    <r>
      <t xml:space="preserve">PANOS FIJOS 10 MM: Montados sobre carpintería de </t>
    </r>
    <r>
      <rPr>
        <b/>
        <u/>
        <sz val="14"/>
        <rFont val="Rockwell"/>
        <family val="1"/>
      </rPr>
      <t xml:space="preserve">aluminio natural </t>
    </r>
    <r>
      <rPr>
        <sz val="14"/>
        <rFont val="Rockwell"/>
        <family val="1"/>
      </rPr>
      <t xml:space="preserve"> con </t>
    </r>
    <r>
      <rPr>
        <b/>
        <u/>
        <sz val="14"/>
        <rFont val="Rockwell"/>
        <family val="1"/>
      </rPr>
      <t>vidrio Templado de Seguridad Incoloro de 10mm</t>
    </r>
    <r>
      <rPr>
        <sz val="14"/>
        <rFont val="Rockwell"/>
        <family val="1"/>
      </rPr>
      <t xml:space="preserve"> de espesor en panos fijos, accesorios y mano de obra altamente calificada.</t>
    </r>
  </si>
  <si>
    <t>Fachada tipo piel de vidrio</t>
  </si>
  <si>
    <t>PANOS FIJOS 8 MM: Montados sobre carpintería de aluminio natural  con vidrio Templado de Seguridad Incoloro de 8mm de espesor en panos fijos, accesorios y mano de obra altamente calificada.</t>
  </si>
  <si>
    <t>Fachada tipo celosia</t>
  </si>
  <si>
    <t>PUERTAS BATIENTES DOBLES : Montadas sobre carpintería de aluminio natural  con vidrio Templado de Seguridad Incoloro de 10mm de espesor en puertabatientes dobles, accesorios y mano de obra altamente calificada.</t>
  </si>
  <si>
    <t xml:space="preserve">  TOTAL </t>
  </si>
  <si>
    <t>PRECIO CON IMPUESTOS DE LEY</t>
  </si>
  <si>
    <t>$us</t>
  </si>
  <si>
    <t>Forma de pago:</t>
  </si>
  <si>
    <t>80% a la firma del contrato,</t>
  </si>
  <si>
    <t>Son : Treinta Mil Ciento Treinta y Tres 36/100 DOLARES AMERICANOS</t>
  </si>
  <si>
    <t>20% a la entrega de la obra</t>
  </si>
  <si>
    <t xml:space="preserve">Plazo de Entrega: </t>
  </si>
  <si>
    <t>30 días calendario</t>
  </si>
  <si>
    <t xml:space="preserve">Plazo computable a partir de la </t>
  </si>
  <si>
    <t>entrega de vanos terminados.</t>
  </si>
  <si>
    <t>Ing. Rafael Antequera Caballero</t>
  </si>
  <si>
    <t xml:space="preserve">Validez de la oferta:                                </t>
  </si>
  <si>
    <t>30 días</t>
  </si>
  <si>
    <t>GERENTE</t>
  </si>
  <si>
    <t>10 mm.</t>
  </si>
  <si>
    <t>1335c</t>
  </si>
  <si>
    <t>PB4HcV</t>
  </si>
  <si>
    <t>Sus</t>
  </si>
  <si>
    <t>fijos</t>
  </si>
  <si>
    <t>puertas</t>
  </si>
  <si>
    <t>corred</t>
  </si>
  <si>
    <t>total</t>
  </si>
  <si>
    <t>JALADORES</t>
  </si>
  <si>
    <t>Materia Prima ( Vidrio )</t>
  </si>
  <si>
    <t>Materia Prima ( materiales )</t>
  </si>
  <si>
    <t>Otros Gastos + Util</t>
  </si>
  <si>
    <t>TOTAL</t>
  </si>
  <si>
    <t>Sus.</t>
  </si>
  <si>
    <t>MURANO 26 + 5%desp.</t>
  </si>
  <si>
    <t>MURANO 25 + 5% desp</t>
  </si>
  <si>
    <t>MURANO 39 + 5% desp.</t>
  </si>
  <si>
    <t>MURANO 38 + 5% desp.</t>
  </si>
  <si>
    <t>Materia Prima ( Vidrio ) / Mt2</t>
  </si>
  <si>
    <t>Materia Prima ( materiales ) / Mt2</t>
  </si>
  <si>
    <t>Mano de obra / Mt2</t>
  </si>
  <si>
    <t>Otros Gastos + Util / Mt2</t>
  </si>
  <si>
    <t>Panel Cielo falso 122x61</t>
  </si>
  <si>
    <t>tecnopor  10 + 20%</t>
  </si>
  <si>
    <t>Panel Cielo falso 61x61</t>
  </si>
  <si>
    <t>tecnopor  12 + 20%</t>
  </si>
  <si>
    <t>Alambre galvanizado</t>
  </si>
  <si>
    <t>Las Lomas ( 3+25% )</t>
  </si>
  <si>
    <t>Acrilico</t>
  </si>
  <si>
    <t>CRIS LP 15 + 30%</t>
  </si>
  <si>
    <t>Vidrio Laminado Reflectivo Bronce o Gris 5+5 mm</t>
  </si>
  <si>
    <t>Tecnopor 35.50 + 20%</t>
  </si>
  <si>
    <t>170+4caloi</t>
  </si>
  <si>
    <t>nuevos</t>
  </si>
  <si>
    <t>Cabezal, Tapa, Guia, Tapa-guia 1.998 Kg/Mt</t>
  </si>
  <si>
    <t>Alvicruz 49,45+ 15%desp.</t>
  </si>
  <si>
    <t>Kgr./juego</t>
  </si>
  <si>
    <t>47,45 puesto S.C.</t>
  </si>
  <si>
    <t>Vedapres 002 - u de aluminio</t>
  </si>
  <si>
    <t>Vedapres 001 - h de aluminio</t>
  </si>
  <si>
    <t>Alvicruz 4,30+ 15%desp.</t>
  </si>
  <si>
    <t>Alvicruz 7,25+ 15%desp.</t>
  </si>
  <si>
    <t>4,20 puesto S.C.</t>
  </si>
  <si>
    <t>7,15 puesto S.C.</t>
  </si>
  <si>
    <t>Alvicruz 4,1 + 15%</t>
  </si>
  <si>
    <t>Alvicruz 5,9  + 15%</t>
  </si>
  <si>
    <t>4 puesto S.C.</t>
  </si>
  <si>
    <t>5,8 puesto S.C.</t>
  </si>
  <si>
    <t>Tubo 100 x 50 - 1,560 Kg/Mt.</t>
  </si>
  <si>
    <t>18 puesto S.C.</t>
  </si>
  <si>
    <t>37,50 puesto S.C.</t>
  </si>
  <si>
    <t>26,80 puesto S.C.</t>
  </si>
  <si>
    <t>Alvicruz 38  + 15%</t>
  </si>
  <si>
    <t>Alvicruz 27,30  + 15%</t>
  </si>
  <si>
    <t>Alvicruz 18,4  + 15%</t>
  </si>
  <si>
    <t>MAROL 20 Bs.</t>
  </si>
  <si>
    <t>Sus/mt2</t>
  </si>
  <si>
    <t>puestos S.C.</t>
  </si>
  <si>
    <t>Alvicruz + 0,15 transp</t>
  </si>
  <si>
    <t>CTGyTt 2,013</t>
  </si>
  <si>
    <t>CODIGO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</si>
  <si>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</si>
  <si>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</si>
  <si>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</si>
  <si>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</si>
  <si>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</si>
  <si>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</si>
  <si>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</si>
  <si>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</si>
  <si>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</si>
  <si>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</si>
  <si>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</si>
  <si>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</si>
  <si>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</si>
  <si>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</si>
  <si>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</si>
  <si>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</si>
  <si>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</si>
  <si>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</si>
  <si>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</si>
  <si>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</si>
  <si>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</si>
  <si>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</si>
  <si>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</si>
  <si>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</si>
  <si>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</si>
  <si>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</si>
  <si>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</si>
  <si>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</si>
  <si>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</si>
  <si>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</si>
  <si>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</si>
  <si>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</si>
  <si>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</si>
  <si>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</si>
  <si>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</si>
  <si>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</si>
  <si>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</si>
  <si>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</si>
  <si>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</si>
  <si>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</si>
  <si>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</si>
  <si>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</si>
  <si>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</si>
  <si>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</si>
  <si>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</si>
  <si>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</si>
  <si>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</si>
  <si>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</si>
  <si>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</si>
  <si>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</si>
  <si>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</si>
  <si>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</si>
  <si>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</si>
  <si>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</si>
  <si>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</si>
  <si>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</si>
  <si>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</si>
  <si>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</si>
  <si>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</si>
  <si>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</si>
  <si>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</si>
  <si>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</si>
  <si>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</si>
  <si>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</si>
  <si>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</si>
  <si>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</si>
  <si>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</si>
  <si>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</si>
  <si>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</si>
  <si>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</si>
  <si>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</si>
  <si>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</si>
  <si>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</si>
  <si>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</si>
  <si>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</si>
  <si>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</si>
  <si>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</si>
  <si>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</si>
  <si>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</si>
  <si>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</si>
  <si>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</si>
  <si>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</si>
  <si>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</si>
  <si>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</si>
  <si>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</si>
  <si>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</si>
  <si>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</si>
  <si>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</si>
  <si>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</si>
  <si>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</si>
  <si>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</si>
  <si>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</si>
  <si>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</si>
  <si>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</si>
  <si>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</si>
  <si>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</si>
  <si>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</si>
  <si>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</si>
  <si>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</si>
  <si>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</si>
  <si>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</si>
  <si>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</si>
  <si>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</si>
  <si>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</si>
  <si>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</si>
  <si>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</si>
  <si>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</si>
  <si>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</si>
  <si>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</si>
  <si>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</si>
  <si>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</si>
  <si>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</si>
  <si>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</si>
  <si>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</si>
  <si>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</si>
  <si>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</si>
  <si>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</si>
  <si>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</si>
  <si>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</si>
  <si>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</si>
  <si>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</si>
  <si>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</si>
  <si>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</si>
  <si>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</si>
  <si>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</si>
  <si>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</si>
  <si>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</si>
  <si>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</si>
  <si>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</si>
  <si>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</si>
  <si>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</si>
  <si>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</si>
  <si>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</si>
  <si>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</si>
  <si>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</si>
  <si>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</si>
  <si>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</si>
  <si>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</si>
  <si>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</si>
  <si>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</si>
  <si>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</si>
  <si>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</si>
  <si>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</si>
  <si>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</si>
  <si>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</si>
  <si>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</si>
  <si>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</si>
  <si>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</si>
  <si>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</si>
  <si>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</si>
  <si>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</si>
  <si>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</si>
  <si>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</si>
  <si>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</si>
  <si>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</si>
  <si>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</si>
  <si>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</si>
  <si>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</si>
  <si>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</si>
  <si>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</si>
  <si>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</si>
  <si>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</si>
  <si>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</si>
  <si>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</si>
  <si>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</si>
  <si>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</si>
  <si>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</si>
  <si>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</si>
  <si>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</si>
  <si>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</si>
  <si>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</si>
  <si>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</si>
  <si>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</si>
  <si>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</si>
  <si>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</si>
  <si>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</si>
  <si>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</si>
  <si>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</si>
  <si>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</si>
  <si>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</si>
  <si>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</si>
  <si>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</si>
  <si>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</si>
  <si>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</si>
  <si>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</si>
  <si>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</si>
  <si>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ALVICRUZ</t>
  </si>
  <si>
    <t>Hilarion 4</t>
  </si>
  <si>
    <t>Hilarion o Silverio o Octavio 7</t>
  </si>
  <si>
    <t>175+4caloi</t>
  </si>
  <si>
    <t>Hilarion -  8 col.+dis. + 2 tec</t>
  </si>
  <si>
    <t>COCHABAMBA</t>
  </si>
  <si>
    <t>SANTA PUEJ</t>
  </si>
  <si>
    <t>piso1</t>
  </si>
  <si>
    <t>piso12</t>
  </si>
  <si>
    <t>Patin serie 20</t>
  </si>
  <si>
    <t>Juego</t>
  </si>
  <si>
    <t>8D La Paz</t>
  </si>
  <si>
    <t>CLP 60 + 15%</t>
  </si>
  <si>
    <r>
      <t xml:space="preserve">Vidrio termopanel DVH Incoloro 5+5mm + </t>
    </r>
    <r>
      <rPr>
        <b/>
        <sz val="10"/>
        <color indexed="10"/>
        <rFont val="Rockwell"/>
        <family val="1"/>
      </rPr>
      <t>7 x (2h+2b)</t>
    </r>
  </si>
  <si>
    <t>ALVICRUZ = VID + (7xPERIM.)</t>
  </si>
  <si>
    <t>Vidrio Laminado Incoloro 3+3 mm</t>
  </si>
  <si>
    <t>ALVICRUZ    24,90 + 15%</t>
  </si>
  <si>
    <r>
      <t>Vidrio termopanel DVH Incoloro 5+6(3+3)mm +</t>
    </r>
    <r>
      <rPr>
        <b/>
        <sz val="10"/>
        <color indexed="10"/>
        <rFont val="Rockwell"/>
        <family val="1"/>
      </rPr>
      <t xml:space="preserve"> 7 x (2h+2b)</t>
    </r>
  </si>
  <si>
    <t>Aluminio  6001</t>
  </si>
  <si>
    <t>Mt. Lin.</t>
  </si>
  <si>
    <t>ALVICRUZ = 33,32</t>
  </si>
  <si>
    <t>Aluminio  6002</t>
  </si>
  <si>
    <t>ALVICRUZ = 11,22</t>
  </si>
  <si>
    <t>Aluminio  6004</t>
  </si>
  <si>
    <t>ALVICRUZ = 25,95</t>
  </si>
  <si>
    <t>Aluminio  6005</t>
  </si>
  <si>
    <t>ALVICRUZ = 16,12</t>
  </si>
  <si>
    <t>Jaladores PAR</t>
  </si>
  <si>
    <t>Rodamiento serie 60 ALVI</t>
  </si>
  <si>
    <t>Manija + kit bipunto serie 60 ALVI</t>
  </si>
  <si>
    <t>cod</t>
  </si>
  <si>
    <t>1318 ( cromado ó bronce viejo )</t>
  </si>
  <si>
    <t>A101</t>
  </si>
  <si>
    <t>A102</t>
  </si>
  <si>
    <t>A103</t>
  </si>
  <si>
    <t>A104</t>
  </si>
  <si>
    <t>A105</t>
  </si>
  <si>
    <t>A106</t>
  </si>
  <si>
    <t>A107</t>
  </si>
  <si>
    <t>A108</t>
  </si>
  <si>
    <t>V71</t>
  </si>
  <si>
    <t>Esmerilado</t>
  </si>
  <si>
    <t>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</si>
</sst>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P_t_s_-;\-* #,##0.00\ _P_t_s_-;_-* &quot;-&quot;??\ _P_t_s_-;_-@_-"/>
    <numFmt numFmtId="165" formatCode="0.000"/>
    <numFmt numFmtId="166" formatCode="0.0"/>
    <numFmt numFmtId="167" formatCode="[$-C0A]d\ &quot;de&quot;\ mmmm\ &quot;de&quot;\ yyyy;@"/>
  </numFmts>
  <fonts count="33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4"/>
      <name val="Rockwell"/>
      <family val="1"/>
    </font>
    <font>
      <sz val="10"/>
      <name val="Rockwell"/>
      <family val="1"/>
    </font>
    <font>
      <b/>
      <sz val="10"/>
      <name val="Rockwell"/>
      <family val="1"/>
    </font>
    <font>
      <b/>
      <sz val="12"/>
      <name val="Rockwell"/>
      <family val="1"/>
    </font>
    <font>
      <b/>
      <sz val="10"/>
      <color indexed="10"/>
      <name val="Rockwell"/>
      <family val="1"/>
    </font>
    <font>
      <b/>
      <sz val="16"/>
      <name val="Rockwell"/>
      <family val="1"/>
    </font>
    <font>
      <b/>
      <sz val="14"/>
      <color indexed="12"/>
      <name val="Rockwell"/>
      <family val="1"/>
    </font>
    <font>
      <b/>
      <sz val="14"/>
      <color indexed="8"/>
      <name val="Rockwell"/>
      <family val="1"/>
    </font>
    <font>
      <b/>
      <u/>
      <sz val="14"/>
      <color indexed="10"/>
      <name val="Rockwell"/>
      <family val="1"/>
    </font>
    <font>
      <b/>
      <u/>
      <sz val="12"/>
      <name val="Rockwell"/>
      <family val="1"/>
    </font>
    <font>
      <b/>
      <sz val="12"/>
      <color indexed="9"/>
      <name val="Rockwell"/>
      <family val="1"/>
    </font>
    <font>
      <b/>
      <sz val="7"/>
      <name val="Rockwell"/>
      <family val="1"/>
    </font>
    <font>
      <b/>
      <i/>
      <u/>
      <sz val="14"/>
      <color indexed="10"/>
      <name val="Rockwell"/>
      <family val="1"/>
    </font>
    <font>
      <sz val="16"/>
      <name val="Rockwell"/>
      <family val="1"/>
    </font>
    <font>
      <b/>
      <sz val="20"/>
      <name val="Cooper Black"/>
      <family val="1"/>
    </font>
    <font>
      <b/>
      <sz val="12"/>
      <color indexed="8"/>
      <name val="Arial Rounded MT Bold"/>
      <family val="2"/>
    </font>
    <font>
      <sz val="10"/>
      <name val="Arial"/>
      <family val="2"/>
    </font>
    <font>
      <b/>
      <sz val="12"/>
      <color indexed="8"/>
      <name val="Rockwell"/>
      <family val="1"/>
    </font>
    <font>
      <sz val="14"/>
      <name val="Rockwell"/>
      <family val="1"/>
    </font>
    <font>
      <sz val="12"/>
      <name val="Rockwell"/>
      <family val="1"/>
    </font>
    <font>
      <b/>
      <u/>
      <sz val="14"/>
      <name val="Rockwell"/>
      <family val="1"/>
    </font>
    <font>
      <b/>
      <sz val="12"/>
      <name val="Arial"/>
      <family val="2"/>
    </font>
    <font>
      <b/>
      <sz val="14"/>
      <name val="Arial"/>
      <family val="2"/>
    </font>
    <font>
      <b/>
      <sz val="14"/>
      <color rgb="FFFF0000"/>
      <name val="Rockwell"/>
      <family val="1"/>
    </font>
    <font>
      <b/>
      <sz val="10"/>
      <color rgb="FFFF0000"/>
      <name val="Rockwell"/>
      <family val="1"/>
    </font>
    <font>
      <b/>
      <i/>
      <u/>
      <sz val="22"/>
      <color rgb="FFFF0000"/>
      <name val="Rockwell"/>
      <family val="1"/>
    </font>
    <font>
      <b/>
      <i/>
      <u/>
      <sz val="24"/>
      <color rgb="FFFF0000"/>
      <name val="Rockwell"/>
      <family val="1"/>
    </font>
    <font>
      <b/>
      <i/>
      <u/>
      <sz val="14"/>
      <color rgb="FFFF0000"/>
      <name val="Rockwell"/>
      <family val="1"/>
    </font>
    <font>
      <b/>
      <sz val="16"/>
      <color rgb="FFFF0000"/>
      <name val="Rockwell"/>
      <family val="1"/>
    </font>
  </fonts>
  <fills count="2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46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405">
    <xf numFmtId="0" fontId="0" fillId="0" borderId="0" xfId="0"/>
    <xf numFmtId="0" fontId="5" fillId="0" borderId="0" xfId="0" applyFont="1" applyAlignment="1">
      <alignment horizontal="center"/>
    </xf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horizontal="justify"/>
    </xf>
    <xf numFmtId="10" fontId="7" fillId="0" borderId="0" xfId="4" applyNumberFormat="1" applyFont="1"/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2" fontId="5" fillId="0" borderId="1" xfId="0" applyNumberFormat="1" applyFont="1" applyBorder="1"/>
    <xf numFmtId="2" fontId="5" fillId="0" borderId="3" xfId="0" applyNumberFormat="1" applyFont="1" applyBorder="1"/>
    <xf numFmtId="0" fontId="7" fillId="6" borderId="4" xfId="3" applyFont="1" applyFill="1" applyBorder="1" applyAlignment="1">
      <alignment horizontal="left"/>
    </xf>
    <xf numFmtId="0" fontId="27" fillId="7" borderId="5" xfId="3" applyFont="1" applyFill="1" applyBorder="1" applyAlignment="1">
      <alignment horizontal="left"/>
    </xf>
    <xf numFmtId="0" fontId="27" fillId="7" borderId="6" xfId="3" applyFont="1" applyFill="1" applyBorder="1" applyAlignment="1">
      <alignment horizontal="left"/>
    </xf>
    <xf numFmtId="0" fontId="27" fillId="7" borderId="7" xfId="3" applyFont="1" applyFill="1" applyBorder="1" applyAlignment="1">
      <alignment horizontal="left"/>
    </xf>
    <xf numFmtId="0" fontId="27" fillId="7" borderId="8" xfId="3" applyFont="1" applyFill="1" applyBorder="1" applyAlignment="1">
      <alignment horizontal="left"/>
    </xf>
    <xf numFmtId="0" fontId="27" fillId="7" borderId="0" xfId="3" applyFont="1" applyFill="1" applyAlignment="1">
      <alignment horizontal="left"/>
    </xf>
    <xf numFmtId="2" fontId="27" fillId="7" borderId="9" xfId="3" applyNumberFormat="1" applyFont="1" applyFill="1" applyBorder="1" applyAlignment="1">
      <alignment horizontal="right"/>
    </xf>
    <xf numFmtId="2" fontId="27" fillId="7" borderId="10" xfId="3" applyNumberFormat="1" applyFont="1" applyFill="1" applyBorder="1" applyAlignment="1">
      <alignment horizontal="right"/>
    </xf>
    <xf numFmtId="0" fontId="27" fillId="7" borderId="2" xfId="3" applyFont="1" applyFill="1" applyBorder="1" applyAlignment="1">
      <alignment horizontal="left"/>
    </xf>
    <xf numFmtId="0" fontId="27" fillId="7" borderId="11" xfId="3" applyFont="1" applyFill="1" applyBorder="1" applyAlignment="1">
      <alignment horizontal="left"/>
    </xf>
    <xf numFmtId="0" fontId="6" fillId="2" borderId="12" xfId="0" applyFont="1" applyFill="1" applyBorder="1" applyAlignment="1">
      <alignment horizontal="left"/>
    </xf>
    <xf numFmtId="2" fontId="7" fillId="2" borderId="1" xfId="0" applyNumberFormat="1" applyFont="1" applyFill="1" applyBorder="1"/>
    <xf numFmtId="2" fontId="7" fillId="3" borderId="0" xfId="0" applyNumberFormat="1" applyFont="1" applyFill="1"/>
    <xf numFmtId="2" fontId="7" fillId="2" borderId="13" xfId="0" applyNumberFormat="1" applyFont="1" applyFill="1" applyBorder="1"/>
    <xf numFmtId="2" fontId="7" fillId="2" borderId="14" xfId="0" applyNumberFormat="1" applyFont="1" applyFill="1" applyBorder="1"/>
    <xf numFmtId="0" fontId="5" fillId="2" borderId="0" xfId="0" applyFont="1" applyFill="1" applyAlignment="1">
      <alignment horizontal="left"/>
    </xf>
    <xf numFmtId="0" fontId="7" fillId="2" borderId="13" xfId="0" applyFont="1" applyFill="1" applyBorder="1" applyAlignment="1">
      <alignment horizontal="left"/>
    </xf>
    <xf numFmtId="0" fontId="7" fillId="2" borderId="14" xfId="0" applyFont="1" applyFill="1" applyBorder="1" applyAlignment="1">
      <alignment horizontal="right"/>
    </xf>
    <xf numFmtId="0" fontId="7" fillId="2" borderId="1" xfId="0" applyFont="1" applyFill="1" applyBorder="1"/>
    <xf numFmtId="0" fontId="7" fillId="3" borderId="0" xfId="0" applyFont="1" applyFill="1"/>
    <xf numFmtId="0" fontId="7" fillId="2" borderId="15" xfId="0" applyFont="1" applyFill="1" applyBorder="1" applyAlignment="1">
      <alignment horizontal="left"/>
    </xf>
    <xf numFmtId="0" fontId="6" fillId="2" borderId="6" xfId="0" applyFont="1" applyFill="1" applyBorder="1" applyAlignment="1">
      <alignment horizontal="left"/>
    </xf>
    <xf numFmtId="0" fontId="7" fillId="2" borderId="16" xfId="0" applyFont="1" applyFill="1" applyBorder="1" applyAlignment="1">
      <alignment horizontal="right"/>
    </xf>
    <xf numFmtId="10" fontId="7" fillId="2" borderId="17" xfId="4" applyNumberFormat="1" applyFont="1" applyFill="1" applyBorder="1" applyAlignment="1"/>
    <xf numFmtId="10" fontId="7" fillId="3" borderId="0" xfId="4" applyNumberFormat="1" applyFont="1" applyFill="1" applyBorder="1" applyAlignment="1"/>
    <xf numFmtId="10" fontId="7" fillId="2" borderId="15" xfId="4" applyNumberFormat="1" applyFont="1" applyFill="1" applyBorder="1" applyAlignment="1"/>
    <xf numFmtId="10" fontId="7" fillId="2" borderId="16" xfId="4" applyNumberFormat="1" applyFont="1" applyFill="1" applyBorder="1" applyAlignment="1"/>
    <xf numFmtId="0" fontId="7" fillId="2" borderId="6" xfId="0" applyFont="1" applyFill="1" applyBorder="1" applyAlignment="1">
      <alignment horizontal="left"/>
    </xf>
    <xf numFmtId="0" fontId="7" fillId="2" borderId="6" xfId="0" applyFont="1" applyFill="1" applyBorder="1" applyAlignment="1">
      <alignment horizontal="right"/>
    </xf>
    <xf numFmtId="10" fontId="7" fillId="2" borderId="6" xfId="4" applyNumberFormat="1" applyFont="1" applyFill="1" applyBorder="1" applyAlignment="1"/>
    <xf numFmtId="10" fontId="7" fillId="3" borderId="6" xfId="4" applyNumberFormat="1" applyFont="1" applyFill="1" applyBorder="1" applyAlignment="1"/>
    <xf numFmtId="0" fontId="6" fillId="2" borderId="11" xfId="0" applyFont="1" applyFill="1" applyBorder="1" applyAlignment="1">
      <alignment horizontal="left"/>
    </xf>
    <xf numFmtId="0" fontId="5" fillId="2" borderId="11" xfId="0" applyFont="1" applyFill="1" applyBorder="1" applyAlignment="1">
      <alignment horizontal="left"/>
    </xf>
    <xf numFmtId="0" fontId="6" fillId="2" borderId="11" xfId="0" applyFont="1" applyFill="1" applyBorder="1" applyAlignment="1">
      <alignment horizontal="right"/>
    </xf>
    <xf numFmtId="0" fontId="15" fillId="2" borderId="11" xfId="0" applyFont="1" applyFill="1" applyBorder="1" applyAlignment="1">
      <alignment horizontal="center"/>
    </xf>
    <xf numFmtId="0" fontId="5" fillId="3" borderId="11" xfId="0" applyFont="1" applyFill="1" applyBorder="1"/>
    <xf numFmtId="0" fontId="6" fillId="2" borderId="8" xfId="0" applyFont="1" applyFill="1" applyBorder="1" applyAlignment="1">
      <alignment horizontal="left"/>
    </xf>
    <xf numFmtId="0" fontId="5" fillId="2" borderId="18" xfId="0" applyFont="1" applyFill="1" applyBorder="1" applyAlignment="1">
      <alignment horizontal="left"/>
    </xf>
    <xf numFmtId="0" fontId="6" fillId="2" borderId="9" xfId="0" applyFont="1" applyFill="1" applyBorder="1" applyAlignment="1">
      <alignment horizontal="right"/>
    </xf>
    <xf numFmtId="0" fontId="6" fillId="2" borderId="10" xfId="0" applyFont="1" applyFill="1" applyBorder="1" applyAlignment="1">
      <alignment horizontal="center"/>
    </xf>
    <xf numFmtId="0" fontId="5" fillId="3" borderId="0" xfId="0" applyFont="1" applyFill="1"/>
    <xf numFmtId="0" fontId="6" fillId="2" borderId="19" xfId="0" applyFont="1" applyFill="1" applyBorder="1" applyAlignment="1">
      <alignment horizontal="center"/>
    </xf>
    <xf numFmtId="0" fontId="6" fillId="2" borderId="20" xfId="0" applyFont="1" applyFill="1" applyBorder="1" applyAlignment="1">
      <alignment horizontal="right"/>
    </xf>
    <xf numFmtId="0" fontId="6" fillId="0" borderId="4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2" fontId="6" fillId="0" borderId="4" xfId="0" applyNumberFormat="1" applyFont="1" applyBorder="1" applyAlignment="1">
      <alignment horizontal="center"/>
    </xf>
    <xf numFmtId="2" fontId="5" fillId="2" borderId="3" xfId="0" applyNumberFormat="1" applyFont="1" applyFill="1" applyBorder="1" applyAlignment="1">
      <alignment horizontal="right"/>
    </xf>
    <xf numFmtId="2" fontId="5" fillId="3" borderId="0" xfId="0" applyNumberFormat="1" applyFont="1" applyFill="1" applyAlignment="1">
      <alignment horizontal="right"/>
    </xf>
    <xf numFmtId="2" fontId="7" fillId="2" borderId="21" xfId="0" applyNumberFormat="1" applyFont="1" applyFill="1" applyBorder="1"/>
    <xf numFmtId="0" fontId="6" fillId="0" borderId="4" xfId="0" applyFont="1" applyBorder="1" applyAlignment="1">
      <alignment horizontal="center"/>
    </xf>
    <xf numFmtId="0" fontId="6" fillId="2" borderId="4" xfId="0" applyFont="1" applyFill="1" applyBorder="1" applyAlignment="1">
      <alignment horizontal="left"/>
    </xf>
    <xf numFmtId="2" fontId="6" fillId="0" borderId="2" xfId="0" applyNumberFormat="1" applyFont="1" applyBorder="1" applyAlignment="1">
      <alignment horizontal="center"/>
    </xf>
    <xf numFmtId="0" fontId="7" fillId="2" borderId="0" xfId="0" applyFont="1" applyFill="1" applyAlignment="1">
      <alignment horizontal="left"/>
    </xf>
    <xf numFmtId="2" fontId="5" fillId="2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/>
    </xf>
    <xf numFmtId="2" fontId="5" fillId="2" borderId="0" xfId="0" applyNumberFormat="1" applyFont="1" applyFill="1" applyAlignment="1">
      <alignment horizontal="right"/>
    </xf>
    <xf numFmtId="0" fontId="13" fillId="2" borderId="4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left"/>
    </xf>
    <xf numFmtId="2" fontId="13" fillId="2" borderId="3" xfId="0" applyNumberFormat="1" applyFont="1" applyFill="1" applyBorder="1" applyAlignment="1">
      <alignment horizontal="right"/>
    </xf>
    <xf numFmtId="2" fontId="6" fillId="2" borderId="3" xfId="0" applyNumberFormat="1" applyFont="1" applyFill="1" applyBorder="1" applyAlignment="1">
      <alignment horizontal="right"/>
    </xf>
    <xf numFmtId="2" fontId="6" fillId="2" borderId="0" xfId="0" applyNumberFormat="1" applyFont="1" applyFill="1" applyAlignment="1">
      <alignment horizontal="right"/>
    </xf>
    <xf numFmtId="0" fontId="13" fillId="3" borderId="0" xfId="0" applyFont="1" applyFill="1" applyAlignment="1">
      <alignment horizontal="left"/>
    </xf>
    <xf numFmtId="0" fontId="13" fillId="2" borderId="0" xfId="0" applyFont="1" applyFill="1" applyAlignment="1">
      <alignment horizontal="left"/>
    </xf>
    <xf numFmtId="2" fontId="6" fillId="2" borderId="0" xfId="0" applyNumberFormat="1" applyFont="1" applyFill="1" applyAlignment="1">
      <alignment horizontal="left"/>
    </xf>
    <xf numFmtId="0" fontId="7" fillId="6" borderId="7" xfId="3" applyFont="1" applyFill="1" applyBorder="1" applyAlignment="1">
      <alignment horizontal="center"/>
    </xf>
    <xf numFmtId="0" fontId="10" fillId="2" borderId="0" xfId="0" applyFont="1" applyFill="1" applyAlignment="1">
      <alignment horizontal="left"/>
    </xf>
    <xf numFmtId="0" fontId="11" fillId="2" borderId="0" xfId="0" applyFont="1" applyFill="1" applyAlignment="1">
      <alignment horizontal="left"/>
    </xf>
    <xf numFmtId="0" fontId="8" fillId="2" borderId="0" xfId="0" applyFont="1" applyFill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3" borderId="0" xfId="0" applyFont="1" applyFill="1" applyAlignment="1">
      <alignment horizontal="center" vertical="top"/>
    </xf>
    <xf numFmtId="0" fontId="6" fillId="4" borderId="22" xfId="0" applyFont="1" applyFill="1" applyBorder="1" applyAlignment="1">
      <alignment horizontal="left" vertical="top"/>
    </xf>
    <xf numFmtId="0" fontId="6" fillId="4" borderId="23" xfId="0" applyFont="1" applyFill="1" applyBorder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/>
    </xf>
    <xf numFmtId="0" fontId="6" fillId="2" borderId="0" xfId="0" applyFont="1" applyFill="1" applyAlignment="1">
      <alignment horizontal="right"/>
    </xf>
    <xf numFmtId="0" fontId="15" fillId="2" borderId="1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6" fillId="4" borderId="22" xfId="0" applyFont="1" applyFill="1" applyBorder="1" applyAlignment="1">
      <alignment horizontal="left"/>
    </xf>
    <xf numFmtId="0" fontId="6" fillId="4" borderId="23" xfId="0" applyFont="1" applyFill="1" applyBorder="1" applyAlignment="1">
      <alignment horizontal="left"/>
    </xf>
    <xf numFmtId="0" fontId="7" fillId="0" borderId="24" xfId="0" applyFont="1" applyBorder="1" applyAlignment="1">
      <alignment horizontal="left"/>
    </xf>
    <xf numFmtId="0" fontId="6" fillId="0" borderId="25" xfId="0" applyFont="1" applyBorder="1" applyAlignment="1">
      <alignment horizontal="left"/>
    </xf>
    <xf numFmtId="0" fontId="7" fillId="5" borderId="26" xfId="0" applyFont="1" applyFill="1" applyBorder="1" applyAlignment="1">
      <alignment horizontal="right"/>
    </xf>
    <xf numFmtId="0" fontId="6" fillId="3" borderId="0" xfId="0" applyFont="1" applyFill="1"/>
    <xf numFmtId="0" fontId="5" fillId="4" borderId="22" xfId="0" applyFont="1" applyFill="1" applyBorder="1"/>
    <xf numFmtId="0" fontId="5" fillId="4" borderId="23" xfId="0" applyFont="1" applyFill="1" applyBorder="1"/>
    <xf numFmtId="0" fontId="7" fillId="0" borderId="13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7" fillId="5" borderId="14" xfId="0" applyFont="1" applyFill="1" applyBorder="1" applyAlignment="1">
      <alignment horizontal="right"/>
    </xf>
    <xf numFmtId="0" fontId="6" fillId="0" borderId="13" xfId="0" applyFont="1" applyBorder="1" applyAlignment="1">
      <alignment horizontal="left"/>
    </xf>
    <xf numFmtId="0" fontId="6" fillId="0" borderId="27" xfId="0" applyFont="1" applyBorder="1" applyAlignment="1">
      <alignment horizontal="left"/>
    </xf>
    <xf numFmtId="0" fontId="6" fillId="0" borderId="28" xfId="0" applyFont="1" applyBorder="1" applyAlignment="1">
      <alignment horizontal="left"/>
    </xf>
    <xf numFmtId="0" fontId="7" fillId="5" borderId="29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right"/>
    </xf>
    <xf numFmtId="0" fontId="7" fillId="2" borderId="30" xfId="0" applyFont="1" applyFill="1" applyBorder="1" applyAlignment="1">
      <alignment horizontal="left"/>
    </xf>
    <xf numFmtId="0" fontId="14" fillId="2" borderId="31" xfId="0" applyFont="1" applyFill="1" applyBorder="1" applyAlignment="1">
      <alignment horizontal="right"/>
    </xf>
    <xf numFmtId="0" fontId="7" fillId="5" borderId="32" xfId="0" applyFont="1" applyFill="1" applyBorder="1" applyAlignment="1">
      <alignment horizontal="right"/>
    </xf>
    <xf numFmtId="0" fontId="7" fillId="2" borderId="3" xfId="0" applyFont="1" applyFill="1" applyBorder="1"/>
    <xf numFmtId="0" fontId="7" fillId="5" borderId="33" xfId="0" applyFont="1" applyFill="1" applyBorder="1" applyAlignment="1">
      <alignment horizontal="right"/>
    </xf>
    <xf numFmtId="0" fontId="7" fillId="5" borderId="34" xfId="0" applyFont="1" applyFill="1" applyBorder="1" applyAlignment="1">
      <alignment horizontal="right"/>
    </xf>
    <xf numFmtId="2" fontId="7" fillId="2" borderId="3" xfId="0" applyNumberFormat="1" applyFont="1" applyFill="1" applyBorder="1"/>
    <xf numFmtId="10" fontId="7" fillId="2" borderId="7" xfId="4" applyNumberFormat="1" applyFont="1" applyFill="1" applyBorder="1" applyAlignment="1"/>
    <xf numFmtId="0" fontId="6" fillId="2" borderId="7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left"/>
    </xf>
    <xf numFmtId="166" fontId="5" fillId="0" borderId="0" xfId="0" applyNumberFormat="1" applyFont="1"/>
    <xf numFmtId="164" fontId="7" fillId="2" borderId="6" xfId="1" applyFont="1" applyFill="1" applyBorder="1" applyAlignment="1"/>
    <xf numFmtId="2" fontId="5" fillId="2" borderId="21" xfId="0" applyNumberFormat="1" applyFont="1" applyFill="1" applyBorder="1"/>
    <xf numFmtId="2" fontId="6" fillId="2" borderId="21" xfId="0" applyNumberFormat="1" applyFont="1" applyFill="1" applyBorder="1"/>
    <xf numFmtId="2" fontId="5" fillId="8" borderId="0" xfId="0" applyNumberFormat="1" applyFont="1" applyFill="1" applyAlignment="1">
      <alignment horizontal="left"/>
    </xf>
    <xf numFmtId="0" fontId="5" fillId="9" borderId="0" xfId="0" applyFont="1" applyFill="1" applyAlignment="1">
      <alignment horizontal="left"/>
    </xf>
    <xf numFmtId="2" fontId="6" fillId="10" borderId="0" xfId="0" applyNumberFormat="1" applyFont="1" applyFill="1" applyAlignment="1">
      <alignment horizontal="left"/>
    </xf>
    <xf numFmtId="2" fontId="5" fillId="10" borderId="0" xfId="0" applyNumberFormat="1" applyFont="1" applyFill="1" applyAlignment="1">
      <alignment horizontal="left"/>
    </xf>
    <xf numFmtId="0" fontId="5" fillId="10" borderId="0" xfId="0" applyFont="1" applyFill="1" applyAlignment="1">
      <alignment horizontal="left"/>
    </xf>
    <xf numFmtId="2" fontId="5" fillId="0" borderId="4" xfId="0" applyNumberFormat="1" applyFont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0" fontId="6" fillId="7" borderId="3" xfId="0" applyFont="1" applyFill="1" applyBorder="1" applyAlignment="1">
      <alignment horizontal="left"/>
    </xf>
    <xf numFmtId="0" fontId="5" fillId="7" borderId="3" xfId="0" applyFont="1" applyFill="1" applyBorder="1" applyAlignment="1">
      <alignment horizontal="left"/>
    </xf>
    <xf numFmtId="2" fontId="5" fillId="7" borderId="3" xfId="0" applyNumberFormat="1" applyFont="1" applyFill="1" applyBorder="1" applyAlignment="1">
      <alignment horizontal="left"/>
    </xf>
    <xf numFmtId="0" fontId="13" fillId="7" borderId="4" xfId="0" applyFont="1" applyFill="1" applyBorder="1" applyAlignment="1">
      <alignment horizontal="left"/>
    </xf>
    <xf numFmtId="2" fontId="13" fillId="7" borderId="3" xfId="0" applyNumberFormat="1" applyFont="1" applyFill="1" applyBorder="1" applyAlignment="1">
      <alignment horizontal="right"/>
    </xf>
    <xf numFmtId="0" fontId="6" fillId="7" borderId="4" xfId="0" applyFont="1" applyFill="1" applyBorder="1" applyAlignment="1">
      <alignment horizontal="left"/>
    </xf>
    <xf numFmtId="2" fontId="6" fillId="7" borderId="3" xfId="0" applyNumberFormat="1" applyFont="1" applyFill="1" applyBorder="1" applyAlignment="1">
      <alignment horizontal="right"/>
    </xf>
    <xf numFmtId="2" fontId="5" fillId="7" borderId="3" xfId="0" applyNumberFormat="1" applyFont="1" applyFill="1" applyBorder="1" applyAlignment="1">
      <alignment horizontal="right"/>
    </xf>
    <xf numFmtId="0" fontId="4" fillId="0" borderId="0" xfId="3" applyFont="1"/>
    <xf numFmtId="0" fontId="5" fillId="0" borderId="0" xfId="3" applyFont="1" applyAlignment="1">
      <alignment horizontal="center"/>
    </xf>
    <xf numFmtId="0" fontId="6" fillId="0" borderId="0" xfId="3" applyFont="1"/>
    <xf numFmtId="0" fontId="5" fillId="0" borderId="0" xfId="3" applyFont="1"/>
    <xf numFmtId="0" fontId="5" fillId="0" borderId="0" xfId="3" applyFont="1" applyAlignment="1">
      <alignment horizontal="justify"/>
    </xf>
    <xf numFmtId="0" fontId="28" fillId="11" borderId="7" xfId="3" applyFont="1" applyFill="1" applyBorder="1" applyAlignment="1">
      <alignment horizontal="center"/>
    </xf>
    <xf numFmtId="0" fontId="6" fillId="0" borderId="5" xfId="3" applyFont="1" applyBorder="1" applyAlignment="1">
      <alignment horizontal="center"/>
    </xf>
    <xf numFmtId="0" fontId="6" fillId="0" borderId="35" xfId="3" applyFont="1" applyBorder="1" applyAlignment="1">
      <alignment horizontal="center"/>
    </xf>
    <xf numFmtId="0" fontId="6" fillId="0" borderId="7" xfId="3" applyFont="1" applyBorder="1" applyAlignment="1">
      <alignment horizontal="justify"/>
    </xf>
    <xf numFmtId="0" fontId="28" fillId="11" borderId="9" xfId="3" applyFont="1" applyFill="1" applyBorder="1" applyAlignment="1">
      <alignment horizontal="center"/>
    </xf>
    <xf numFmtId="0" fontId="6" fillId="0" borderId="8" xfId="3" applyFont="1" applyBorder="1" applyAlignment="1">
      <alignment horizontal="center"/>
    </xf>
    <xf numFmtId="0" fontId="6" fillId="0" borderId="36" xfId="3" applyFont="1" applyBorder="1" applyAlignment="1">
      <alignment horizontal="center"/>
    </xf>
    <xf numFmtId="0" fontId="6" fillId="0" borderId="18" xfId="3" applyFont="1" applyBorder="1" applyAlignment="1">
      <alignment horizontal="center"/>
    </xf>
    <xf numFmtId="0" fontId="6" fillId="0" borderId="9" xfId="3" applyFont="1" applyBorder="1" applyAlignment="1">
      <alignment horizontal="center"/>
    </xf>
    <xf numFmtId="0" fontId="6" fillId="0" borderId="9" xfId="3" applyFont="1" applyBorder="1" applyAlignment="1">
      <alignment horizontal="justify"/>
    </xf>
    <xf numFmtId="0" fontId="28" fillId="11" borderId="10" xfId="3" applyFont="1" applyFill="1" applyBorder="1" applyAlignment="1">
      <alignment horizontal="center"/>
    </xf>
    <xf numFmtId="0" fontId="6" fillId="0" borderId="2" xfId="3" applyFont="1" applyBorder="1" applyAlignment="1">
      <alignment horizontal="center"/>
    </xf>
    <xf numFmtId="0" fontId="6" fillId="0" borderId="37" xfId="3" applyFont="1" applyBorder="1" applyAlignment="1">
      <alignment horizontal="center"/>
    </xf>
    <xf numFmtId="0" fontId="6" fillId="0" borderId="38" xfId="3" applyFont="1" applyBorder="1" applyAlignment="1">
      <alignment horizontal="center"/>
    </xf>
    <xf numFmtId="0" fontId="6" fillId="0" borderId="10" xfId="3" applyFont="1" applyBorder="1" applyAlignment="1">
      <alignment horizontal="center"/>
    </xf>
    <xf numFmtId="0" fontId="6" fillId="0" borderId="10" xfId="3" applyFont="1" applyBorder="1" applyAlignment="1">
      <alignment horizontal="justify"/>
    </xf>
    <xf numFmtId="0" fontId="6" fillId="0" borderId="10" xfId="3" applyFont="1" applyBorder="1" applyAlignment="1">
      <alignment horizontal="left"/>
    </xf>
    <xf numFmtId="0" fontId="6" fillId="0" borderId="3" xfId="3" applyFont="1" applyBorder="1" applyAlignment="1">
      <alignment horizontal="left"/>
    </xf>
    <xf numFmtId="0" fontId="5" fillId="0" borderId="4" xfId="3" applyFont="1" applyBorder="1" applyAlignment="1">
      <alignment horizontal="center"/>
    </xf>
    <xf numFmtId="2" fontId="7" fillId="0" borderId="39" xfId="3" applyNumberFormat="1" applyFont="1" applyBorder="1"/>
    <xf numFmtId="2" fontId="5" fillId="0" borderId="1" xfId="3" applyNumberFormat="1" applyFont="1" applyBorder="1"/>
    <xf numFmtId="2" fontId="5" fillId="0" borderId="3" xfId="3" applyNumberFormat="1" applyFont="1" applyBorder="1"/>
    <xf numFmtId="0" fontId="5" fillId="0" borderId="3" xfId="3" applyFont="1" applyBorder="1" applyAlignment="1">
      <alignment horizontal="justify"/>
    </xf>
    <xf numFmtId="0" fontId="5" fillId="7" borderId="3" xfId="3" applyFont="1" applyFill="1" applyBorder="1" applyAlignment="1">
      <alignment horizontal="justify"/>
    </xf>
    <xf numFmtId="2" fontId="5" fillId="0" borderId="0" xfId="3" applyNumberFormat="1" applyFont="1"/>
    <xf numFmtId="2" fontId="5" fillId="0" borderId="38" xfId="3" applyNumberFormat="1" applyFont="1" applyBorder="1"/>
    <xf numFmtId="0" fontId="5" fillId="0" borderId="2" xfId="3" applyFont="1" applyBorder="1" applyAlignment="1">
      <alignment horizontal="center"/>
    </xf>
    <xf numFmtId="2" fontId="5" fillId="0" borderId="10" xfId="3" applyNumberFormat="1" applyFont="1" applyBorder="1"/>
    <xf numFmtId="0" fontId="5" fillId="7" borderId="10" xfId="3" applyFont="1" applyFill="1" applyBorder="1" applyAlignment="1">
      <alignment horizontal="justify"/>
    </xf>
    <xf numFmtId="0" fontId="9" fillId="0" borderId="10" xfId="3" applyFont="1" applyBorder="1" applyAlignment="1">
      <alignment horizontal="left"/>
    </xf>
    <xf numFmtId="2" fontId="6" fillId="0" borderId="38" xfId="3" applyNumberFormat="1" applyFont="1" applyBorder="1" applyAlignment="1">
      <alignment horizontal="center"/>
    </xf>
    <xf numFmtId="2" fontId="6" fillId="0" borderId="10" xfId="3" applyNumberFormat="1" applyFont="1" applyBorder="1" applyAlignment="1">
      <alignment horizontal="center"/>
    </xf>
    <xf numFmtId="2" fontId="5" fillId="7" borderId="0" xfId="3" applyNumberFormat="1" applyFont="1" applyFill="1"/>
    <xf numFmtId="0" fontId="28" fillId="7" borderId="3" xfId="3" applyFont="1" applyFill="1" applyBorder="1" applyAlignment="1">
      <alignment horizontal="left" vertical="center"/>
    </xf>
    <xf numFmtId="0" fontId="5" fillId="12" borderId="3" xfId="3" applyFont="1" applyFill="1" applyBorder="1" applyAlignment="1">
      <alignment horizontal="justify"/>
    </xf>
    <xf numFmtId="0" fontId="5" fillId="13" borderId="3" xfId="3" applyFont="1" applyFill="1" applyBorder="1" applyAlignment="1">
      <alignment horizontal="justify"/>
    </xf>
    <xf numFmtId="0" fontId="6" fillId="0" borderId="3" xfId="3" applyFont="1" applyBorder="1"/>
    <xf numFmtId="0" fontId="5" fillId="0" borderId="3" xfId="3" applyFont="1" applyBorder="1"/>
    <xf numFmtId="0" fontId="3" fillId="0" borderId="0" xfId="3"/>
    <xf numFmtId="0" fontId="7" fillId="0" borderId="4" xfId="0" applyFont="1" applyBorder="1" applyAlignment="1">
      <alignment horizontal="left"/>
    </xf>
    <xf numFmtId="0" fontId="6" fillId="0" borderId="0" xfId="0" applyFont="1" applyAlignment="1">
      <alignment horizontal="left"/>
    </xf>
    <xf numFmtId="2" fontId="7" fillId="2" borderId="0" xfId="0" applyNumberFormat="1" applyFont="1" applyFill="1"/>
    <xf numFmtId="2" fontId="6" fillId="0" borderId="0" xfId="0" applyNumberFormat="1" applyFont="1" applyAlignment="1">
      <alignment horizontal="center"/>
    </xf>
    <xf numFmtId="4" fontId="5" fillId="0" borderId="0" xfId="0" applyNumberFormat="1" applyFont="1"/>
    <xf numFmtId="0" fontId="17" fillId="0" borderId="0" xfId="0" applyFont="1"/>
    <xf numFmtId="4" fontId="4" fillId="14" borderId="4" xfId="0" applyNumberFormat="1" applyFont="1" applyFill="1" applyBorder="1" applyAlignment="1">
      <alignment horizontal="center" vertical="center"/>
    </xf>
    <xf numFmtId="4" fontId="4" fillId="14" borderId="1" xfId="0" quotePrefix="1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1" fillId="14" borderId="4" xfId="0" applyFont="1" applyFill="1" applyBorder="1" applyAlignment="1">
      <alignment vertical="center"/>
    </xf>
    <xf numFmtId="0" fontId="19" fillId="14" borderId="12" xfId="0" applyFont="1" applyFill="1" applyBorder="1" applyAlignment="1">
      <alignment vertical="center"/>
    </xf>
    <xf numFmtId="0" fontId="19" fillId="14" borderId="1" xfId="0" applyFont="1" applyFill="1" applyBorder="1" applyAlignment="1">
      <alignment vertical="center"/>
    </xf>
    <xf numFmtId="0" fontId="21" fillId="0" borderId="0" xfId="0" applyFont="1" applyAlignment="1">
      <alignment vertical="center"/>
    </xf>
    <xf numFmtId="0" fontId="11" fillId="14" borderId="12" xfId="0" applyFont="1" applyFill="1" applyBorder="1" applyAlignment="1">
      <alignment vertical="center"/>
    </xf>
    <xf numFmtId="0" fontId="11" fillId="14" borderId="2" xfId="0" applyFont="1" applyFill="1" applyBorder="1" applyAlignment="1">
      <alignment vertical="center"/>
    </xf>
    <xf numFmtId="0" fontId="11" fillId="14" borderId="12" xfId="2" applyNumberFormat="1" applyFont="1" applyFill="1" applyBorder="1" applyAlignment="1">
      <alignment vertical="center"/>
    </xf>
    <xf numFmtId="0" fontId="11" fillId="14" borderId="1" xfId="2" applyNumberFormat="1" applyFont="1" applyFill="1" applyBorder="1" applyAlignment="1">
      <alignment vertical="center"/>
    </xf>
    <xf numFmtId="0" fontId="7" fillId="7" borderId="7" xfId="0" applyFont="1" applyFill="1" applyBorder="1" applyAlignment="1">
      <alignment horizontal="center" vertical="center"/>
    </xf>
    <xf numFmtId="0" fontId="7" fillId="0" borderId="0" xfId="0" applyFont="1"/>
    <xf numFmtId="0" fontId="7" fillId="7" borderId="7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vertical="center"/>
    </xf>
    <xf numFmtId="0" fontId="7" fillId="7" borderId="10" xfId="0" applyFont="1" applyFill="1" applyBorder="1" applyAlignment="1">
      <alignment horizontal="center" vertical="center"/>
    </xf>
    <xf numFmtId="4" fontId="7" fillId="7" borderId="3" xfId="0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1" fontId="22" fillId="0" borderId="3" xfId="0" applyNumberFormat="1" applyFont="1" applyBorder="1" applyAlignment="1">
      <alignment horizontal="center" vertical="center"/>
    </xf>
    <xf numFmtId="165" fontId="23" fillId="0" borderId="4" xfId="0" applyNumberFormat="1" applyFont="1" applyBorder="1" applyAlignment="1">
      <alignment vertical="center" wrapText="1"/>
    </xf>
    <xf numFmtId="0" fontId="22" fillId="0" borderId="12" xfId="0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left" vertical="center" wrapText="1"/>
    </xf>
    <xf numFmtId="2" fontId="22" fillId="0" borderId="1" xfId="0" applyNumberFormat="1" applyFont="1" applyBorder="1" applyAlignment="1">
      <alignment horizontal="right" vertical="center"/>
    </xf>
    <xf numFmtId="0" fontId="22" fillId="0" borderId="3" xfId="0" applyFont="1" applyBorder="1" applyAlignment="1">
      <alignment horizontal="left" vertical="center"/>
    </xf>
    <xf numFmtId="0" fontId="22" fillId="0" borderId="3" xfId="0" applyFont="1" applyBorder="1" applyAlignment="1">
      <alignment horizontal="center" vertical="center" wrapText="1"/>
    </xf>
    <xf numFmtId="4" fontId="22" fillId="0" borderId="3" xfId="0" applyNumberFormat="1" applyFont="1" applyBorder="1" applyAlignment="1">
      <alignment horizontal="right" vertical="center"/>
    </xf>
    <xf numFmtId="0" fontId="22" fillId="0" borderId="0" xfId="0" applyFont="1" applyAlignment="1">
      <alignment horizontal="left"/>
    </xf>
    <xf numFmtId="0" fontId="22" fillId="15" borderId="4" xfId="0" applyFont="1" applyFill="1" applyBorder="1" applyAlignment="1">
      <alignment horizontal="center" vertical="center"/>
    </xf>
    <xf numFmtId="1" fontId="22" fillId="15" borderId="3" xfId="0" applyNumberFormat="1" applyFont="1" applyFill="1" applyBorder="1" applyAlignment="1">
      <alignment horizontal="center" vertical="center"/>
    </xf>
    <xf numFmtId="165" fontId="23" fillId="15" borderId="4" xfId="0" applyNumberFormat="1" applyFont="1" applyFill="1" applyBorder="1" applyAlignment="1">
      <alignment vertical="center" wrapText="1"/>
    </xf>
    <xf numFmtId="0" fontId="22" fillId="15" borderId="12" xfId="0" applyFont="1" applyFill="1" applyBorder="1" applyAlignment="1">
      <alignment horizontal="center" vertical="center"/>
    </xf>
    <xf numFmtId="165" fontId="23" fillId="15" borderId="1" xfId="0" applyNumberFormat="1" applyFont="1" applyFill="1" applyBorder="1" applyAlignment="1">
      <alignment horizontal="left" vertical="center" wrapText="1"/>
    </xf>
    <xf numFmtId="2" fontId="22" fillId="15" borderId="1" xfId="0" applyNumberFormat="1" applyFont="1" applyFill="1" applyBorder="1" applyAlignment="1">
      <alignment horizontal="right" vertical="center"/>
    </xf>
    <xf numFmtId="0" fontId="22" fillId="15" borderId="3" xfId="0" applyFont="1" applyFill="1" applyBorder="1" applyAlignment="1">
      <alignment horizontal="left" vertical="center"/>
    </xf>
    <xf numFmtId="0" fontId="22" fillId="15" borderId="3" xfId="0" applyFont="1" applyFill="1" applyBorder="1" applyAlignment="1">
      <alignment horizontal="center" vertical="center" wrapText="1"/>
    </xf>
    <xf numFmtId="4" fontId="22" fillId="15" borderId="3" xfId="0" applyNumberFormat="1" applyFont="1" applyFill="1" applyBorder="1" applyAlignment="1">
      <alignment horizontal="right" vertical="center"/>
    </xf>
    <xf numFmtId="165" fontId="22" fillId="15" borderId="4" xfId="0" applyNumberFormat="1" applyFont="1" applyFill="1" applyBorder="1" applyAlignment="1">
      <alignment vertical="center"/>
    </xf>
    <xf numFmtId="165" fontId="22" fillId="15" borderId="1" xfId="0" applyNumberFormat="1" applyFont="1" applyFill="1" applyBorder="1" applyAlignment="1">
      <alignment horizontal="left" vertical="center"/>
    </xf>
    <xf numFmtId="165" fontId="22" fillId="0" borderId="4" xfId="0" applyNumberFormat="1" applyFont="1" applyBorder="1" applyAlignment="1">
      <alignment vertical="center" wrapText="1"/>
    </xf>
    <xf numFmtId="165" fontId="22" fillId="0" borderId="1" xfId="0" applyNumberFormat="1" applyFont="1" applyBorder="1" applyAlignment="1">
      <alignment horizontal="left" vertical="center" wrapText="1"/>
    </xf>
    <xf numFmtId="2" fontId="22" fillId="15" borderId="4" xfId="0" applyNumberFormat="1" applyFont="1" applyFill="1" applyBorder="1" applyAlignment="1">
      <alignment vertical="center"/>
    </xf>
    <xf numFmtId="2" fontId="22" fillId="15" borderId="12" xfId="0" applyNumberFormat="1" applyFont="1" applyFill="1" applyBorder="1" applyAlignment="1">
      <alignment horizontal="center" vertical="center"/>
    </xf>
    <xf numFmtId="2" fontId="22" fillId="15" borderId="1" xfId="0" applyNumberFormat="1" applyFont="1" applyFill="1" applyBorder="1" applyAlignment="1">
      <alignment horizontal="left" vertical="center"/>
    </xf>
    <xf numFmtId="165" fontId="22" fillId="0" borderId="4" xfId="0" applyNumberFormat="1" applyFont="1" applyBorder="1" applyAlignment="1">
      <alignment vertical="center"/>
    </xf>
    <xf numFmtId="165" fontId="22" fillId="0" borderId="1" xfId="0" applyNumberFormat="1" applyFont="1" applyBorder="1" applyAlignment="1">
      <alignment horizontal="left" vertical="center"/>
    </xf>
    <xf numFmtId="2" fontId="4" fillId="7" borderId="3" xfId="0" applyNumberFormat="1" applyFont="1" applyFill="1" applyBorder="1" applyAlignment="1">
      <alignment vertical="center"/>
    </xf>
    <xf numFmtId="0" fontId="22" fillId="7" borderId="3" xfId="0" applyFont="1" applyFill="1" applyBorder="1" applyAlignment="1">
      <alignment horizontal="left" vertical="center"/>
    </xf>
    <xf numFmtId="4" fontId="4" fillId="7" borderId="3" xfId="0" applyNumberFormat="1" applyFont="1" applyFill="1" applyBorder="1" applyAlignment="1">
      <alignment horizontal="center" vertical="center"/>
    </xf>
    <xf numFmtId="4" fontId="4" fillId="7" borderId="3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7" fillId="0" borderId="5" xfId="0" applyFont="1" applyBorder="1"/>
    <xf numFmtId="0" fontId="7" fillId="0" borderId="6" xfId="0" applyFont="1" applyBorder="1"/>
    <xf numFmtId="0" fontId="7" fillId="0" borderId="17" xfId="0" applyFont="1" applyBorder="1"/>
    <xf numFmtId="0" fontId="23" fillId="0" borderId="0" xfId="0" applyFont="1"/>
    <xf numFmtId="0" fontId="7" fillId="0" borderId="8" xfId="0" applyFont="1" applyBorder="1"/>
    <xf numFmtId="0" fontId="7" fillId="0" borderId="18" xfId="0" applyFont="1" applyBorder="1"/>
    <xf numFmtId="0" fontId="23" fillId="0" borderId="8" xfId="0" applyFont="1" applyBorder="1"/>
    <xf numFmtId="0" fontId="23" fillId="0" borderId="18" xfId="0" applyFont="1" applyBorder="1"/>
    <xf numFmtId="0" fontId="23" fillId="0" borderId="5" xfId="0" applyFont="1" applyBorder="1"/>
    <xf numFmtId="0" fontId="23" fillId="0" borderId="6" xfId="0" applyFont="1" applyBorder="1"/>
    <xf numFmtId="4" fontId="23" fillId="0" borderId="6" xfId="0" applyNumberFormat="1" applyFont="1" applyBorder="1"/>
    <xf numFmtId="4" fontId="23" fillId="0" borderId="17" xfId="0" applyNumberFormat="1" applyFont="1" applyBorder="1"/>
    <xf numFmtId="0" fontId="23" fillId="0" borderId="11" xfId="0" applyFont="1" applyBorder="1"/>
    <xf numFmtId="4" fontId="23" fillId="0" borderId="11" xfId="0" applyNumberFormat="1" applyFont="1" applyBorder="1"/>
    <xf numFmtId="4" fontId="23" fillId="0" borderId="18" xfId="0" applyNumberFormat="1" applyFont="1" applyBorder="1"/>
    <xf numFmtId="0" fontId="23" fillId="0" borderId="2" xfId="0" applyFont="1" applyBorder="1"/>
    <xf numFmtId="0" fontId="7" fillId="0" borderId="11" xfId="0" applyFont="1" applyBorder="1"/>
    <xf numFmtId="0" fontId="23" fillId="0" borderId="38" xfId="0" applyFont="1" applyBorder="1"/>
    <xf numFmtId="0" fontId="7" fillId="0" borderId="2" xfId="0" applyFont="1" applyBorder="1"/>
    <xf numFmtId="0" fontId="7" fillId="0" borderId="38" xfId="0" applyFont="1" applyBorder="1"/>
    <xf numFmtId="0" fontId="0" fillId="0" borderId="3" xfId="0" applyBorder="1"/>
    <xf numFmtId="0" fontId="25" fillId="7" borderId="3" xfId="0" applyFont="1" applyFill="1" applyBorder="1"/>
    <xf numFmtId="0" fontId="25" fillId="7" borderId="3" xfId="0" applyFont="1" applyFill="1" applyBorder="1" applyAlignment="1">
      <alignment horizontal="center"/>
    </xf>
    <xf numFmtId="0" fontId="26" fillId="9" borderId="3" xfId="0" applyFont="1" applyFill="1" applyBorder="1" applyAlignment="1">
      <alignment horizontal="center"/>
    </xf>
    <xf numFmtId="0" fontId="7" fillId="7" borderId="13" xfId="0" applyFont="1" applyFill="1" applyBorder="1" applyAlignment="1">
      <alignment horizontal="left"/>
    </xf>
    <xf numFmtId="0" fontId="6" fillId="7" borderId="12" xfId="0" applyFont="1" applyFill="1" applyBorder="1" applyAlignment="1">
      <alignment horizontal="left"/>
    </xf>
    <xf numFmtId="0" fontId="7" fillId="7" borderId="14" xfId="0" applyFont="1" applyFill="1" applyBorder="1" applyAlignment="1">
      <alignment horizontal="right"/>
    </xf>
    <xf numFmtId="2" fontId="7" fillId="7" borderId="1" xfId="0" applyNumberFormat="1" applyFont="1" applyFill="1" applyBorder="1"/>
    <xf numFmtId="0" fontId="7" fillId="16" borderId="13" xfId="0" applyFont="1" applyFill="1" applyBorder="1" applyAlignment="1">
      <alignment horizontal="left"/>
    </xf>
    <xf numFmtId="0" fontId="6" fillId="16" borderId="12" xfId="0" applyFont="1" applyFill="1" applyBorder="1" applyAlignment="1">
      <alignment horizontal="left"/>
    </xf>
    <xf numFmtId="0" fontId="7" fillId="16" borderId="14" xfId="0" applyFont="1" applyFill="1" applyBorder="1" applyAlignment="1">
      <alignment horizontal="right"/>
    </xf>
    <xf numFmtId="2" fontId="7" fillId="16" borderId="1" xfId="0" applyNumberFormat="1" applyFont="1" applyFill="1" applyBorder="1"/>
    <xf numFmtId="0" fontId="7" fillId="16" borderId="30" xfId="0" applyFont="1" applyFill="1" applyBorder="1" applyAlignment="1">
      <alignment horizontal="left"/>
    </xf>
    <xf numFmtId="0" fontId="6" fillId="16" borderId="11" xfId="0" applyFont="1" applyFill="1" applyBorder="1" applyAlignment="1">
      <alignment horizontal="left"/>
    </xf>
    <xf numFmtId="0" fontId="14" fillId="16" borderId="31" xfId="0" applyFont="1" applyFill="1" applyBorder="1" applyAlignment="1">
      <alignment horizontal="right"/>
    </xf>
    <xf numFmtId="0" fontId="7" fillId="12" borderId="13" xfId="0" applyFont="1" applyFill="1" applyBorder="1" applyAlignment="1">
      <alignment horizontal="left"/>
    </xf>
    <xf numFmtId="0" fontId="6" fillId="12" borderId="12" xfId="0" applyFont="1" applyFill="1" applyBorder="1" applyAlignment="1">
      <alignment horizontal="left"/>
    </xf>
    <xf numFmtId="0" fontId="7" fillId="12" borderId="14" xfId="0" applyFont="1" applyFill="1" applyBorder="1" applyAlignment="1">
      <alignment horizontal="right"/>
    </xf>
    <xf numFmtId="2" fontId="7" fillId="12" borderId="1" xfId="0" applyNumberFormat="1" applyFont="1" applyFill="1" applyBorder="1"/>
    <xf numFmtId="0" fontId="7" fillId="12" borderId="30" xfId="0" applyFont="1" applyFill="1" applyBorder="1" applyAlignment="1">
      <alignment horizontal="left"/>
    </xf>
    <xf numFmtId="0" fontId="6" fillId="12" borderId="11" xfId="0" applyFont="1" applyFill="1" applyBorder="1" applyAlignment="1">
      <alignment horizontal="left"/>
    </xf>
    <xf numFmtId="0" fontId="7" fillId="12" borderId="31" xfId="0" applyFont="1" applyFill="1" applyBorder="1" applyAlignment="1">
      <alignment horizontal="right"/>
    </xf>
    <xf numFmtId="0" fontId="7" fillId="17" borderId="13" xfId="0" applyFont="1" applyFill="1" applyBorder="1" applyAlignment="1">
      <alignment horizontal="left"/>
    </xf>
    <xf numFmtId="0" fontId="6" fillId="17" borderId="12" xfId="0" applyFont="1" applyFill="1" applyBorder="1" applyAlignment="1">
      <alignment horizontal="left"/>
    </xf>
    <xf numFmtId="0" fontId="7" fillId="17" borderId="14" xfId="0" applyFont="1" applyFill="1" applyBorder="1" applyAlignment="1">
      <alignment horizontal="right"/>
    </xf>
    <xf numFmtId="2" fontId="7" fillId="17" borderId="1" xfId="0" applyNumberFormat="1" applyFont="1" applyFill="1" applyBorder="1"/>
    <xf numFmtId="0" fontId="7" fillId="18" borderId="13" xfId="0" applyFont="1" applyFill="1" applyBorder="1" applyAlignment="1">
      <alignment horizontal="left"/>
    </xf>
    <xf numFmtId="0" fontId="6" fillId="18" borderId="12" xfId="0" applyFont="1" applyFill="1" applyBorder="1" applyAlignment="1">
      <alignment horizontal="left"/>
    </xf>
    <xf numFmtId="0" fontId="7" fillId="18" borderId="14" xfId="0" applyFont="1" applyFill="1" applyBorder="1" applyAlignment="1">
      <alignment horizontal="right"/>
    </xf>
    <xf numFmtId="2" fontId="7" fillId="18" borderId="1" xfId="0" applyNumberFormat="1" applyFont="1" applyFill="1" applyBorder="1"/>
    <xf numFmtId="0" fontId="6" fillId="7" borderId="6" xfId="0" applyFont="1" applyFill="1" applyBorder="1" applyAlignment="1">
      <alignment horizontal="left"/>
    </xf>
    <xf numFmtId="0" fontId="7" fillId="7" borderId="16" xfId="0" applyFont="1" applyFill="1" applyBorder="1" applyAlignment="1">
      <alignment horizontal="right"/>
    </xf>
    <xf numFmtId="2" fontId="7" fillId="7" borderId="17" xfId="0" applyNumberFormat="1" applyFont="1" applyFill="1" applyBorder="1"/>
    <xf numFmtId="0" fontId="6" fillId="18" borderId="6" xfId="0" applyFont="1" applyFill="1" applyBorder="1" applyAlignment="1">
      <alignment horizontal="left"/>
    </xf>
    <xf numFmtId="0" fontId="7" fillId="18" borderId="16" xfId="0" applyFont="1" applyFill="1" applyBorder="1" applyAlignment="1">
      <alignment horizontal="right"/>
    </xf>
    <xf numFmtId="2" fontId="7" fillId="18" borderId="17" xfId="0" applyNumberFormat="1" applyFont="1" applyFill="1" applyBorder="1"/>
    <xf numFmtId="2" fontId="7" fillId="12" borderId="13" xfId="0" applyNumberFormat="1" applyFont="1" applyFill="1" applyBorder="1"/>
    <xf numFmtId="2" fontId="7" fillId="12" borderId="14" xfId="0" applyNumberFormat="1" applyFont="1" applyFill="1" applyBorder="1"/>
    <xf numFmtId="2" fontId="7" fillId="19" borderId="13" xfId="0" applyNumberFormat="1" applyFont="1" applyFill="1" applyBorder="1"/>
    <xf numFmtId="2" fontId="7" fillId="19" borderId="14" xfId="0" applyNumberFormat="1" applyFont="1" applyFill="1" applyBorder="1"/>
    <xf numFmtId="2" fontId="7" fillId="20" borderId="13" xfId="0" applyNumberFormat="1" applyFont="1" applyFill="1" applyBorder="1"/>
    <xf numFmtId="2" fontId="7" fillId="20" borderId="14" xfId="0" applyNumberFormat="1" applyFont="1" applyFill="1" applyBorder="1"/>
    <xf numFmtId="2" fontId="7" fillId="16" borderId="13" xfId="0" applyNumberFormat="1" applyFont="1" applyFill="1" applyBorder="1"/>
    <xf numFmtId="2" fontId="7" fillId="16" borderId="14" xfId="0" applyNumberFormat="1" applyFont="1" applyFill="1" applyBorder="1"/>
    <xf numFmtId="2" fontId="7" fillId="18" borderId="13" xfId="0" applyNumberFormat="1" applyFont="1" applyFill="1" applyBorder="1"/>
    <xf numFmtId="2" fontId="7" fillId="18" borderId="14" xfId="0" applyNumberFormat="1" applyFont="1" applyFill="1" applyBorder="1"/>
    <xf numFmtId="2" fontId="7" fillId="17" borderId="13" xfId="0" applyNumberFormat="1" applyFont="1" applyFill="1" applyBorder="1"/>
    <xf numFmtId="2" fontId="7" fillId="17" borderId="14" xfId="0" applyNumberFormat="1" applyFont="1" applyFill="1" applyBorder="1"/>
    <xf numFmtId="0" fontId="7" fillId="19" borderId="13" xfId="0" applyFont="1" applyFill="1" applyBorder="1" applyAlignment="1">
      <alignment horizontal="left"/>
    </xf>
    <xf numFmtId="0" fontId="6" fillId="19" borderId="12" xfId="0" applyFont="1" applyFill="1" applyBorder="1" applyAlignment="1">
      <alignment horizontal="left"/>
    </xf>
    <xf numFmtId="0" fontId="7" fillId="19" borderId="14" xfId="0" applyFont="1" applyFill="1" applyBorder="1" applyAlignment="1">
      <alignment horizontal="right"/>
    </xf>
    <xf numFmtId="2" fontId="7" fillId="19" borderId="1" xfId="0" applyNumberFormat="1" applyFont="1" applyFill="1" applyBorder="1"/>
    <xf numFmtId="0" fontId="6" fillId="7" borderId="3" xfId="3" applyFont="1" applyFill="1" applyBorder="1" applyAlignment="1">
      <alignment horizontal="left"/>
    </xf>
    <xf numFmtId="0" fontId="5" fillId="7" borderId="4" xfId="3" applyFont="1" applyFill="1" applyBorder="1" applyAlignment="1">
      <alignment horizontal="center"/>
    </xf>
    <xf numFmtId="2" fontId="7" fillId="7" borderId="39" xfId="3" applyNumberFormat="1" applyFont="1" applyFill="1" applyBorder="1"/>
    <xf numFmtId="2" fontId="5" fillId="7" borderId="1" xfId="0" applyNumberFormat="1" applyFont="1" applyFill="1" applyBorder="1"/>
    <xf numFmtId="0" fontId="5" fillId="7" borderId="0" xfId="3" applyFont="1" applyFill="1"/>
    <xf numFmtId="10" fontId="7" fillId="7" borderId="0" xfId="4" applyNumberFormat="1" applyFont="1" applyFill="1"/>
    <xf numFmtId="2" fontId="5" fillId="7" borderId="1" xfId="3" applyNumberFormat="1" applyFont="1" applyFill="1" applyBorder="1"/>
    <xf numFmtId="166" fontId="5" fillId="7" borderId="0" xfId="0" applyNumberFormat="1" applyFont="1" applyFill="1"/>
    <xf numFmtId="0" fontId="0" fillId="7" borderId="0" xfId="0" applyFill="1"/>
    <xf numFmtId="2" fontId="5" fillId="7" borderId="3" xfId="3" applyNumberFormat="1" applyFont="1" applyFill="1" applyBorder="1"/>
    <xf numFmtId="0" fontId="6" fillId="0" borderId="3" xfId="3" applyFont="1" applyBorder="1" applyAlignment="1">
      <alignment horizontal="center" vertical="center"/>
    </xf>
    <xf numFmtId="1" fontId="5" fillId="7" borderId="0" xfId="3" applyNumberFormat="1" applyFont="1" applyFill="1"/>
    <xf numFmtId="164" fontId="7" fillId="0" borderId="0" xfId="1" applyFont="1"/>
    <xf numFmtId="0" fontId="6" fillId="22" borderId="4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6" fillId="0" borderId="2" xfId="0" applyFont="1" applyBorder="1" applyAlignment="1">
      <alignment horizontal="left"/>
    </xf>
    <xf numFmtId="0" fontId="7" fillId="23" borderId="4" xfId="3" applyFont="1" applyFill="1" applyBorder="1" applyAlignment="1">
      <alignment horizontal="center"/>
    </xf>
    <xf numFmtId="0" fontId="5" fillId="3" borderId="0" xfId="0" applyFont="1" applyFill="1" applyAlignment="1">
      <alignment horizontal="right"/>
    </xf>
    <xf numFmtId="0" fontId="4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2" fontId="7" fillId="3" borderId="0" xfId="0" applyNumberFormat="1" applyFont="1" applyFill="1" applyAlignment="1">
      <alignment horizontal="center" vertical="center"/>
    </xf>
    <xf numFmtId="10" fontId="7" fillId="3" borderId="0" xfId="4" applyNumberFormat="1" applyFont="1" applyFill="1" applyBorder="1" applyAlignment="1">
      <alignment horizontal="center" vertical="center"/>
    </xf>
    <xf numFmtId="10" fontId="7" fillId="3" borderId="6" xfId="4" applyNumberFormat="1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2" fontId="7" fillId="7" borderId="3" xfId="0" applyNumberFormat="1" applyFont="1" applyFill="1" applyBorder="1" applyAlignment="1">
      <alignment horizontal="center" vertical="center"/>
    </xf>
    <xf numFmtId="0" fontId="22" fillId="15" borderId="4" xfId="0" applyFont="1" applyFill="1" applyBorder="1" applyAlignment="1">
      <alignment horizontal="center" vertical="center"/>
    </xf>
    <xf numFmtId="0" fontId="22" fillId="15" borderId="12" xfId="0" applyFont="1" applyFill="1" applyBorder="1" applyAlignment="1">
      <alignment horizontal="center" vertical="center"/>
    </xf>
    <xf numFmtId="0" fontId="22" fillId="15" borderId="1" xfId="0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18" fillId="0" borderId="4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67" fontId="21" fillId="14" borderId="12" xfId="2" applyNumberFormat="1" applyFont="1" applyFill="1" applyBorder="1" applyAlignment="1">
      <alignment horizontal="center" vertical="center" wrapText="1"/>
    </xf>
    <xf numFmtId="167" fontId="21" fillId="14" borderId="1" xfId="2" applyNumberFormat="1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/>
    </xf>
    <xf numFmtId="0" fontId="7" fillId="7" borderId="17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7" fillId="7" borderId="38" xfId="0" applyFont="1" applyFill="1" applyBorder="1" applyAlignment="1">
      <alignment horizontal="center" vertical="center"/>
    </xf>
    <xf numFmtId="4" fontId="7" fillId="7" borderId="4" xfId="0" applyNumberFormat="1" applyFont="1" applyFill="1" applyBorder="1" applyAlignment="1">
      <alignment horizontal="center" vertical="center"/>
    </xf>
    <xf numFmtId="4" fontId="7" fillId="7" borderId="1" xfId="0" applyNumberFormat="1" applyFont="1" applyFill="1" applyBorder="1" applyAlignment="1">
      <alignment horizontal="center" vertical="center"/>
    </xf>
    <xf numFmtId="0" fontId="22" fillId="0" borderId="12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21" borderId="12" xfId="0" applyFont="1" applyFill="1" applyBorder="1" applyAlignment="1">
      <alignment horizontal="center" vertical="center" wrapText="1"/>
    </xf>
    <xf numFmtId="0" fontId="22" fillId="21" borderId="1" xfId="0" applyFont="1" applyFill="1" applyBorder="1" applyAlignment="1">
      <alignment horizontal="center" vertical="center" wrapText="1"/>
    </xf>
    <xf numFmtId="0" fontId="22" fillId="21" borderId="4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38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38" xfId="0" applyFont="1" applyBorder="1" applyAlignment="1">
      <alignment horizontal="center"/>
    </xf>
    <xf numFmtId="0" fontId="6" fillId="0" borderId="1" xfId="3" applyFont="1" applyBorder="1" applyAlignment="1">
      <alignment horizontal="center"/>
    </xf>
    <xf numFmtId="0" fontId="6" fillId="0" borderId="3" xfId="3" applyFont="1" applyBorder="1" applyAlignment="1">
      <alignment horizontal="center"/>
    </xf>
    <xf numFmtId="0" fontId="7" fillId="23" borderId="7" xfId="3" applyFont="1" applyFill="1" applyBorder="1" applyAlignment="1">
      <alignment horizontal="center" vertical="center"/>
    </xf>
    <xf numFmtId="0" fontId="7" fillId="23" borderId="9" xfId="3" applyFont="1" applyFill="1" applyBorder="1" applyAlignment="1">
      <alignment horizontal="center" vertical="center"/>
    </xf>
    <xf numFmtId="0" fontId="7" fillId="23" borderId="10" xfId="3" applyFont="1" applyFill="1" applyBorder="1" applyAlignment="1">
      <alignment horizontal="center" vertical="center"/>
    </xf>
    <xf numFmtId="0" fontId="12" fillId="4" borderId="40" xfId="0" applyFont="1" applyFill="1" applyBorder="1" applyAlignment="1">
      <alignment horizontal="center"/>
    </xf>
    <xf numFmtId="0" fontId="12" fillId="4" borderId="41" xfId="0" applyFont="1" applyFill="1" applyBorder="1" applyAlignment="1">
      <alignment horizontal="center"/>
    </xf>
    <xf numFmtId="0" fontId="29" fillId="11" borderId="42" xfId="3" applyFont="1" applyFill="1" applyBorder="1" applyAlignment="1">
      <alignment horizontal="center" vertical="center" wrapText="1"/>
    </xf>
    <xf numFmtId="0" fontId="30" fillId="11" borderId="43" xfId="3" applyFont="1" applyFill="1" applyBorder="1" applyAlignment="1">
      <alignment horizontal="center" vertical="center" wrapText="1"/>
    </xf>
    <xf numFmtId="0" fontId="30" fillId="11" borderId="44" xfId="3" applyFont="1" applyFill="1" applyBorder="1" applyAlignment="1">
      <alignment horizontal="center" vertical="center" wrapText="1"/>
    </xf>
    <xf numFmtId="0" fontId="31" fillId="11" borderId="40" xfId="3" applyFont="1" applyFill="1" applyBorder="1" applyAlignment="1">
      <alignment horizontal="center" vertical="center" wrapText="1"/>
    </xf>
    <xf numFmtId="0" fontId="31" fillId="11" borderId="41" xfId="3" applyFont="1" applyFill="1" applyBorder="1" applyAlignment="1">
      <alignment horizontal="center" vertical="center" wrapText="1"/>
    </xf>
    <xf numFmtId="0" fontId="31" fillId="11" borderId="45" xfId="3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16" fillId="7" borderId="2" xfId="0" applyFont="1" applyFill="1" applyBorder="1" applyAlignment="1">
      <alignment horizontal="justify" vertical="top"/>
    </xf>
    <xf numFmtId="0" fontId="16" fillId="7" borderId="11" xfId="0" applyFont="1" applyFill="1" applyBorder="1" applyAlignment="1">
      <alignment horizontal="justify" vertical="top"/>
    </xf>
    <xf numFmtId="0" fontId="16" fillId="7" borderId="38" xfId="0" applyFont="1" applyFill="1" applyBorder="1" applyAlignment="1">
      <alignment horizontal="justify" vertical="top"/>
    </xf>
    <xf numFmtId="0" fontId="16" fillId="7" borderId="5" xfId="0" applyFont="1" applyFill="1" applyBorder="1" applyAlignment="1">
      <alignment horizontal="center"/>
    </xf>
    <xf numFmtId="0" fontId="16" fillId="7" borderId="6" xfId="0" applyFont="1" applyFill="1" applyBorder="1" applyAlignment="1">
      <alignment horizontal="center"/>
    </xf>
    <xf numFmtId="0" fontId="16" fillId="7" borderId="17" xfId="0" applyFont="1" applyFill="1" applyBorder="1" applyAlignment="1">
      <alignment horizontal="center"/>
    </xf>
    <xf numFmtId="2" fontId="32" fillId="2" borderId="43" xfId="0" applyNumberFormat="1" applyFont="1" applyFill="1" applyBorder="1" applyAlignment="1">
      <alignment horizontal="center"/>
    </xf>
    <xf numFmtId="0" fontId="26" fillId="9" borderId="4" xfId="0" applyFont="1" applyFill="1" applyBorder="1" applyAlignment="1">
      <alignment horizontal="center"/>
    </xf>
    <xf numFmtId="0" fontId="26" fillId="9" borderId="1" xfId="0" applyFont="1" applyFill="1" applyBorder="1" applyAlignment="1">
      <alignment horizontal="center"/>
    </xf>
  </cellXfs>
  <cellStyles count="6">
    <cellStyle name="Millares" xfId="1" builtinId="3"/>
    <cellStyle name="Millares 2" xfId="2" xr:uid="{00000000-0005-0000-0000-000001000000}"/>
    <cellStyle name="Normal" xfId="0" builtinId="0"/>
    <cellStyle name="Normal 2" xfId="3" xr:uid="{00000000-0005-0000-0000-000003000000}"/>
    <cellStyle name="Porcentaje" xfId="4" builtinId="5"/>
    <cellStyle name="Porcentual 2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6.jpeg"/><Relationship Id="rId1" Type="http://schemas.openxmlformats.org/officeDocument/2006/relationships/image" Target="../media/image2.jpeg"/><Relationship Id="rId5" Type="http://schemas.openxmlformats.org/officeDocument/2006/relationships/image" Target="../media/image9.jpeg"/><Relationship Id="rId4" Type="http://schemas.openxmlformats.org/officeDocument/2006/relationships/image" Target="../media/image8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473075</xdr:colOff>
      <xdr:row>0</xdr:row>
      <xdr:rowOff>0</xdr:rowOff>
    </xdr:from>
    <xdr:to>
      <xdr:col>13</xdr:col>
      <xdr:colOff>1303721</xdr:colOff>
      <xdr:row>3</xdr:row>
      <xdr:rowOff>200025</xdr:rowOff>
    </xdr:to>
    <xdr:sp macro="" textlink="">
      <xdr:nvSpPr>
        <xdr:cNvPr id="2" name="Text Box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6819900" y="0"/>
          <a:ext cx="4586817" cy="857250"/>
        </a:xfrm>
        <a:prstGeom prst="rect">
          <a:avLst/>
        </a:prstGeom>
        <a:noFill/>
        <a:ln w="9525" cap="rnd">
          <a:noFill/>
          <a:round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Rockwell" pitchFamily="18" charset="0"/>
              <a:cs typeface="Arial"/>
            </a:rPr>
            <a:t>Pasaje Zoologico # 1135, entre Av. Humbolt y Bartolome de las Casas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Rockwell" pitchFamily="18" charset="0"/>
              <a:cs typeface="Arial"/>
            </a:rPr>
            <a:t>Tel.-Fax: 4414198 - 75912605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Rockwell" pitchFamily="18" charset="0"/>
              <a:cs typeface="Arial"/>
            </a:rPr>
            <a:t>Email: rafael.antequera@gmail.com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Rockwell" pitchFamily="18" charset="0"/>
              <a:cs typeface="Arial"/>
            </a:rPr>
            <a:t>rantequera_anb@hotmail.com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Rockwell" pitchFamily="18" charset="0"/>
              <a:cs typeface="Arial"/>
            </a:rPr>
            <a:t>COCHABAMBA - BOLIVIA</a:t>
          </a:r>
        </a:p>
      </xdr:txBody>
    </xdr:sp>
    <xdr:clientData/>
  </xdr:twoCellAnchor>
  <xdr:twoCellAnchor editAs="oneCell">
    <xdr:from>
      <xdr:col>0</xdr:col>
      <xdr:colOff>76200</xdr:colOff>
      <xdr:row>0</xdr:row>
      <xdr:rowOff>76200</xdr:rowOff>
    </xdr:from>
    <xdr:to>
      <xdr:col>6</xdr:col>
      <xdr:colOff>177800</xdr:colOff>
      <xdr:row>3</xdr:row>
      <xdr:rowOff>177800</xdr:rowOff>
    </xdr:to>
    <xdr:pic>
      <xdr:nvPicPr>
        <xdr:cNvPr id="567522" name="2 Imagen">
          <a:extLst>
            <a:ext uri="{FF2B5EF4-FFF2-40B4-BE49-F238E27FC236}">
              <a16:creationId xmlns:a16="http://schemas.microsoft.com/office/drawing/2014/main" id="{00000000-0008-0000-0000-0000E2A8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76200"/>
          <a:ext cx="4038600" cy="74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500743</xdr:colOff>
      <xdr:row>0</xdr:row>
      <xdr:rowOff>54429</xdr:rowOff>
    </xdr:from>
    <xdr:to>
      <xdr:col>21</xdr:col>
      <xdr:colOff>544285</xdr:colOff>
      <xdr:row>4</xdr:row>
      <xdr:rowOff>141516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4D9D8B71-609E-EE02-EC14-5E8910D2C726}"/>
            </a:ext>
          </a:extLst>
        </xdr:cNvPr>
        <xdr:cNvSpPr txBox="1"/>
      </xdr:nvSpPr>
      <xdr:spPr>
        <a:xfrm>
          <a:off x="10929257" y="54429"/>
          <a:ext cx="8621485" cy="7946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BO" sz="1100" b="1">
              <a:latin typeface="Arial" panose="020B0604020202020204" pitchFamily="34" charset="0"/>
              <a:cs typeface="Arial" panose="020B0604020202020204" pitchFamily="34" charset="0"/>
            </a:rPr>
            <a:t>PRECIO DE VENTA CF = (( COSTO OPER</a:t>
          </a:r>
          <a:r>
            <a:rPr lang="es-BO" sz="1100" b="1" baseline="0">
              <a:latin typeface="Arial" panose="020B0604020202020204" pitchFamily="34" charset="0"/>
              <a:cs typeface="Arial" panose="020B0604020202020204" pitchFamily="34" charset="0"/>
            </a:rPr>
            <a:t> CF x 0,87 ) x 1,1) / 0,84</a:t>
          </a:r>
        </a:p>
        <a:p>
          <a:r>
            <a:rPr lang="es-BO" sz="1100" b="1" baseline="0">
              <a:latin typeface="Arial" panose="020B0604020202020204" pitchFamily="34" charset="0"/>
              <a:cs typeface="Arial" panose="020B0604020202020204" pitchFamily="34" charset="0"/>
            </a:rPr>
            <a:t>                                              	0,87 es descontando el 13% del IVA de compra.</a:t>
          </a:r>
        </a:p>
        <a:p>
          <a:r>
            <a:rPr lang="es-BO" sz="1100" b="1" baseline="0">
              <a:latin typeface="Arial" panose="020B0604020202020204" pitchFamily="34" charset="0"/>
              <a:cs typeface="Arial" panose="020B0604020202020204" pitchFamily="34" charset="0"/>
            </a:rPr>
            <a:t>		1,1 es el calculo del 10% de utilidad mas, al precio obtenido.</a:t>
          </a:r>
        </a:p>
        <a:p>
          <a:r>
            <a:rPr lang="es-BO" sz="1100" b="1" baseline="0">
              <a:latin typeface="Arial" panose="020B0604020202020204" pitchFamily="34" charset="0"/>
              <a:cs typeface="Arial" panose="020B0604020202020204" pitchFamily="34" charset="0"/>
            </a:rPr>
            <a:t>		0,84 es el aumento del precio por la recuperacion del IVA 13% y el IT 3%  de la factura a emitir.                             </a:t>
          </a:r>
          <a:endParaRPr lang="es-BO" sz="11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42" name="Group 1">
          <a:extLst>
            <a:ext uri="{FF2B5EF4-FFF2-40B4-BE49-F238E27FC236}">
              <a16:creationId xmlns:a16="http://schemas.microsoft.com/office/drawing/2014/main" id="{00000000-0008-0000-0200-00000E691200}"/>
            </a:ext>
          </a:extLst>
        </xdr:cNvPr>
        <xdr:cNvGrpSpPr>
          <a:grpSpLocks/>
        </xdr:cNvGrpSpPr>
      </xdr:nvGrpSpPr>
      <xdr:grpSpPr bwMode="auto">
        <a:xfrm>
          <a:off x="7581900" y="1308100"/>
          <a:ext cx="0" cy="673100"/>
          <a:chOff x="632" y="220"/>
          <a:chExt cx="195" cy="136"/>
        </a:xfrm>
      </xdr:grpSpPr>
      <xdr:sp macro="" textlink="">
        <xdr:nvSpPr>
          <xdr:cNvPr id="1212015" name="Rectangle 2">
            <a:extLst>
              <a:ext uri="{FF2B5EF4-FFF2-40B4-BE49-F238E27FC236}">
                <a16:creationId xmlns:a16="http://schemas.microsoft.com/office/drawing/2014/main" id="{00000000-0008-0000-0200-00006F7E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16" name="Rectangle 3">
            <a:extLst>
              <a:ext uri="{FF2B5EF4-FFF2-40B4-BE49-F238E27FC236}">
                <a16:creationId xmlns:a16="http://schemas.microsoft.com/office/drawing/2014/main" id="{00000000-0008-0000-0200-0000707E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17" name="Rectangle 4">
            <a:extLst>
              <a:ext uri="{FF2B5EF4-FFF2-40B4-BE49-F238E27FC236}">
                <a16:creationId xmlns:a16="http://schemas.microsoft.com/office/drawing/2014/main" id="{00000000-0008-0000-0200-0000717E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18" name="Rectangle 5">
            <a:extLst>
              <a:ext uri="{FF2B5EF4-FFF2-40B4-BE49-F238E27FC236}">
                <a16:creationId xmlns:a16="http://schemas.microsoft.com/office/drawing/2014/main" id="{00000000-0008-0000-0200-0000727E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19" name="Line 6">
            <a:extLst>
              <a:ext uri="{FF2B5EF4-FFF2-40B4-BE49-F238E27FC236}">
                <a16:creationId xmlns:a16="http://schemas.microsoft.com/office/drawing/2014/main" id="{00000000-0008-0000-0200-0000737E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20" name="Line 7">
            <a:extLst>
              <a:ext uri="{FF2B5EF4-FFF2-40B4-BE49-F238E27FC236}">
                <a16:creationId xmlns:a16="http://schemas.microsoft.com/office/drawing/2014/main" id="{00000000-0008-0000-0200-0000747E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21" name="Line 8">
            <a:extLst>
              <a:ext uri="{FF2B5EF4-FFF2-40B4-BE49-F238E27FC236}">
                <a16:creationId xmlns:a16="http://schemas.microsoft.com/office/drawing/2014/main" id="{00000000-0008-0000-0200-0000757E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43" name="Group 9">
          <a:extLst>
            <a:ext uri="{FF2B5EF4-FFF2-40B4-BE49-F238E27FC236}">
              <a16:creationId xmlns:a16="http://schemas.microsoft.com/office/drawing/2014/main" id="{00000000-0008-0000-0200-00000F691200}"/>
            </a:ext>
          </a:extLst>
        </xdr:cNvPr>
        <xdr:cNvGrpSpPr>
          <a:grpSpLocks/>
        </xdr:cNvGrpSpPr>
      </xdr:nvGrpSpPr>
      <xdr:grpSpPr bwMode="auto">
        <a:xfrm>
          <a:off x="7581900" y="1308100"/>
          <a:ext cx="0" cy="673100"/>
          <a:chOff x="632" y="220"/>
          <a:chExt cx="195" cy="136"/>
        </a:xfrm>
      </xdr:grpSpPr>
      <xdr:sp macro="" textlink="">
        <xdr:nvSpPr>
          <xdr:cNvPr id="1212008" name="Rectangle 10">
            <a:extLst>
              <a:ext uri="{FF2B5EF4-FFF2-40B4-BE49-F238E27FC236}">
                <a16:creationId xmlns:a16="http://schemas.microsoft.com/office/drawing/2014/main" id="{00000000-0008-0000-0200-0000687E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09" name="Rectangle 11">
            <a:extLst>
              <a:ext uri="{FF2B5EF4-FFF2-40B4-BE49-F238E27FC236}">
                <a16:creationId xmlns:a16="http://schemas.microsoft.com/office/drawing/2014/main" id="{00000000-0008-0000-0200-0000697E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10" name="Rectangle 12">
            <a:extLst>
              <a:ext uri="{FF2B5EF4-FFF2-40B4-BE49-F238E27FC236}">
                <a16:creationId xmlns:a16="http://schemas.microsoft.com/office/drawing/2014/main" id="{00000000-0008-0000-0200-00006A7E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11" name="Rectangle 13">
            <a:extLst>
              <a:ext uri="{FF2B5EF4-FFF2-40B4-BE49-F238E27FC236}">
                <a16:creationId xmlns:a16="http://schemas.microsoft.com/office/drawing/2014/main" id="{00000000-0008-0000-0200-00006B7E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12" name="Line 14">
            <a:extLst>
              <a:ext uri="{FF2B5EF4-FFF2-40B4-BE49-F238E27FC236}">
                <a16:creationId xmlns:a16="http://schemas.microsoft.com/office/drawing/2014/main" id="{00000000-0008-0000-0200-00006C7E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13" name="Line 15">
            <a:extLst>
              <a:ext uri="{FF2B5EF4-FFF2-40B4-BE49-F238E27FC236}">
                <a16:creationId xmlns:a16="http://schemas.microsoft.com/office/drawing/2014/main" id="{00000000-0008-0000-0200-00006D7E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14" name="Line 16">
            <a:extLst>
              <a:ext uri="{FF2B5EF4-FFF2-40B4-BE49-F238E27FC236}">
                <a16:creationId xmlns:a16="http://schemas.microsoft.com/office/drawing/2014/main" id="{00000000-0008-0000-0200-00006E7E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190500</xdr:rowOff>
    </xdr:from>
    <xdr:to>
      <xdr:col>7</xdr:col>
      <xdr:colOff>0</xdr:colOff>
      <xdr:row>3</xdr:row>
      <xdr:rowOff>0</xdr:rowOff>
    </xdr:to>
    <xdr:grpSp>
      <xdr:nvGrpSpPr>
        <xdr:cNvPr id="1206544" name="Group 17">
          <a:extLst>
            <a:ext uri="{FF2B5EF4-FFF2-40B4-BE49-F238E27FC236}">
              <a16:creationId xmlns:a16="http://schemas.microsoft.com/office/drawing/2014/main" id="{00000000-0008-0000-0200-000010691200}"/>
            </a:ext>
          </a:extLst>
        </xdr:cNvPr>
        <xdr:cNvGrpSpPr>
          <a:grpSpLocks/>
        </xdr:cNvGrpSpPr>
      </xdr:nvGrpSpPr>
      <xdr:grpSpPr bwMode="auto">
        <a:xfrm>
          <a:off x="7581900" y="1320800"/>
          <a:ext cx="0" cy="660400"/>
          <a:chOff x="570" y="224"/>
          <a:chExt cx="377" cy="136"/>
        </a:xfrm>
      </xdr:grpSpPr>
      <xdr:sp macro="" textlink="">
        <xdr:nvSpPr>
          <xdr:cNvPr id="1211995" name="Rectangle 18">
            <a:extLst>
              <a:ext uri="{FF2B5EF4-FFF2-40B4-BE49-F238E27FC236}">
                <a16:creationId xmlns:a16="http://schemas.microsoft.com/office/drawing/2014/main" id="{00000000-0008-0000-0200-00005B7E1200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96" name="Rectangle 19">
            <a:extLst>
              <a:ext uri="{FF2B5EF4-FFF2-40B4-BE49-F238E27FC236}">
                <a16:creationId xmlns:a16="http://schemas.microsoft.com/office/drawing/2014/main" id="{00000000-0008-0000-0200-00005C7E1200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97" name="Rectangle 20">
            <a:extLst>
              <a:ext uri="{FF2B5EF4-FFF2-40B4-BE49-F238E27FC236}">
                <a16:creationId xmlns:a16="http://schemas.microsoft.com/office/drawing/2014/main" id="{00000000-0008-0000-0200-00005D7E1200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98" name="Rectangle 21">
            <a:extLst>
              <a:ext uri="{FF2B5EF4-FFF2-40B4-BE49-F238E27FC236}">
                <a16:creationId xmlns:a16="http://schemas.microsoft.com/office/drawing/2014/main" id="{00000000-0008-0000-0200-00005E7E1200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99" name="Line 22">
            <a:extLst>
              <a:ext uri="{FF2B5EF4-FFF2-40B4-BE49-F238E27FC236}">
                <a16:creationId xmlns:a16="http://schemas.microsoft.com/office/drawing/2014/main" id="{00000000-0008-0000-0200-00005F7E1200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00" name="Line 23">
            <a:extLst>
              <a:ext uri="{FF2B5EF4-FFF2-40B4-BE49-F238E27FC236}">
                <a16:creationId xmlns:a16="http://schemas.microsoft.com/office/drawing/2014/main" id="{00000000-0008-0000-0200-0000607E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01" name="Line 24">
            <a:extLst>
              <a:ext uri="{FF2B5EF4-FFF2-40B4-BE49-F238E27FC236}">
                <a16:creationId xmlns:a16="http://schemas.microsoft.com/office/drawing/2014/main" id="{00000000-0008-0000-0200-0000617E1200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02" name="Rectangle 25">
            <a:extLst>
              <a:ext uri="{FF2B5EF4-FFF2-40B4-BE49-F238E27FC236}">
                <a16:creationId xmlns:a16="http://schemas.microsoft.com/office/drawing/2014/main" id="{00000000-0008-0000-0200-0000627E1200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03" name="Line 26">
            <a:extLst>
              <a:ext uri="{FF2B5EF4-FFF2-40B4-BE49-F238E27FC236}">
                <a16:creationId xmlns:a16="http://schemas.microsoft.com/office/drawing/2014/main" id="{00000000-0008-0000-0200-0000637E1200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04" name="Rectangle 27">
            <a:extLst>
              <a:ext uri="{FF2B5EF4-FFF2-40B4-BE49-F238E27FC236}">
                <a16:creationId xmlns:a16="http://schemas.microsoft.com/office/drawing/2014/main" id="{00000000-0008-0000-0200-0000647E1200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05" name="Line 28">
            <a:extLst>
              <a:ext uri="{FF2B5EF4-FFF2-40B4-BE49-F238E27FC236}">
                <a16:creationId xmlns:a16="http://schemas.microsoft.com/office/drawing/2014/main" id="{00000000-0008-0000-0200-0000657E1200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06" name="Line 29">
            <a:extLst>
              <a:ext uri="{FF2B5EF4-FFF2-40B4-BE49-F238E27FC236}">
                <a16:creationId xmlns:a16="http://schemas.microsoft.com/office/drawing/2014/main" id="{00000000-0008-0000-0200-0000667E12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07" name="Line 30">
            <a:extLst>
              <a:ext uri="{FF2B5EF4-FFF2-40B4-BE49-F238E27FC236}">
                <a16:creationId xmlns:a16="http://schemas.microsoft.com/office/drawing/2014/main" id="{00000000-0008-0000-0200-0000677E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190500</xdr:rowOff>
    </xdr:from>
    <xdr:to>
      <xdr:col>7</xdr:col>
      <xdr:colOff>0</xdr:colOff>
      <xdr:row>3</xdr:row>
      <xdr:rowOff>0</xdr:rowOff>
    </xdr:to>
    <xdr:grpSp>
      <xdr:nvGrpSpPr>
        <xdr:cNvPr id="1206545" name="Group 31">
          <a:extLst>
            <a:ext uri="{FF2B5EF4-FFF2-40B4-BE49-F238E27FC236}">
              <a16:creationId xmlns:a16="http://schemas.microsoft.com/office/drawing/2014/main" id="{00000000-0008-0000-0200-000011691200}"/>
            </a:ext>
          </a:extLst>
        </xdr:cNvPr>
        <xdr:cNvGrpSpPr>
          <a:grpSpLocks/>
        </xdr:cNvGrpSpPr>
      </xdr:nvGrpSpPr>
      <xdr:grpSpPr bwMode="auto">
        <a:xfrm>
          <a:off x="7581900" y="1320800"/>
          <a:ext cx="0" cy="660400"/>
          <a:chOff x="570" y="224"/>
          <a:chExt cx="377" cy="136"/>
        </a:xfrm>
      </xdr:grpSpPr>
      <xdr:sp macro="" textlink="">
        <xdr:nvSpPr>
          <xdr:cNvPr id="1211982" name="Rectangle 32">
            <a:extLst>
              <a:ext uri="{FF2B5EF4-FFF2-40B4-BE49-F238E27FC236}">
                <a16:creationId xmlns:a16="http://schemas.microsoft.com/office/drawing/2014/main" id="{00000000-0008-0000-0200-00004E7E1200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83" name="Rectangle 33">
            <a:extLst>
              <a:ext uri="{FF2B5EF4-FFF2-40B4-BE49-F238E27FC236}">
                <a16:creationId xmlns:a16="http://schemas.microsoft.com/office/drawing/2014/main" id="{00000000-0008-0000-0200-00004F7E1200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84" name="Rectangle 34">
            <a:extLst>
              <a:ext uri="{FF2B5EF4-FFF2-40B4-BE49-F238E27FC236}">
                <a16:creationId xmlns:a16="http://schemas.microsoft.com/office/drawing/2014/main" id="{00000000-0008-0000-0200-0000507E1200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85" name="Rectangle 35">
            <a:extLst>
              <a:ext uri="{FF2B5EF4-FFF2-40B4-BE49-F238E27FC236}">
                <a16:creationId xmlns:a16="http://schemas.microsoft.com/office/drawing/2014/main" id="{00000000-0008-0000-0200-0000517E1200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86" name="Line 36">
            <a:extLst>
              <a:ext uri="{FF2B5EF4-FFF2-40B4-BE49-F238E27FC236}">
                <a16:creationId xmlns:a16="http://schemas.microsoft.com/office/drawing/2014/main" id="{00000000-0008-0000-0200-0000527E1200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87" name="Line 37">
            <a:extLst>
              <a:ext uri="{FF2B5EF4-FFF2-40B4-BE49-F238E27FC236}">
                <a16:creationId xmlns:a16="http://schemas.microsoft.com/office/drawing/2014/main" id="{00000000-0008-0000-0200-0000537E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88" name="Line 38">
            <a:extLst>
              <a:ext uri="{FF2B5EF4-FFF2-40B4-BE49-F238E27FC236}">
                <a16:creationId xmlns:a16="http://schemas.microsoft.com/office/drawing/2014/main" id="{00000000-0008-0000-0200-0000547E1200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89" name="Rectangle 39">
            <a:extLst>
              <a:ext uri="{FF2B5EF4-FFF2-40B4-BE49-F238E27FC236}">
                <a16:creationId xmlns:a16="http://schemas.microsoft.com/office/drawing/2014/main" id="{00000000-0008-0000-0200-0000557E1200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90" name="Line 40">
            <a:extLst>
              <a:ext uri="{FF2B5EF4-FFF2-40B4-BE49-F238E27FC236}">
                <a16:creationId xmlns:a16="http://schemas.microsoft.com/office/drawing/2014/main" id="{00000000-0008-0000-0200-0000567E1200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91" name="Rectangle 41">
            <a:extLst>
              <a:ext uri="{FF2B5EF4-FFF2-40B4-BE49-F238E27FC236}">
                <a16:creationId xmlns:a16="http://schemas.microsoft.com/office/drawing/2014/main" id="{00000000-0008-0000-0200-0000577E1200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92" name="Line 42">
            <a:extLst>
              <a:ext uri="{FF2B5EF4-FFF2-40B4-BE49-F238E27FC236}">
                <a16:creationId xmlns:a16="http://schemas.microsoft.com/office/drawing/2014/main" id="{00000000-0008-0000-0200-0000587E1200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93" name="Line 43">
            <a:extLst>
              <a:ext uri="{FF2B5EF4-FFF2-40B4-BE49-F238E27FC236}">
                <a16:creationId xmlns:a16="http://schemas.microsoft.com/office/drawing/2014/main" id="{00000000-0008-0000-0200-0000597E12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94" name="Line 44">
            <a:extLst>
              <a:ext uri="{FF2B5EF4-FFF2-40B4-BE49-F238E27FC236}">
                <a16:creationId xmlns:a16="http://schemas.microsoft.com/office/drawing/2014/main" id="{00000000-0008-0000-0200-00005A7E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190500</xdr:rowOff>
    </xdr:from>
    <xdr:to>
      <xdr:col>7</xdr:col>
      <xdr:colOff>0</xdr:colOff>
      <xdr:row>3</xdr:row>
      <xdr:rowOff>0</xdr:rowOff>
    </xdr:to>
    <xdr:grpSp>
      <xdr:nvGrpSpPr>
        <xdr:cNvPr id="1206546" name="Group 45">
          <a:extLst>
            <a:ext uri="{FF2B5EF4-FFF2-40B4-BE49-F238E27FC236}">
              <a16:creationId xmlns:a16="http://schemas.microsoft.com/office/drawing/2014/main" id="{00000000-0008-0000-0200-000012691200}"/>
            </a:ext>
          </a:extLst>
        </xdr:cNvPr>
        <xdr:cNvGrpSpPr>
          <a:grpSpLocks/>
        </xdr:cNvGrpSpPr>
      </xdr:nvGrpSpPr>
      <xdr:grpSpPr bwMode="auto">
        <a:xfrm>
          <a:off x="7581900" y="1320800"/>
          <a:ext cx="0" cy="660400"/>
          <a:chOff x="570" y="224"/>
          <a:chExt cx="377" cy="136"/>
        </a:xfrm>
      </xdr:grpSpPr>
      <xdr:sp macro="" textlink="">
        <xdr:nvSpPr>
          <xdr:cNvPr id="1211969" name="Rectangle 46">
            <a:extLst>
              <a:ext uri="{FF2B5EF4-FFF2-40B4-BE49-F238E27FC236}">
                <a16:creationId xmlns:a16="http://schemas.microsoft.com/office/drawing/2014/main" id="{00000000-0008-0000-0200-0000417E1200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70" name="Rectangle 47">
            <a:extLst>
              <a:ext uri="{FF2B5EF4-FFF2-40B4-BE49-F238E27FC236}">
                <a16:creationId xmlns:a16="http://schemas.microsoft.com/office/drawing/2014/main" id="{00000000-0008-0000-0200-0000427E1200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71" name="Rectangle 48">
            <a:extLst>
              <a:ext uri="{FF2B5EF4-FFF2-40B4-BE49-F238E27FC236}">
                <a16:creationId xmlns:a16="http://schemas.microsoft.com/office/drawing/2014/main" id="{00000000-0008-0000-0200-0000437E1200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72" name="Rectangle 49">
            <a:extLst>
              <a:ext uri="{FF2B5EF4-FFF2-40B4-BE49-F238E27FC236}">
                <a16:creationId xmlns:a16="http://schemas.microsoft.com/office/drawing/2014/main" id="{00000000-0008-0000-0200-0000447E1200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73" name="Line 50">
            <a:extLst>
              <a:ext uri="{FF2B5EF4-FFF2-40B4-BE49-F238E27FC236}">
                <a16:creationId xmlns:a16="http://schemas.microsoft.com/office/drawing/2014/main" id="{00000000-0008-0000-0200-0000457E1200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74" name="Line 51">
            <a:extLst>
              <a:ext uri="{FF2B5EF4-FFF2-40B4-BE49-F238E27FC236}">
                <a16:creationId xmlns:a16="http://schemas.microsoft.com/office/drawing/2014/main" id="{00000000-0008-0000-0200-0000467E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75" name="Line 52">
            <a:extLst>
              <a:ext uri="{FF2B5EF4-FFF2-40B4-BE49-F238E27FC236}">
                <a16:creationId xmlns:a16="http://schemas.microsoft.com/office/drawing/2014/main" id="{00000000-0008-0000-0200-0000477E1200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76" name="Rectangle 53">
            <a:extLst>
              <a:ext uri="{FF2B5EF4-FFF2-40B4-BE49-F238E27FC236}">
                <a16:creationId xmlns:a16="http://schemas.microsoft.com/office/drawing/2014/main" id="{00000000-0008-0000-0200-0000487E1200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77" name="Line 54">
            <a:extLst>
              <a:ext uri="{FF2B5EF4-FFF2-40B4-BE49-F238E27FC236}">
                <a16:creationId xmlns:a16="http://schemas.microsoft.com/office/drawing/2014/main" id="{00000000-0008-0000-0200-0000497E1200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78" name="Rectangle 55">
            <a:extLst>
              <a:ext uri="{FF2B5EF4-FFF2-40B4-BE49-F238E27FC236}">
                <a16:creationId xmlns:a16="http://schemas.microsoft.com/office/drawing/2014/main" id="{00000000-0008-0000-0200-00004A7E1200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79" name="Line 56">
            <a:extLst>
              <a:ext uri="{FF2B5EF4-FFF2-40B4-BE49-F238E27FC236}">
                <a16:creationId xmlns:a16="http://schemas.microsoft.com/office/drawing/2014/main" id="{00000000-0008-0000-0200-00004B7E1200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80" name="Line 57">
            <a:extLst>
              <a:ext uri="{FF2B5EF4-FFF2-40B4-BE49-F238E27FC236}">
                <a16:creationId xmlns:a16="http://schemas.microsoft.com/office/drawing/2014/main" id="{00000000-0008-0000-0200-00004C7E12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81" name="Line 58">
            <a:extLst>
              <a:ext uri="{FF2B5EF4-FFF2-40B4-BE49-F238E27FC236}">
                <a16:creationId xmlns:a16="http://schemas.microsoft.com/office/drawing/2014/main" id="{00000000-0008-0000-0200-00004D7E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190500</xdr:rowOff>
    </xdr:from>
    <xdr:to>
      <xdr:col>7</xdr:col>
      <xdr:colOff>0</xdr:colOff>
      <xdr:row>3</xdr:row>
      <xdr:rowOff>0</xdr:rowOff>
    </xdr:to>
    <xdr:grpSp>
      <xdr:nvGrpSpPr>
        <xdr:cNvPr id="1206547" name="Group 59">
          <a:extLst>
            <a:ext uri="{FF2B5EF4-FFF2-40B4-BE49-F238E27FC236}">
              <a16:creationId xmlns:a16="http://schemas.microsoft.com/office/drawing/2014/main" id="{00000000-0008-0000-0200-000013691200}"/>
            </a:ext>
          </a:extLst>
        </xdr:cNvPr>
        <xdr:cNvGrpSpPr>
          <a:grpSpLocks/>
        </xdr:cNvGrpSpPr>
      </xdr:nvGrpSpPr>
      <xdr:grpSpPr bwMode="auto">
        <a:xfrm>
          <a:off x="7581900" y="1320800"/>
          <a:ext cx="0" cy="660400"/>
          <a:chOff x="570" y="224"/>
          <a:chExt cx="377" cy="136"/>
        </a:xfrm>
      </xdr:grpSpPr>
      <xdr:sp macro="" textlink="">
        <xdr:nvSpPr>
          <xdr:cNvPr id="1211956" name="Rectangle 60">
            <a:extLst>
              <a:ext uri="{FF2B5EF4-FFF2-40B4-BE49-F238E27FC236}">
                <a16:creationId xmlns:a16="http://schemas.microsoft.com/office/drawing/2014/main" id="{00000000-0008-0000-0200-0000347E1200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57" name="Rectangle 61">
            <a:extLst>
              <a:ext uri="{FF2B5EF4-FFF2-40B4-BE49-F238E27FC236}">
                <a16:creationId xmlns:a16="http://schemas.microsoft.com/office/drawing/2014/main" id="{00000000-0008-0000-0200-0000357E1200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58" name="Rectangle 62">
            <a:extLst>
              <a:ext uri="{FF2B5EF4-FFF2-40B4-BE49-F238E27FC236}">
                <a16:creationId xmlns:a16="http://schemas.microsoft.com/office/drawing/2014/main" id="{00000000-0008-0000-0200-0000367E1200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59" name="Rectangle 63">
            <a:extLst>
              <a:ext uri="{FF2B5EF4-FFF2-40B4-BE49-F238E27FC236}">
                <a16:creationId xmlns:a16="http://schemas.microsoft.com/office/drawing/2014/main" id="{00000000-0008-0000-0200-0000377E1200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60" name="Line 64">
            <a:extLst>
              <a:ext uri="{FF2B5EF4-FFF2-40B4-BE49-F238E27FC236}">
                <a16:creationId xmlns:a16="http://schemas.microsoft.com/office/drawing/2014/main" id="{00000000-0008-0000-0200-0000387E1200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61" name="Line 65">
            <a:extLst>
              <a:ext uri="{FF2B5EF4-FFF2-40B4-BE49-F238E27FC236}">
                <a16:creationId xmlns:a16="http://schemas.microsoft.com/office/drawing/2014/main" id="{00000000-0008-0000-0200-0000397E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62" name="Line 66">
            <a:extLst>
              <a:ext uri="{FF2B5EF4-FFF2-40B4-BE49-F238E27FC236}">
                <a16:creationId xmlns:a16="http://schemas.microsoft.com/office/drawing/2014/main" id="{00000000-0008-0000-0200-00003A7E1200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63" name="Rectangle 67">
            <a:extLst>
              <a:ext uri="{FF2B5EF4-FFF2-40B4-BE49-F238E27FC236}">
                <a16:creationId xmlns:a16="http://schemas.microsoft.com/office/drawing/2014/main" id="{00000000-0008-0000-0200-00003B7E1200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64" name="Line 68">
            <a:extLst>
              <a:ext uri="{FF2B5EF4-FFF2-40B4-BE49-F238E27FC236}">
                <a16:creationId xmlns:a16="http://schemas.microsoft.com/office/drawing/2014/main" id="{00000000-0008-0000-0200-00003C7E1200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65" name="Rectangle 69">
            <a:extLst>
              <a:ext uri="{FF2B5EF4-FFF2-40B4-BE49-F238E27FC236}">
                <a16:creationId xmlns:a16="http://schemas.microsoft.com/office/drawing/2014/main" id="{00000000-0008-0000-0200-00003D7E1200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66" name="Line 70">
            <a:extLst>
              <a:ext uri="{FF2B5EF4-FFF2-40B4-BE49-F238E27FC236}">
                <a16:creationId xmlns:a16="http://schemas.microsoft.com/office/drawing/2014/main" id="{00000000-0008-0000-0200-00003E7E1200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67" name="Line 71">
            <a:extLst>
              <a:ext uri="{FF2B5EF4-FFF2-40B4-BE49-F238E27FC236}">
                <a16:creationId xmlns:a16="http://schemas.microsoft.com/office/drawing/2014/main" id="{00000000-0008-0000-0200-00003F7E12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68" name="Line 72">
            <a:extLst>
              <a:ext uri="{FF2B5EF4-FFF2-40B4-BE49-F238E27FC236}">
                <a16:creationId xmlns:a16="http://schemas.microsoft.com/office/drawing/2014/main" id="{00000000-0008-0000-0200-0000407E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48" name="Group 73">
          <a:extLst>
            <a:ext uri="{FF2B5EF4-FFF2-40B4-BE49-F238E27FC236}">
              <a16:creationId xmlns:a16="http://schemas.microsoft.com/office/drawing/2014/main" id="{00000000-0008-0000-0200-000014691200}"/>
            </a:ext>
          </a:extLst>
        </xdr:cNvPr>
        <xdr:cNvGrpSpPr>
          <a:grpSpLocks/>
        </xdr:cNvGrpSpPr>
      </xdr:nvGrpSpPr>
      <xdr:grpSpPr bwMode="auto">
        <a:xfrm>
          <a:off x="7581900" y="1308100"/>
          <a:ext cx="0" cy="673100"/>
          <a:chOff x="632" y="220"/>
          <a:chExt cx="195" cy="136"/>
        </a:xfrm>
      </xdr:grpSpPr>
      <xdr:sp macro="" textlink="">
        <xdr:nvSpPr>
          <xdr:cNvPr id="1211949" name="Rectangle 74">
            <a:extLst>
              <a:ext uri="{FF2B5EF4-FFF2-40B4-BE49-F238E27FC236}">
                <a16:creationId xmlns:a16="http://schemas.microsoft.com/office/drawing/2014/main" id="{00000000-0008-0000-0200-00002D7E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50" name="Rectangle 75">
            <a:extLst>
              <a:ext uri="{FF2B5EF4-FFF2-40B4-BE49-F238E27FC236}">
                <a16:creationId xmlns:a16="http://schemas.microsoft.com/office/drawing/2014/main" id="{00000000-0008-0000-0200-00002E7E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51" name="Rectangle 76">
            <a:extLst>
              <a:ext uri="{FF2B5EF4-FFF2-40B4-BE49-F238E27FC236}">
                <a16:creationId xmlns:a16="http://schemas.microsoft.com/office/drawing/2014/main" id="{00000000-0008-0000-0200-00002F7E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52" name="Rectangle 77">
            <a:extLst>
              <a:ext uri="{FF2B5EF4-FFF2-40B4-BE49-F238E27FC236}">
                <a16:creationId xmlns:a16="http://schemas.microsoft.com/office/drawing/2014/main" id="{00000000-0008-0000-0200-0000307E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53" name="Line 78">
            <a:extLst>
              <a:ext uri="{FF2B5EF4-FFF2-40B4-BE49-F238E27FC236}">
                <a16:creationId xmlns:a16="http://schemas.microsoft.com/office/drawing/2014/main" id="{00000000-0008-0000-0200-0000317E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54" name="Line 79">
            <a:extLst>
              <a:ext uri="{FF2B5EF4-FFF2-40B4-BE49-F238E27FC236}">
                <a16:creationId xmlns:a16="http://schemas.microsoft.com/office/drawing/2014/main" id="{00000000-0008-0000-0200-0000327E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55" name="Line 80">
            <a:extLst>
              <a:ext uri="{FF2B5EF4-FFF2-40B4-BE49-F238E27FC236}">
                <a16:creationId xmlns:a16="http://schemas.microsoft.com/office/drawing/2014/main" id="{00000000-0008-0000-0200-0000337E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49" name="Group 81">
          <a:extLst>
            <a:ext uri="{FF2B5EF4-FFF2-40B4-BE49-F238E27FC236}">
              <a16:creationId xmlns:a16="http://schemas.microsoft.com/office/drawing/2014/main" id="{00000000-0008-0000-0200-000015691200}"/>
            </a:ext>
          </a:extLst>
        </xdr:cNvPr>
        <xdr:cNvGrpSpPr>
          <a:grpSpLocks/>
        </xdr:cNvGrpSpPr>
      </xdr:nvGrpSpPr>
      <xdr:grpSpPr bwMode="auto">
        <a:xfrm>
          <a:off x="7581900" y="1308100"/>
          <a:ext cx="0" cy="673100"/>
          <a:chOff x="632" y="220"/>
          <a:chExt cx="195" cy="136"/>
        </a:xfrm>
      </xdr:grpSpPr>
      <xdr:sp macro="" textlink="">
        <xdr:nvSpPr>
          <xdr:cNvPr id="1211942" name="Rectangle 82">
            <a:extLst>
              <a:ext uri="{FF2B5EF4-FFF2-40B4-BE49-F238E27FC236}">
                <a16:creationId xmlns:a16="http://schemas.microsoft.com/office/drawing/2014/main" id="{00000000-0008-0000-0200-0000267E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43" name="Rectangle 83">
            <a:extLst>
              <a:ext uri="{FF2B5EF4-FFF2-40B4-BE49-F238E27FC236}">
                <a16:creationId xmlns:a16="http://schemas.microsoft.com/office/drawing/2014/main" id="{00000000-0008-0000-0200-0000277E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44" name="Rectangle 84">
            <a:extLst>
              <a:ext uri="{FF2B5EF4-FFF2-40B4-BE49-F238E27FC236}">
                <a16:creationId xmlns:a16="http://schemas.microsoft.com/office/drawing/2014/main" id="{00000000-0008-0000-0200-0000287E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45" name="Rectangle 85">
            <a:extLst>
              <a:ext uri="{FF2B5EF4-FFF2-40B4-BE49-F238E27FC236}">
                <a16:creationId xmlns:a16="http://schemas.microsoft.com/office/drawing/2014/main" id="{00000000-0008-0000-0200-0000297E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46" name="Line 86">
            <a:extLst>
              <a:ext uri="{FF2B5EF4-FFF2-40B4-BE49-F238E27FC236}">
                <a16:creationId xmlns:a16="http://schemas.microsoft.com/office/drawing/2014/main" id="{00000000-0008-0000-0200-00002A7E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47" name="Line 87">
            <a:extLst>
              <a:ext uri="{FF2B5EF4-FFF2-40B4-BE49-F238E27FC236}">
                <a16:creationId xmlns:a16="http://schemas.microsoft.com/office/drawing/2014/main" id="{00000000-0008-0000-0200-00002B7E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48" name="Line 88">
            <a:extLst>
              <a:ext uri="{FF2B5EF4-FFF2-40B4-BE49-F238E27FC236}">
                <a16:creationId xmlns:a16="http://schemas.microsoft.com/office/drawing/2014/main" id="{00000000-0008-0000-0200-00002C7E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50" name="Group 89">
          <a:extLst>
            <a:ext uri="{FF2B5EF4-FFF2-40B4-BE49-F238E27FC236}">
              <a16:creationId xmlns:a16="http://schemas.microsoft.com/office/drawing/2014/main" id="{00000000-0008-0000-0200-000016691200}"/>
            </a:ext>
          </a:extLst>
        </xdr:cNvPr>
        <xdr:cNvGrpSpPr>
          <a:grpSpLocks/>
        </xdr:cNvGrpSpPr>
      </xdr:nvGrpSpPr>
      <xdr:grpSpPr bwMode="auto">
        <a:xfrm>
          <a:off x="7581900" y="1308100"/>
          <a:ext cx="0" cy="673100"/>
          <a:chOff x="632" y="220"/>
          <a:chExt cx="195" cy="136"/>
        </a:xfrm>
      </xdr:grpSpPr>
      <xdr:sp macro="" textlink="">
        <xdr:nvSpPr>
          <xdr:cNvPr id="1211935" name="Rectangle 90">
            <a:extLst>
              <a:ext uri="{FF2B5EF4-FFF2-40B4-BE49-F238E27FC236}">
                <a16:creationId xmlns:a16="http://schemas.microsoft.com/office/drawing/2014/main" id="{00000000-0008-0000-0200-00001F7E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36" name="Rectangle 91">
            <a:extLst>
              <a:ext uri="{FF2B5EF4-FFF2-40B4-BE49-F238E27FC236}">
                <a16:creationId xmlns:a16="http://schemas.microsoft.com/office/drawing/2014/main" id="{00000000-0008-0000-0200-0000207E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37" name="Rectangle 92">
            <a:extLst>
              <a:ext uri="{FF2B5EF4-FFF2-40B4-BE49-F238E27FC236}">
                <a16:creationId xmlns:a16="http://schemas.microsoft.com/office/drawing/2014/main" id="{00000000-0008-0000-0200-0000217E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38" name="Rectangle 93">
            <a:extLst>
              <a:ext uri="{FF2B5EF4-FFF2-40B4-BE49-F238E27FC236}">
                <a16:creationId xmlns:a16="http://schemas.microsoft.com/office/drawing/2014/main" id="{00000000-0008-0000-0200-0000227E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39" name="Line 94">
            <a:extLst>
              <a:ext uri="{FF2B5EF4-FFF2-40B4-BE49-F238E27FC236}">
                <a16:creationId xmlns:a16="http://schemas.microsoft.com/office/drawing/2014/main" id="{00000000-0008-0000-0200-0000237E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40" name="Line 95">
            <a:extLst>
              <a:ext uri="{FF2B5EF4-FFF2-40B4-BE49-F238E27FC236}">
                <a16:creationId xmlns:a16="http://schemas.microsoft.com/office/drawing/2014/main" id="{00000000-0008-0000-0200-0000247E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41" name="Line 96">
            <a:extLst>
              <a:ext uri="{FF2B5EF4-FFF2-40B4-BE49-F238E27FC236}">
                <a16:creationId xmlns:a16="http://schemas.microsoft.com/office/drawing/2014/main" id="{00000000-0008-0000-0200-0000257E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51" name="Group 97">
          <a:extLst>
            <a:ext uri="{FF2B5EF4-FFF2-40B4-BE49-F238E27FC236}">
              <a16:creationId xmlns:a16="http://schemas.microsoft.com/office/drawing/2014/main" id="{00000000-0008-0000-0200-000017691200}"/>
            </a:ext>
          </a:extLst>
        </xdr:cNvPr>
        <xdr:cNvGrpSpPr>
          <a:grpSpLocks/>
        </xdr:cNvGrpSpPr>
      </xdr:nvGrpSpPr>
      <xdr:grpSpPr bwMode="auto">
        <a:xfrm>
          <a:off x="7581900" y="1308100"/>
          <a:ext cx="0" cy="673100"/>
          <a:chOff x="632" y="220"/>
          <a:chExt cx="195" cy="136"/>
        </a:xfrm>
      </xdr:grpSpPr>
      <xdr:sp macro="" textlink="">
        <xdr:nvSpPr>
          <xdr:cNvPr id="1211928" name="Rectangle 98">
            <a:extLst>
              <a:ext uri="{FF2B5EF4-FFF2-40B4-BE49-F238E27FC236}">
                <a16:creationId xmlns:a16="http://schemas.microsoft.com/office/drawing/2014/main" id="{00000000-0008-0000-0200-0000187E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29" name="Rectangle 99">
            <a:extLst>
              <a:ext uri="{FF2B5EF4-FFF2-40B4-BE49-F238E27FC236}">
                <a16:creationId xmlns:a16="http://schemas.microsoft.com/office/drawing/2014/main" id="{00000000-0008-0000-0200-0000197E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30" name="Rectangle 100">
            <a:extLst>
              <a:ext uri="{FF2B5EF4-FFF2-40B4-BE49-F238E27FC236}">
                <a16:creationId xmlns:a16="http://schemas.microsoft.com/office/drawing/2014/main" id="{00000000-0008-0000-0200-00001A7E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31" name="Rectangle 101">
            <a:extLst>
              <a:ext uri="{FF2B5EF4-FFF2-40B4-BE49-F238E27FC236}">
                <a16:creationId xmlns:a16="http://schemas.microsoft.com/office/drawing/2014/main" id="{00000000-0008-0000-0200-00001B7E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32" name="Line 102">
            <a:extLst>
              <a:ext uri="{FF2B5EF4-FFF2-40B4-BE49-F238E27FC236}">
                <a16:creationId xmlns:a16="http://schemas.microsoft.com/office/drawing/2014/main" id="{00000000-0008-0000-0200-00001C7E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33" name="Line 103">
            <a:extLst>
              <a:ext uri="{FF2B5EF4-FFF2-40B4-BE49-F238E27FC236}">
                <a16:creationId xmlns:a16="http://schemas.microsoft.com/office/drawing/2014/main" id="{00000000-0008-0000-0200-00001D7E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34" name="Line 104">
            <a:extLst>
              <a:ext uri="{FF2B5EF4-FFF2-40B4-BE49-F238E27FC236}">
                <a16:creationId xmlns:a16="http://schemas.microsoft.com/office/drawing/2014/main" id="{00000000-0008-0000-0200-00001E7E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52" name="Group 105">
          <a:extLst>
            <a:ext uri="{FF2B5EF4-FFF2-40B4-BE49-F238E27FC236}">
              <a16:creationId xmlns:a16="http://schemas.microsoft.com/office/drawing/2014/main" id="{00000000-0008-0000-0200-000018691200}"/>
            </a:ext>
          </a:extLst>
        </xdr:cNvPr>
        <xdr:cNvGrpSpPr>
          <a:grpSpLocks/>
        </xdr:cNvGrpSpPr>
      </xdr:nvGrpSpPr>
      <xdr:grpSpPr bwMode="auto">
        <a:xfrm>
          <a:off x="7581900" y="1308100"/>
          <a:ext cx="0" cy="673100"/>
          <a:chOff x="632" y="220"/>
          <a:chExt cx="195" cy="136"/>
        </a:xfrm>
      </xdr:grpSpPr>
      <xdr:sp macro="" textlink="">
        <xdr:nvSpPr>
          <xdr:cNvPr id="1211921" name="Rectangle 106">
            <a:extLst>
              <a:ext uri="{FF2B5EF4-FFF2-40B4-BE49-F238E27FC236}">
                <a16:creationId xmlns:a16="http://schemas.microsoft.com/office/drawing/2014/main" id="{00000000-0008-0000-0200-0000117E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22" name="Rectangle 107">
            <a:extLst>
              <a:ext uri="{FF2B5EF4-FFF2-40B4-BE49-F238E27FC236}">
                <a16:creationId xmlns:a16="http://schemas.microsoft.com/office/drawing/2014/main" id="{00000000-0008-0000-0200-0000127E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23" name="Rectangle 108">
            <a:extLst>
              <a:ext uri="{FF2B5EF4-FFF2-40B4-BE49-F238E27FC236}">
                <a16:creationId xmlns:a16="http://schemas.microsoft.com/office/drawing/2014/main" id="{00000000-0008-0000-0200-0000137E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24" name="Rectangle 109">
            <a:extLst>
              <a:ext uri="{FF2B5EF4-FFF2-40B4-BE49-F238E27FC236}">
                <a16:creationId xmlns:a16="http://schemas.microsoft.com/office/drawing/2014/main" id="{00000000-0008-0000-0200-0000147E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25" name="Line 110">
            <a:extLst>
              <a:ext uri="{FF2B5EF4-FFF2-40B4-BE49-F238E27FC236}">
                <a16:creationId xmlns:a16="http://schemas.microsoft.com/office/drawing/2014/main" id="{00000000-0008-0000-0200-0000157E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26" name="Line 111">
            <a:extLst>
              <a:ext uri="{FF2B5EF4-FFF2-40B4-BE49-F238E27FC236}">
                <a16:creationId xmlns:a16="http://schemas.microsoft.com/office/drawing/2014/main" id="{00000000-0008-0000-0200-0000167E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27" name="Line 112">
            <a:extLst>
              <a:ext uri="{FF2B5EF4-FFF2-40B4-BE49-F238E27FC236}">
                <a16:creationId xmlns:a16="http://schemas.microsoft.com/office/drawing/2014/main" id="{00000000-0008-0000-0200-0000177E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53" name="Group 113">
          <a:extLst>
            <a:ext uri="{FF2B5EF4-FFF2-40B4-BE49-F238E27FC236}">
              <a16:creationId xmlns:a16="http://schemas.microsoft.com/office/drawing/2014/main" id="{00000000-0008-0000-0200-000019691200}"/>
            </a:ext>
          </a:extLst>
        </xdr:cNvPr>
        <xdr:cNvGrpSpPr>
          <a:grpSpLocks/>
        </xdr:cNvGrpSpPr>
      </xdr:nvGrpSpPr>
      <xdr:grpSpPr bwMode="auto">
        <a:xfrm>
          <a:off x="7581900" y="1308100"/>
          <a:ext cx="0" cy="673100"/>
          <a:chOff x="632" y="220"/>
          <a:chExt cx="195" cy="136"/>
        </a:xfrm>
      </xdr:grpSpPr>
      <xdr:sp macro="" textlink="">
        <xdr:nvSpPr>
          <xdr:cNvPr id="1211914" name="Rectangle 114">
            <a:extLst>
              <a:ext uri="{FF2B5EF4-FFF2-40B4-BE49-F238E27FC236}">
                <a16:creationId xmlns:a16="http://schemas.microsoft.com/office/drawing/2014/main" id="{00000000-0008-0000-0200-00000A7E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15" name="Rectangle 115">
            <a:extLst>
              <a:ext uri="{FF2B5EF4-FFF2-40B4-BE49-F238E27FC236}">
                <a16:creationId xmlns:a16="http://schemas.microsoft.com/office/drawing/2014/main" id="{00000000-0008-0000-0200-00000B7E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16" name="Rectangle 116">
            <a:extLst>
              <a:ext uri="{FF2B5EF4-FFF2-40B4-BE49-F238E27FC236}">
                <a16:creationId xmlns:a16="http://schemas.microsoft.com/office/drawing/2014/main" id="{00000000-0008-0000-0200-00000C7E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17" name="Rectangle 117">
            <a:extLst>
              <a:ext uri="{FF2B5EF4-FFF2-40B4-BE49-F238E27FC236}">
                <a16:creationId xmlns:a16="http://schemas.microsoft.com/office/drawing/2014/main" id="{00000000-0008-0000-0200-00000D7E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18" name="Line 118">
            <a:extLst>
              <a:ext uri="{FF2B5EF4-FFF2-40B4-BE49-F238E27FC236}">
                <a16:creationId xmlns:a16="http://schemas.microsoft.com/office/drawing/2014/main" id="{00000000-0008-0000-0200-00000E7E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19" name="Line 119">
            <a:extLst>
              <a:ext uri="{FF2B5EF4-FFF2-40B4-BE49-F238E27FC236}">
                <a16:creationId xmlns:a16="http://schemas.microsoft.com/office/drawing/2014/main" id="{00000000-0008-0000-0200-00000F7E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20" name="Line 120">
            <a:extLst>
              <a:ext uri="{FF2B5EF4-FFF2-40B4-BE49-F238E27FC236}">
                <a16:creationId xmlns:a16="http://schemas.microsoft.com/office/drawing/2014/main" id="{00000000-0008-0000-0200-0000107E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54" name="Group 121">
          <a:extLst>
            <a:ext uri="{FF2B5EF4-FFF2-40B4-BE49-F238E27FC236}">
              <a16:creationId xmlns:a16="http://schemas.microsoft.com/office/drawing/2014/main" id="{00000000-0008-0000-0200-00001A691200}"/>
            </a:ext>
          </a:extLst>
        </xdr:cNvPr>
        <xdr:cNvGrpSpPr>
          <a:grpSpLocks/>
        </xdr:cNvGrpSpPr>
      </xdr:nvGrpSpPr>
      <xdr:grpSpPr bwMode="auto">
        <a:xfrm>
          <a:off x="7581900" y="1308100"/>
          <a:ext cx="0" cy="673100"/>
          <a:chOff x="632" y="220"/>
          <a:chExt cx="195" cy="136"/>
        </a:xfrm>
      </xdr:grpSpPr>
      <xdr:sp macro="" textlink="">
        <xdr:nvSpPr>
          <xdr:cNvPr id="1211907" name="Rectangle 122">
            <a:extLst>
              <a:ext uri="{FF2B5EF4-FFF2-40B4-BE49-F238E27FC236}">
                <a16:creationId xmlns:a16="http://schemas.microsoft.com/office/drawing/2014/main" id="{00000000-0008-0000-0200-0000037E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08" name="Rectangle 123">
            <a:extLst>
              <a:ext uri="{FF2B5EF4-FFF2-40B4-BE49-F238E27FC236}">
                <a16:creationId xmlns:a16="http://schemas.microsoft.com/office/drawing/2014/main" id="{00000000-0008-0000-0200-0000047E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09" name="Rectangle 124">
            <a:extLst>
              <a:ext uri="{FF2B5EF4-FFF2-40B4-BE49-F238E27FC236}">
                <a16:creationId xmlns:a16="http://schemas.microsoft.com/office/drawing/2014/main" id="{00000000-0008-0000-0200-0000057E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10" name="Rectangle 125">
            <a:extLst>
              <a:ext uri="{FF2B5EF4-FFF2-40B4-BE49-F238E27FC236}">
                <a16:creationId xmlns:a16="http://schemas.microsoft.com/office/drawing/2014/main" id="{00000000-0008-0000-0200-0000067E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11" name="Line 126">
            <a:extLst>
              <a:ext uri="{FF2B5EF4-FFF2-40B4-BE49-F238E27FC236}">
                <a16:creationId xmlns:a16="http://schemas.microsoft.com/office/drawing/2014/main" id="{00000000-0008-0000-0200-0000077E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12" name="Line 127">
            <a:extLst>
              <a:ext uri="{FF2B5EF4-FFF2-40B4-BE49-F238E27FC236}">
                <a16:creationId xmlns:a16="http://schemas.microsoft.com/office/drawing/2014/main" id="{00000000-0008-0000-0200-0000087E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13" name="Line 128">
            <a:extLst>
              <a:ext uri="{FF2B5EF4-FFF2-40B4-BE49-F238E27FC236}">
                <a16:creationId xmlns:a16="http://schemas.microsoft.com/office/drawing/2014/main" id="{00000000-0008-0000-0200-0000097E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55" name="Group 129">
          <a:extLst>
            <a:ext uri="{FF2B5EF4-FFF2-40B4-BE49-F238E27FC236}">
              <a16:creationId xmlns:a16="http://schemas.microsoft.com/office/drawing/2014/main" id="{00000000-0008-0000-0200-00001B691200}"/>
            </a:ext>
          </a:extLst>
        </xdr:cNvPr>
        <xdr:cNvGrpSpPr>
          <a:grpSpLocks/>
        </xdr:cNvGrpSpPr>
      </xdr:nvGrpSpPr>
      <xdr:grpSpPr bwMode="auto">
        <a:xfrm>
          <a:off x="7581900" y="1308100"/>
          <a:ext cx="0" cy="673100"/>
          <a:chOff x="632" y="220"/>
          <a:chExt cx="195" cy="136"/>
        </a:xfrm>
      </xdr:grpSpPr>
      <xdr:sp macro="" textlink="">
        <xdr:nvSpPr>
          <xdr:cNvPr id="1211900" name="Rectangle 130">
            <a:extLst>
              <a:ext uri="{FF2B5EF4-FFF2-40B4-BE49-F238E27FC236}">
                <a16:creationId xmlns:a16="http://schemas.microsoft.com/office/drawing/2014/main" id="{00000000-0008-0000-0200-0000FC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01" name="Rectangle 131">
            <a:extLst>
              <a:ext uri="{FF2B5EF4-FFF2-40B4-BE49-F238E27FC236}">
                <a16:creationId xmlns:a16="http://schemas.microsoft.com/office/drawing/2014/main" id="{00000000-0008-0000-0200-0000FD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02" name="Rectangle 132">
            <a:extLst>
              <a:ext uri="{FF2B5EF4-FFF2-40B4-BE49-F238E27FC236}">
                <a16:creationId xmlns:a16="http://schemas.microsoft.com/office/drawing/2014/main" id="{00000000-0008-0000-0200-0000FE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03" name="Rectangle 133">
            <a:extLst>
              <a:ext uri="{FF2B5EF4-FFF2-40B4-BE49-F238E27FC236}">
                <a16:creationId xmlns:a16="http://schemas.microsoft.com/office/drawing/2014/main" id="{00000000-0008-0000-0200-0000FF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04" name="Line 134">
            <a:extLst>
              <a:ext uri="{FF2B5EF4-FFF2-40B4-BE49-F238E27FC236}">
                <a16:creationId xmlns:a16="http://schemas.microsoft.com/office/drawing/2014/main" id="{00000000-0008-0000-0200-0000007E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05" name="Line 135">
            <a:extLst>
              <a:ext uri="{FF2B5EF4-FFF2-40B4-BE49-F238E27FC236}">
                <a16:creationId xmlns:a16="http://schemas.microsoft.com/office/drawing/2014/main" id="{00000000-0008-0000-0200-0000017E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06" name="Line 136">
            <a:extLst>
              <a:ext uri="{FF2B5EF4-FFF2-40B4-BE49-F238E27FC236}">
                <a16:creationId xmlns:a16="http://schemas.microsoft.com/office/drawing/2014/main" id="{00000000-0008-0000-0200-0000027E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56" name="Group 137">
          <a:extLst>
            <a:ext uri="{FF2B5EF4-FFF2-40B4-BE49-F238E27FC236}">
              <a16:creationId xmlns:a16="http://schemas.microsoft.com/office/drawing/2014/main" id="{00000000-0008-0000-0200-00001C691200}"/>
            </a:ext>
          </a:extLst>
        </xdr:cNvPr>
        <xdr:cNvGrpSpPr>
          <a:grpSpLocks/>
        </xdr:cNvGrpSpPr>
      </xdr:nvGrpSpPr>
      <xdr:grpSpPr bwMode="auto">
        <a:xfrm>
          <a:off x="7581900" y="1308100"/>
          <a:ext cx="0" cy="673100"/>
          <a:chOff x="632" y="220"/>
          <a:chExt cx="195" cy="136"/>
        </a:xfrm>
      </xdr:grpSpPr>
      <xdr:sp macro="" textlink="">
        <xdr:nvSpPr>
          <xdr:cNvPr id="1211893" name="Rectangle 138">
            <a:extLst>
              <a:ext uri="{FF2B5EF4-FFF2-40B4-BE49-F238E27FC236}">
                <a16:creationId xmlns:a16="http://schemas.microsoft.com/office/drawing/2014/main" id="{00000000-0008-0000-0200-0000F5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94" name="Rectangle 139">
            <a:extLst>
              <a:ext uri="{FF2B5EF4-FFF2-40B4-BE49-F238E27FC236}">
                <a16:creationId xmlns:a16="http://schemas.microsoft.com/office/drawing/2014/main" id="{00000000-0008-0000-0200-0000F6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95" name="Rectangle 140">
            <a:extLst>
              <a:ext uri="{FF2B5EF4-FFF2-40B4-BE49-F238E27FC236}">
                <a16:creationId xmlns:a16="http://schemas.microsoft.com/office/drawing/2014/main" id="{00000000-0008-0000-0200-0000F7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96" name="Rectangle 141">
            <a:extLst>
              <a:ext uri="{FF2B5EF4-FFF2-40B4-BE49-F238E27FC236}">
                <a16:creationId xmlns:a16="http://schemas.microsoft.com/office/drawing/2014/main" id="{00000000-0008-0000-0200-0000F8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97" name="Line 142">
            <a:extLst>
              <a:ext uri="{FF2B5EF4-FFF2-40B4-BE49-F238E27FC236}">
                <a16:creationId xmlns:a16="http://schemas.microsoft.com/office/drawing/2014/main" id="{00000000-0008-0000-0200-0000F9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98" name="Line 143">
            <a:extLst>
              <a:ext uri="{FF2B5EF4-FFF2-40B4-BE49-F238E27FC236}">
                <a16:creationId xmlns:a16="http://schemas.microsoft.com/office/drawing/2014/main" id="{00000000-0008-0000-0200-0000FA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99" name="Line 144">
            <a:extLst>
              <a:ext uri="{FF2B5EF4-FFF2-40B4-BE49-F238E27FC236}">
                <a16:creationId xmlns:a16="http://schemas.microsoft.com/office/drawing/2014/main" id="{00000000-0008-0000-0200-0000FB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57" name="Group 145">
          <a:extLst>
            <a:ext uri="{FF2B5EF4-FFF2-40B4-BE49-F238E27FC236}">
              <a16:creationId xmlns:a16="http://schemas.microsoft.com/office/drawing/2014/main" id="{00000000-0008-0000-0200-00001D691200}"/>
            </a:ext>
          </a:extLst>
        </xdr:cNvPr>
        <xdr:cNvGrpSpPr>
          <a:grpSpLocks/>
        </xdr:cNvGrpSpPr>
      </xdr:nvGrpSpPr>
      <xdr:grpSpPr bwMode="auto">
        <a:xfrm>
          <a:off x="7581900" y="1308100"/>
          <a:ext cx="0" cy="673100"/>
          <a:chOff x="632" y="220"/>
          <a:chExt cx="195" cy="136"/>
        </a:xfrm>
      </xdr:grpSpPr>
      <xdr:sp macro="" textlink="">
        <xdr:nvSpPr>
          <xdr:cNvPr id="1211886" name="Rectangle 146">
            <a:extLst>
              <a:ext uri="{FF2B5EF4-FFF2-40B4-BE49-F238E27FC236}">
                <a16:creationId xmlns:a16="http://schemas.microsoft.com/office/drawing/2014/main" id="{00000000-0008-0000-0200-0000EE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87" name="Rectangle 147">
            <a:extLst>
              <a:ext uri="{FF2B5EF4-FFF2-40B4-BE49-F238E27FC236}">
                <a16:creationId xmlns:a16="http://schemas.microsoft.com/office/drawing/2014/main" id="{00000000-0008-0000-0200-0000EF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88" name="Rectangle 148">
            <a:extLst>
              <a:ext uri="{FF2B5EF4-FFF2-40B4-BE49-F238E27FC236}">
                <a16:creationId xmlns:a16="http://schemas.microsoft.com/office/drawing/2014/main" id="{00000000-0008-0000-0200-0000F0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89" name="Rectangle 149">
            <a:extLst>
              <a:ext uri="{FF2B5EF4-FFF2-40B4-BE49-F238E27FC236}">
                <a16:creationId xmlns:a16="http://schemas.microsoft.com/office/drawing/2014/main" id="{00000000-0008-0000-0200-0000F1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90" name="Line 150">
            <a:extLst>
              <a:ext uri="{FF2B5EF4-FFF2-40B4-BE49-F238E27FC236}">
                <a16:creationId xmlns:a16="http://schemas.microsoft.com/office/drawing/2014/main" id="{00000000-0008-0000-0200-0000F2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91" name="Line 151">
            <a:extLst>
              <a:ext uri="{FF2B5EF4-FFF2-40B4-BE49-F238E27FC236}">
                <a16:creationId xmlns:a16="http://schemas.microsoft.com/office/drawing/2014/main" id="{00000000-0008-0000-0200-0000F3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92" name="Line 152">
            <a:extLst>
              <a:ext uri="{FF2B5EF4-FFF2-40B4-BE49-F238E27FC236}">
                <a16:creationId xmlns:a16="http://schemas.microsoft.com/office/drawing/2014/main" id="{00000000-0008-0000-0200-0000F4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58" name="Group 153">
          <a:extLst>
            <a:ext uri="{FF2B5EF4-FFF2-40B4-BE49-F238E27FC236}">
              <a16:creationId xmlns:a16="http://schemas.microsoft.com/office/drawing/2014/main" id="{00000000-0008-0000-0200-00001E691200}"/>
            </a:ext>
          </a:extLst>
        </xdr:cNvPr>
        <xdr:cNvGrpSpPr>
          <a:grpSpLocks/>
        </xdr:cNvGrpSpPr>
      </xdr:nvGrpSpPr>
      <xdr:grpSpPr bwMode="auto">
        <a:xfrm>
          <a:off x="7581900" y="1308100"/>
          <a:ext cx="0" cy="673100"/>
          <a:chOff x="632" y="220"/>
          <a:chExt cx="195" cy="136"/>
        </a:xfrm>
      </xdr:grpSpPr>
      <xdr:sp macro="" textlink="">
        <xdr:nvSpPr>
          <xdr:cNvPr id="1211879" name="Rectangle 154">
            <a:extLst>
              <a:ext uri="{FF2B5EF4-FFF2-40B4-BE49-F238E27FC236}">
                <a16:creationId xmlns:a16="http://schemas.microsoft.com/office/drawing/2014/main" id="{00000000-0008-0000-0200-0000E7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80" name="Rectangle 155">
            <a:extLst>
              <a:ext uri="{FF2B5EF4-FFF2-40B4-BE49-F238E27FC236}">
                <a16:creationId xmlns:a16="http://schemas.microsoft.com/office/drawing/2014/main" id="{00000000-0008-0000-0200-0000E8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81" name="Rectangle 156">
            <a:extLst>
              <a:ext uri="{FF2B5EF4-FFF2-40B4-BE49-F238E27FC236}">
                <a16:creationId xmlns:a16="http://schemas.microsoft.com/office/drawing/2014/main" id="{00000000-0008-0000-0200-0000E9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82" name="Rectangle 157">
            <a:extLst>
              <a:ext uri="{FF2B5EF4-FFF2-40B4-BE49-F238E27FC236}">
                <a16:creationId xmlns:a16="http://schemas.microsoft.com/office/drawing/2014/main" id="{00000000-0008-0000-0200-0000EA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83" name="Line 158">
            <a:extLst>
              <a:ext uri="{FF2B5EF4-FFF2-40B4-BE49-F238E27FC236}">
                <a16:creationId xmlns:a16="http://schemas.microsoft.com/office/drawing/2014/main" id="{00000000-0008-0000-0200-0000EB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84" name="Line 159">
            <a:extLst>
              <a:ext uri="{FF2B5EF4-FFF2-40B4-BE49-F238E27FC236}">
                <a16:creationId xmlns:a16="http://schemas.microsoft.com/office/drawing/2014/main" id="{00000000-0008-0000-0200-0000EC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85" name="Line 160">
            <a:extLst>
              <a:ext uri="{FF2B5EF4-FFF2-40B4-BE49-F238E27FC236}">
                <a16:creationId xmlns:a16="http://schemas.microsoft.com/office/drawing/2014/main" id="{00000000-0008-0000-0200-0000ED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59" name="Group 161">
          <a:extLst>
            <a:ext uri="{FF2B5EF4-FFF2-40B4-BE49-F238E27FC236}">
              <a16:creationId xmlns:a16="http://schemas.microsoft.com/office/drawing/2014/main" id="{00000000-0008-0000-0200-00001F691200}"/>
            </a:ext>
          </a:extLst>
        </xdr:cNvPr>
        <xdr:cNvGrpSpPr>
          <a:grpSpLocks/>
        </xdr:cNvGrpSpPr>
      </xdr:nvGrpSpPr>
      <xdr:grpSpPr bwMode="auto">
        <a:xfrm>
          <a:off x="7581900" y="1308100"/>
          <a:ext cx="0" cy="673100"/>
          <a:chOff x="632" y="220"/>
          <a:chExt cx="195" cy="136"/>
        </a:xfrm>
      </xdr:grpSpPr>
      <xdr:sp macro="" textlink="">
        <xdr:nvSpPr>
          <xdr:cNvPr id="1211872" name="Rectangle 162">
            <a:extLst>
              <a:ext uri="{FF2B5EF4-FFF2-40B4-BE49-F238E27FC236}">
                <a16:creationId xmlns:a16="http://schemas.microsoft.com/office/drawing/2014/main" id="{00000000-0008-0000-0200-0000E0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73" name="Rectangle 163">
            <a:extLst>
              <a:ext uri="{FF2B5EF4-FFF2-40B4-BE49-F238E27FC236}">
                <a16:creationId xmlns:a16="http://schemas.microsoft.com/office/drawing/2014/main" id="{00000000-0008-0000-0200-0000E1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74" name="Rectangle 164">
            <a:extLst>
              <a:ext uri="{FF2B5EF4-FFF2-40B4-BE49-F238E27FC236}">
                <a16:creationId xmlns:a16="http://schemas.microsoft.com/office/drawing/2014/main" id="{00000000-0008-0000-0200-0000E2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75" name="Rectangle 165">
            <a:extLst>
              <a:ext uri="{FF2B5EF4-FFF2-40B4-BE49-F238E27FC236}">
                <a16:creationId xmlns:a16="http://schemas.microsoft.com/office/drawing/2014/main" id="{00000000-0008-0000-0200-0000E3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76" name="Line 166">
            <a:extLst>
              <a:ext uri="{FF2B5EF4-FFF2-40B4-BE49-F238E27FC236}">
                <a16:creationId xmlns:a16="http://schemas.microsoft.com/office/drawing/2014/main" id="{00000000-0008-0000-0200-0000E4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77" name="Line 167">
            <a:extLst>
              <a:ext uri="{FF2B5EF4-FFF2-40B4-BE49-F238E27FC236}">
                <a16:creationId xmlns:a16="http://schemas.microsoft.com/office/drawing/2014/main" id="{00000000-0008-0000-0200-0000E5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78" name="Line 168">
            <a:extLst>
              <a:ext uri="{FF2B5EF4-FFF2-40B4-BE49-F238E27FC236}">
                <a16:creationId xmlns:a16="http://schemas.microsoft.com/office/drawing/2014/main" id="{00000000-0008-0000-0200-0000E6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60" name="Group 169">
          <a:extLst>
            <a:ext uri="{FF2B5EF4-FFF2-40B4-BE49-F238E27FC236}">
              <a16:creationId xmlns:a16="http://schemas.microsoft.com/office/drawing/2014/main" id="{00000000-0008-0000-0200-000020691200}"/>
            </a:ext>
          </a:extLst>
        </xdr:cNvPr>
        <xdr:cNvGrpSpPr>
          <a:grpSpLocks/>
        </xdr:cNvGrpSpPr>
      </xdr:nvGrpSpPr>
      <xdr:grpSpPr bwMode="auto">
        <a:xfrm>
          <a:off x="7581900" y="1308100"/>
          <a:ext cx="0" cy="673100"/>
          <a:chOff x="632" y="220"/>
          <a:chExt cx="195" cy="136"/>
        </a:xfrm>
      </xdr:grpSpPr>
      <xdr:sp macro="" textlink="">
        <xdr:nvSpPr>
          <xdr:cNvPr id="1211865" name="Rectangle 170">
            <a:extLst>
              <a:ext uri="{FF2B5EF4-FFF2-40B4-BE49-F238E27FC236}">
                <a16:creationId xmlns:a16="http://schemas.microsoft.com/office/drawing/2014/main" id="{00000000-0008-0000-0200-0000D9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66" name="Rectangle 171">
            <a:extLst>
              <a:ext uri="{FF2B5EF4-FFF2-40B4-BE49-F238E27FC236}">
                <a16:creationId xmlns:a16="http://schemas.microsoft.com/office/drawing/2014/main" id="{00000000-0008-0000-0200-0000DA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67" name="Rectangle 172">
            <a:extLst>
              <a:ext uri="{FF2B5EF4-FFF2-40B4-BE49-F238E27FC236}">
                <a16:creationId xmlns:a16="http://schemas.microsoft.com/office/drawing/2014/main" id="{00000000-0008-0000-0200-0000DB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68" name="Rectangle 173">
            <a:extLst>
              <a:ext uri="{FF2B5EF4-FFF2-40B4-BE49-F238E27FC236}">
                <a16:creationId xmlns:a16="http://schemas.microsoft.com/office/drawing/2014/main" id="{00000000-0008-0000-0200-0000DC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69" name="Line 174">
            <a:extLst>
              <a:ext uri="{FF2B5EF4-FFF2-40B4-BE49-F238E27FC236}">
                <a16:creationId xmlns:a16="http://schemas.microsoft.com/office/drawing/2014/main" id="{00000000-0008-0000-0200-0000DD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70" name="Line 175">
            <a:extLst>
              <a:ext uri="{FF2B5EF4-FFF2-40B4-BE49-F238E27FC236}">
                <a16:creationId xmlns:a16="http://schemas.microsoft.com/office/drawing/2014/main" id="{00000000-0008-0000-0200-0000DE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71" name="Line 176">
            <a:extLst>
              <a:ext uri="{FF2B5EF4-FFF2-40B4-BE49-F238E27FC236}">
                <a16:creationId xmlns:a16="http://schemas.microsoft.com/office/drawing/2014/main" id="{00000000-0008-0000-0200-0000DF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61" name="Group 177">
          <a:extLst>
            <a:ext uri="{FF2B5EF4-FFF2-40B4-BE49-F238E27FC236}">
              <a16:creationId xmlns:a16="http://schemas.microsoft.com/office/drawing/2014/main" id="{00000000-0008-0000-0200-000021691200}"/>
            </a:ext>
          </a:extLst>
        </xdr:cNvPr>
        <xdr:cNvGrpSpPr>
          <a:grpSpLocks/>
        </xdr:cNvGrpSpPr>
      </xdr:nvGrpSpPr>
      <xdr:grpSpPr bwMode="auto">
        <a:xfrm>
          <a:off x="7581900" y="1308100"/>
          <a:ext cx="0" cy="673100"/>
          <a:chOff x="632" y="220"/>
          <a:chExt cx="195" cy="136"/>
        </a:xfrm>
      </xdr:grpSpPr>
      <xdr:sp macro="" textlink="">
        <xdr:nvSpPr>
          <xdr:cNvPr id="1211858" name="Rectangle 178">
            <a:extLst>
              <a:ext uri="{FF2B5EF4-FFF2-40B4-BE49-F238E27FC236}">
                <a16:creationId xmlns:a16="http://schemas.microsoft.com/office/drawing/2014/main" id="{00000000-0008-0000-0200-0000D2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59" name="Rectangle 179">
            <a:extLst>
              <a:ext uri="{FF2B5EF4-FFF2-40B4-BE49-F238E27FC236}">
                <a16:creationId xmlns:a16="http://schemas.microsoft.com/office/drawing/2014/main" id="{00000000-0008-0000-0200-0000D3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60" name="Rectangle 180">
            <a:extLst>
              <a:ext uri="{FF2B5EF4-FFF2-40B4-BE49-F238E27FC236}">
                <a16:creationId xmlns:a16="http://schemas.microsoft.com/office/drawing/2014/main" id="{00000000-0008-0000-0200-0000D4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61" name="Rectangle 181">
            <a:extLst>
              <a:ext uri="{FF2B5EF4-FFF2-40B4-BE49-F238E27FC236}">
                <a16:creationId xmlns:a16="http://schemas.microsoft.com/office/drawing/2014/main" id="{00000000-0008-0000-0200-0000D5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62" name="Line 182">
            <a:extLst>
              <a:ext uri="{FF2B5EF4-FFF2-40B4-BE49-F238E27FC236}">
                <a16:creationId xmlns:a16="http://schemas.microsoft.com/office/drawing/2014/main" id="{00000000-0008-0000-0200-0000D6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63" name="Line 183">
            <a:extLst>
              <a:ext uri="{FF2B5EF4-FFF2-40B4-BE49-F238E27FC236}">
                <a16:creationId xmlns:a16="http://schemas.microsoft.com/office/drawing/2014/main" id="{00000000-0008-0000-0200-0000D7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64" name="Line 184">
            <a:extLst>
              <a:ext uri="{FF2B5EF4-FFF2-40B4-BE49-F238E27FC236}">
                <a16:creationId xmlns:a16="http://schemas.microsoft.com/office/drawing/2014/main" id="{00000000-0008-0000-0200-0000D8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62" name="Group 185">
          <a:extLst>
            <a:ext uri="{FF2B5EF4-FFF2-40B4-BE49-F238E27FC236}">
              <a16:creationId xmlns:a16="http://schemas.microsoft.com/office/drawing/2014/main" id="{00000000-0008-0000-0200-000022691200}"/>
            </a:ext>
          </a:extLst>
        </xdr:cNvPr>
        <xdr:cNvGrpSpPr>
          <a:grpSpLocks/>
        </xdr:cNvGrpSpPr>
      </xdr:nvGrpSpPr>
      <xdr:grpSpPr bwMode="auto">
        <a:xfrm>
          <a:off x="7581900" y="1308100"/>
          <a:ext cx="0" cy="673100"/>
          <a:chOff x="632" y="220"/>
          <a:chExt cx="195" cy="136"/>
        </a:xfrm>
      </xdr:grpSpPr>
      <xdr:sp macro="" textlink="">
        <xdr:nvSpPr>
          <xdr:cNvPr id="1211851" name="Rectangle 186">
            <a:extLst>
              <a:ext uri="{FF2B5EF4-FFF2-40B4-BE49-F238E27FC236}">
                <a16:creationId xmlns:a16="http://schemas.microsoft.com/office/drawing/2014/main" id="{00000000-0008-0000-0200-0000CB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52" name="Rectangle 187">
            <a:extLst>
              <a:ext uri="{FF2B5EF4-FFF2-40B4-BE49-F238E27FC236}">
                <a16:creationId xmlns:a16="http://schemas.microsoft.com/office/drawing/2014/main" id="{00000000-0008-0000-0200-0000CC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53" name="Rectangle 188">
            <a:extLst>
              <a:ext uri="{FF2B5EF4-FFF2-40B4-BE49-F238E27FC236}">
                <a16:creationId xmlns:a16="http://schemas.microsoft.com/office/drawing/2014/main" id="{00000000-0008-0000-0200-0000CD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54" name="Rectangle 189">
            <a:extLst>
              <a:ext uri="{FF2B5EF4-FFF2-40B4-BE49-F238E27FC236}">
                <a16:creationId xmlns:a16="http://schemas.microsoft.com/office/drawing/2014/main" id="{00000000-0008-0000-0200-0000CE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55" name="Line 190">
            <a:extLst>
              <a:ext uri="{FF2B5EF4-FFF2-40B4-BE49-F238E27FC236}">
                <a16:creationId xmlns:a16="http://schemas.microsoft.com/office/drawing/2014/main" id="{00000000-0008-0000-0200-0000CF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56" name="Line 191">
            <a:extLst>
              <a:ext uri="{FF2B5EF4-FFF2-40B4-BE49-F238E27FC236}">
                <a16:creationId xmlns:a16="http://schemas.microsoft.com/office/drawing/2014/main" id="{00000000-0008-0000-0200-0000D0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57" name="Line 192">
            <a:extLst>
              <a:ext uri="{FF2B5EF4-FFF2-40B4-BE49-F238E27FC236}">
                <a16:creationId xmlns:a16="http://schemas.microsoft.com/office/drawing/2014/main" id="{00000000-0008-0000-0200-0000D1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63" name="Group 193">
          <a:extLst>
            <a:ext uri="{FF2B5EF4-FFF2-40B4-BE49-F238E27FC236}">
              <a16:creationId xmlns:a16="http://schemas.microsoft.com/office/drawing/2014/main" id="{00000000-0008-0000-0200-000023691200}"/>
            </a:ext>
          </a:extLst>
        </xdr:cNvPr>
        <xdr:cNvGrpSpPr>
          <a:grpSpLocks/>
        </xdr:cNvGrpSpPr>
      </xdr:nvGrpSpPr>
      <xdr:grpSpPr bwMode="auto">
        <a:xfrm>
          <a:off x="7581900" y="1308100"/>
          <a:ext cx="0" cy="673100"/>
          <a:chOff x="632" y="220"/>
          <a:chExt cx="195" cy="136"/>
        </a:xfrm>
      </xdr:grpSpPr>
      <xdr:sp macro="" textlink="">
        <xdr:nvSpPr>
          <xdr:cNvPr id="1211844" name="Rectangle 194">
            <a:extLst>
              <a:ext uri="{FF2B5EF4-FFF2-40B4-BE49-F238E27FC236}">
                <a16:creationId xmlns:a16="http://schemas.microsoft.com/office/drawing/2014/main" id="{00000000-0008-0000-0200-0000C4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45" name="Rectangle 195">
            <a:extLst>
              <a:ext uri="{FF2B5EF4-FFF2-40B4-BE49-F238E27FC236}">
                <a16:creationId xmlns:a16="http://schemas.microsoft.com/office/drawing/2014/main" id="{00000000-0008-0000-0200-0000C5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46" name="Rectangle 196">
            <a:extLst>
              <a:ext uri="{FF2B5EF4-FFF2-40B4-BE49-F238E27FC236}">
                <a16:creationId xmlns:a16="http://schemas.microsoft.com/office/drawing/2014/main" id="{00000000-0008-0000-0200-0000C6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47" name="Rectangle 197">
            <a:extLst>
              <a:ext uri="{FF2B5EF4-FFF2-40B4-BE49-F238E27FC236}">
                <a16:creationId xmlns:a16="http://schemas.microsoft.com/office/drawing/2014/main" id="{00000000-0008-0000-0200-0000C7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48" name="Line 198">
            <a:extLst>
              <a:ext uri="{FF2B5EF4-FFF2-40B4-BE49-F238E27FC236}">
                <a16:creationId xmlns:a16="http://schemas.microsoft.com/office/drawing/2014/main" id="{00000000-0008-0000-0200-0000C8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49" name="Line 199">
            <a:extLst>
              <a:ext uri="{FF2B5EF4-FFF2-40B4-BE49-F238E27FC236}">
                <a16:creationId xmlns:a16="http://schemas.microsoft.com/office/drawing/2014/main" id="{00000000-0008-0000-0200-0000C9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50" name="Line 200">
            <a:extLst>
              <a:ext uri="{FF2B5EF4-FFF2-40B4-BE49-F238E27FC236}">
                <a16:creationId xmlns:a16="http://schemas.microsoft.com/office/drawing/2014/main" id="{00000000-0008-0000-0200-0000CA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64" name="Group 201">
          <a:extLst>
            <a:ext uri="{FF2B5EF4-FFF2-40B4-BE49-F238E27FC236}">
              <a16:creationId xmlns:a16="http://schemas.microsoft.com/office/drawing/2014/main" id="{00000000-0008-0000-0200-000024691200}"/>
            </a:ext>
          </a:extLst>
        </xdr:cNvPr>
        <xdr:cNvGrpSpPr>
          <a:grpSpLocks/>
        </xdr:cNvGrpSpPr>
      </xdr:nvGrpSpPr>
      <xdr:grpSpPr bwMode="auto">
        <a:xfrm>
          <a:off x="7581900" y="1308100"/>
          <a:ext cx="0" cy="673100"/>
          <a:chOff x="632" y="220"/>
          <a:chExt cx="195" cy="136"/>
        </a:xfrm>
      </xdr:grpSpPr>
      <xdr:sp macro="" textlink="">
        <xdr:nvSpPr>
          <xdr:cNvPr id="1211837" name="Rectangle 202">
            <a:extLst>
              <a:ext uri="{FF2B5EF4-FFF2-40B4-BE49-F238E27FC236}">
                <a16:creationId xmlns:a16="http://schemas.microsoft.com/office/drawing/2014/main" id="{00000000-0008-0000-0200-0000BD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38" name="Rectangle 203">
            <a:extLst>
              <a:ext uri="{FF2B5EF4-FFF2-40B4-BE49-F238E27FC236}">
                <a16:creationId xmlns:a16="http://schemas.microsoft.com/office/drawing/2014/main" id="{00000000-0008-0000-0200-0000BE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39" name="Rectangle 204">
            <a:extLst>
              <a:ext uri="{FF2B5EF4-FFF2-40B4-BE49-F238E27FC236}">
                <a16:creationId xmlns:a16="http://schemas.microsoft.com/office/drawing/2014/main" id="{00000000-0008-0000-0200-0000BF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40" name="Rectangle 205">
            <a:extLst>
              <a:ext uri="{FF2B5EF4-FFF2-40B4-BE49-F238E27FC236}">
                <a16:creationId xmlns:a16="http://schemas.microsoft.com/office/drawing/2014/main" id="{00000000-0008-0000-0200-0000C0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41" name="Line 206">
            <a:extLst>
              <a:ext uri="{FF2B5EF4-FFF2-40B4-BE49-F238E27FC236}">
                <a16:creationId xmlns:a16="http://schemas.microsoft.com/office/drawing/2014/main" id="{00000000-0008-0000-0200-0000C1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42" name="Line 207">
            <a:extLst>
              <a:ext uri="{FF2B5EF4-FFF2-40B4-BE49-F238E27FC236}">
                <a16:creationId xmlns:a16="http://schemas.microsoft.com/office/drawing/2014/main" id="{00000000-0008-0000-0200-0000C2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43" name="Line 208">
            <a:extLst>
              <a:ext uri="{FF2B5EF4-FFF2-40B4-BE49-F238E27FC236}">
                <a16:creationId xmlns:a16="http://schemas.microsoft.com/office/drawing/2014/main" id="{00000000-0008-0000-0200-0000C3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65" name="Group 209">
          <a:extLst>
            <a:ext uri="{FF2B5EF4-FFF2-40B4-BE49-F238E27FC236}">
              <a16:creationId xmlns:a16="http://schemas.microsoft.com/office/drawing/2014/main" id="{00000000-0008-0000-0200-000025691200}"/>
            </a:ext>
          </a:extLst>
        </xdr:cNvPr>
        <xdr:cNvGrpSpPr>
          <a:grpSpLocks/>
        </xdr:cNvGrpSpPr>
      </xdr:nvGrpSpPr>
      <xdr:grpSpPr bwMode="auto">
        <a:xfrm>
          <a:off x="7581900" y="1308100"/>
          <a:ext cx="0" cy="673100"/>
          <a:chOff x="632" y="220"/>
          <a:chExt cx="195" cy="136"/>
        </a:xfrm>
      </xdr:grpSpPr>
      <xdr:sp macro="" textlink="">
        <xdr:nvSpPr>
          <xdr:cNvPr id="1211830" name="Rectangle 210">
            <a:extLst>
              <a:ext uri="{FF2B5EF4-FFF2-40B4-BE49-F238E27FC236}">
                <a16:creationId xmlns:a16="http://schemas.microsoft.com/office/drawing/2014/main" id="{00000000-0008-0000-0200-0000B6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31" name="Rectangle 211">
            <a:extLst>
              <a:ext uri="{FF2B5EF4-FFF2-40B4-BE49-F238E27FC236}">
                <a16:creationId xmlns:a16="http://schemas.microsoft.com/office/drawing/2014/main" id="{00000000-0008-0000-0200-0000B7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32" name="Rectangle 212">
            <a:extLst>
              <a:ext uri="{FF2B5EF4-FFF2-40B4-BE49-F238E27FC236}">
                <a16:creationId xmlns:a16="http://schemas.microsoft.com/office/drawing/2014/main" id="{00000000-0008-0000-0200-0000B8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33" name="Rectangle 213">
            <a:extLst>
              <a:ext uri="{FF2B5EF4-FFF2-40B4-BE49-F238E27FC236}">
                <a16:creationId xmlns:a16="http://schemas.microsoft.com/office/drawing/2014/main" id="{00000000-0008-0000-0200-0000B9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34" name="Line 214">
            <a:extLst>
              <a:ext uri="{FF2B5EF4-FFF2-40B4-BE49-F238E27FC236}">
                <a16:creationId xmlns:a16="http://schemas.microsoft.com/office/drawing/2014/main" id="{00000000-0008-0000-0200-0000BA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35" name="Line 215">
            <a:extLst>
              <a:ext uri="{FF2B5EF4-FFF2-40B4-BE49-F238E27FC236}">
                <a16:creationId xmlns:a16="http://schemas.microsoft.com/office/drawing/2014/main" id="{00000000-0008-0000-0200-0000BB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36" name="Line 216">
            <a:extLst>
              <a:ext uri="{FF2B5EF4-FFF2-40B4-BE49-F238E27FC236}">
                <a16:creationId xmlns:a16="http://schemas.microsoft.com/office/drawing/2014/main" id="{00000000-0008-0000-0200-0000BC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66" name="Group 217">
          <a:extLst>
            <a:ext uri="{FF2B5EF4-FFF2-40B4-BE49-F238E27FC236}">
              <a16:creationId xmlns:a16="http://schemas.microsoft.com/office/drawing/2014/main" id="{00000000-0008-0000-0200-000026691200}"/>
            </a:ext>
          </a:extLst>
        </xdr:cNvPr>
        <xdr:cNvGrpSpPr>
          <a:grpSpLocks/>
        </xdr:cNvGrpSpPr>
      </xdr:nvGrpSpPr>
      <xdr:grpSpPr bwMode="auto">
        <a:xfrm>
          <a:off x="7581900" y="1308100"/>
          <a:ext cx="0" cy="673100"/>
          <a:chOff x="632" y="220"/>
          <a:chExt cx="195" cy="136"/>
        </a:xfrm>
      </xdr:grpSpPr>
      <xdr:sp macro="" textlink="">
        <xdr:nvSpPr>
          <xdr:cNvPr id="1211823" name="Rectangle 218">
            <a:extLst>
              <a:ext uri="{FF2B5EF4-FFF2-40B4-BE49-F238E27FC236}">
                <a16:creationId xmlns:a16="http://schemas.microsoft.com/office/drawing/2014/main" id="{00000000-0008-0000-0200-0000AF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24" name="Rectangle 219">
            <a:extLst>
              <a:ext uri="{FF2B5EF4-FFF2-40B4-BE49-F238E27FC236}">
                <a16:creationId xmlns:a16="http://schemas.microsoft.com/office/drawing/2014/main" id="{00000000-0008-0000-0200-0000B0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25" name="Rectangle 220">
            <a:extLst>
              <a:ext uri="{FF2B5EF4-FFF2-40B4-BE49-F238E27FC236}">
                <a16:creationId xmlns:a16="http://schemas.microsoft.com/office/drawing/2014/main" id="{00000000-0008-0000-0200-0000B1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26" name="Rectangle 221">
            <a:extLst>
              <a:ext uri="{FF2B5EF4-FFF2-40B4-BE49-F238E27FC236}">
                <a16:creationId xmlns:a16="http://schemas.microsoft.com/office/drawing/2014/main" id="{00000000-0008-0000-0200-0000B2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27" name="Line 222">
            <a:extLst>
              <a:ext uri="{FF2B5EF4-FFF2-40B4-BE49-F238E27FC236}">
                <a16:creationId xmlns:a16="http://schemas.microsoft.com/office/drawing/2014/main" id="{00000000-0008-0000-0200-0000B3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28" name="Line 223">
            <a:extLst>
              <a:ext uri="{FF2B5EF4-FFF2-40B4-BE49-F238E27FC236}">
                <a16:creationId xmlns:a16="http://schemas.microsoft.com/office/drawing/2014/main" id="{00000000-0008-0000-0200-0000B4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29" name="Line 224">
            <a:extLst>
              <a:ext uri="{FF2B5EF4-FFF2-40B4-BE49-F238E27FC236}">
                <a16:creationId xmlns:a16="http://schemas.microsoft.com/office/drawing/2014/main" id="{00000000-0008-0000-0200-0000B5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67" name="Group 225">
          <a:extLst>
            <a:ext uri="{FF2B5EF4-FFF2-40B4-BE49-F238E27FC236}">
              <a16:creationId xmlns:a16="http://schemas.microsoft.com/office/drawing/2014/main" id="{00000000-0008-0000-0200-000027691200}"/>
            </a:ext>
          </a:extLst>
        </xdr:cNvPr>
        <xdr:cNvGrpSpPr>
          <a:grpSpLocks/>
        </xdr:cNvGrpSpPr>
      </xdr:nvGrpSpPr>
      <xdr:grpSpPr bwMode="auto">
        <a:xfrm>
          <a:off x="7581900" y="1308100"/>
          <a:ext cx="0" cy="673100"/>
          <a:chOff x="632" y="220"/>
          <a:chExt cx="195" cy="136"/>
        </a:xfrm>
      </xdr:grpSpPr>
      <xdr:sp macro="" textlink="">
        <xdr:nvSpPr>
          <xdr:cNvPr id="1211816" name="Rectangle 226">
            <a:extLst>
              <a:ext uri="{FF2B5EF4-FFF2-40B4-BE49-F238E27FC236}">
                <a16:creationId xmlns:a16="http://schemas.microsoft.com/office/drawing/2014/main" id="{00000000-0008-0000-0200-0000A8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17" name="Rectangle 227">
            <a:extLst>
              <a:ext uri="{FF2B5EF4-FFF2-40B4-BE49-F238E27FC236}">
                <a16:creationId xmlns:a16="http://schemas.microsoft.com/office/drawing/2014/main" id="{00000000-0008-0000-0200-0000A9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18" name="Rectangle 228">
            <a:extLst>
              <a:ext uri="{FF2B5EF4-FFF2-40B4-BE49-F238E27FC236}">
                <a16:creationId xmlns:a16="http://schemas.microsoft.com/office/drawing/2014/main" id="{00000000-0008-0000-0200-0000AA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19" name="Rectangle 229">
            <a:extLst>
              <a:ext uri="{FF2B5EF4-FFF2-40B4-BE49-F238E27FC236}">
                <a16:creationId xmlns:a16="http://schemas.microsoft.com/office/drawing/2014/main" id="{00000000-0008-0000-0200-0000AB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20" name="Line 230">
            <a:extLst>
              <a:ext uri="{FF2B5EF4-FFF2-40B4-BE49-F238E27FC236}">
                <a16:creationId xmlns:a16="http://schemas.microsoft.com/office/drawing/2014/main" id="{00000000-0008-0000-0200-0000AC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21" name="Line 231">
            <a:extLst>
              <a:ext uri="{FF2B5EF4-FFF2-40B4-BE49-F238E27FC236}">
                <a16:creationId xmlns:a16="http://schemas.microsoft.com/office/drawing/2014/main" id="{00000000-0008-0000-0200-0000AD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22" name="Line 232">
            <a:extLst>
              <a:ext uri="{FF2B5EF4-FFF2-40B4-BE49-F238E27FC236}">
                <a16:creationId xmlns:a16="http://schemas.microsoft.com/office/drawing/2014/main" id="{00000000-0008-0000-0200-0000AE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68" name="Group 233">
          <a:extLst>
            <a:ext uri="{FF2B5EF4-FFF2-40B4-BE49-F238E27FC236}">
              <a16:creationId xmlns:a16="http://schemas.microsoft.com/office/drawing/2014/main" id="{00000000-0008-0000-0200-000028691200}"/>
            </a:ext>
          </a:extLst>
        </xdr:cNvPr>
        <xdr:cNvGrpSpPr>
          <a:grpSpLocks/>
        </xdr:cNvGrpSpPr>
      </xdr:nvGrpSpPr>
      <xdr:grpSpPr bwMode="auto">
        <a:xfrm>
          <a:off x="7581900" y="1308100"/>
          <a:ext cx="0" cy="673100"/>
          <a:chOff x="632" y="220"/>
          <a:chExt cx="195" cy="136"/>
        </a:xfrm>
      </xdr:grpSpPr>
      <xdr:sp macro="" textlink="">
        <xdr:nvSpPr>
          <xdr:cNvPr id="1211809" name="Rectangle 234">
            <a:extLst>
              <a:ext uri="{FF2B5EF4-FFF2-40B4-BE49-F238E27FC236}">
                <a16:creationId xmlns:a16="http://schemas.microsoft.com/office/drawing/2014/main" id="{00000000-0008-0000-0200-0000A1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10" name="Rectangle 235">
            <a:extLst>
              <a:ext uri="{FF2B5EF4-FFF2-40B4-BE49-F238E27FC236}">
                <a16:creationId xmlns:a16="http://schemas.microsoft.com/office/drawing/2014/main" id="{00000000-0008-0000-0200-0000A2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11" name="Rectangle 236">
            <a:extLst>
              <a:ext uri="{FF2B5EF4-FFF2-40B4-BE49-F238E27FC236}">
                <a16:creationId xmlns:a16="http://schemas.microsoft.com/office/drawing/2014/main" id="{00000000-0008-0000-0200-0000A3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12" name="Rectangle 237">
            <a:extLst>
              <a:ext uri="{FF2B5EF4-FFF2-40B4-BE49-F238E27FC236}">
                <a16:creationId xmlns:a16="http://schemas.microsoft.com/office/drawing/2014/main" id="{00000000-0008-0000-0200-0000A4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13" name="Line 238">
            <a:extLst>
              <a:ext uri="{FF2B5EF4-FFF2-40B4-BE49-F238E27FC236}">
                <a16:creationId xmlns:a16="http://schemas.microsoft.com/office/drawing/2014/main" id="{00000000-0008-0000-0200-0000A5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14" name="Line 239">
            <a:extLst>
              <a:ext uri="{FF2B5EF4-FFF2-40B4-BE49-F238E27FC236}">
                <a16:creationId xmlns:a16="http://schemas.microsoft.com/office/drawing/2014/main" id="{00000000-0008-0000-0200-0000A6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15" name="Line 240">
            <a:extLst>
              <a:ext uri="{FF2B5EF4-FFF2-40B4-BE49-F238E27FC236}">
                <a16:creationId xmlns:a16="http://schemas.microsoft.com/office/drawing/2014/main" id="{00000000-0008-0000-0200-0000A7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69" name="Group 241">
          <a:extLst>
            <a:ext uri="{FF2B5EF4-FFF2-40B4-BE49-F238E27FC236}">
              <a16:creationId xmlns:a16="http://schemas.microsoft.com/office/drawing/2014/main" id="{00000000-0008-0000-0200-000029691200}"/>
            </a:ext>
          </a:extLst>
        </xdr:cNvPr>
        <xdr:cNvGrpSpPr>
          <a:grpSpLocks/>
        </xdr:cNvGrpSpPr>
      </xdr:nvGrpSpPr>
      <xdr:grpSpPr bwMode="auto">
        <a:xfrm>
          <a:off x="7581900" y="1308100"/>
          <a:ext cx="0" cy="673100"/>
          <a:chOff x="632" y="220"/>
          <a:chExt cx="195" cy="136"/>
        </a:xfrm>
      </xdr:grpSpPr>
      <xdr:sp macro="" textlink="">
        <xdr:nvSpPr>
          <xdr:cNvPr id="1211802" name="Rectangle 242">
            <a:extLst>
              <a:ext uri="{FF2B5EF4-FFF2-40B4-BE49-F238E27FC236}">
                <a16:creationId xmlns:a16="http://schemas.microsoft.com/office/drawing/2014/main" id="{00000000-0008-0000-0200-00009A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03" name="Rectangle 243">
            <a:extLst>
              <a:ext uri="{FF2B5EF4-FFF2-40B4-BE49-F238E27FC236}">
                <a16:creationId xmlns:a16="http://schemas.microsoft.com/office/drawing/2014/main" id="{00000000-0008-0000-0200-00009B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04" name="Rectangle 244">
            <a:extLst>
              <a:ext uri="{FF2B5EF4-FFF2-40B4-BE49-F238E27FC236}">
                <a16:creationId xmlns:a16="http://schemas.microsoft.com/office/drawing/2014/main" id="{00000000-0008-0000-0200-00009C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05" name="Rectangle 245">
            <a:extLst>
              <a:ext uri="{FF2B5EF4-FFF2-40B4-BE49-F238E27FC236}">
                <a16:creationId xmlns:a16="http://schemas.microsoft.com/office/drawing/2014/main" id="{00000000-0008-0000-0200-00009D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06" name="Line 246">
            <a:extLst>
              <a:ext uri="{FF2B5EF4-FFF2-40B4-BE49-F238E27FC236}">
                <a16:creationId xmlns:a16="http://schemas.microsoft.com/office/drawing/2014/main" id="{00000000-0008-0000-0200-00009E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07" name="Line 247">
            <a:extLst>
              <a:ext uri="{FF2B5EF4-FFF2-40B4-BE49-F238E27FC236}">
                <a16:creationId xmlns:a16="http://schemas.microsoft.com/office/drawing/2014/main" id="{00000000-0008-0000-0200-00009F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08" name="Line 248">
            <a:extLst>
              <a:ext uri="{FF2B5EF4-FFF2-40B4-BE49-F238E27FC236}">
                <a16:creationId xmlns:a16="http://schemas.microsoft.com/office/drawing/2014/main" id="{00000000-0008-0000-0200-0000A0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70" name="Group 249">
          <a:extLst>
            <a:ext uri="{FF2B5EF4-FFF2-40B4-BE49-F238E27FC236}">
              <a16:creationId xmlns:a16="http://schemas.microsoft.com/office/drawing/2014/main" id="{00000000-0008-0000-0200-00002A691200}"/>
            </a:ext>
          </a:extLst>
        </xdr:cNvPr>
        <xdr:cNvGrpSpPr>
          <a:grpSpLocks/>
        </xdr:cNvGrpSpPr>
      </xdr:nvGrpSpPr>
      <xdr:grpSpPr bwMode="auto">
        <a:xfrm>
          <a:off x="7581900" y="1308100"/>
          <a:ext cx="0" cy="673100"/>
          <a:chOff x="632" y="220"/>
          <a:chExt cx="195" cy="136"/>
        </a:xfrm>
      </xdr:grpSpPr>
      <xdr:sp macro="" textlink="">
        <xdr:nvSpPr>
          <xdr:cNvPr id="1211795" name="Rectangle 250">
            <a:extLst>
              <a:ext uri="{FF2B5EF4-FFF2-40B4-BE49-F238E27FC236}">
                <a16:creationId xmlns:a16="http://schemas.microsoft.com/office/drawing/2014/main" id="{00000000-0008-0000-0200-000093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96" name="Rectangle 251">
            <a:extLst>
              <a:ext uri="{FF2B5EF4-FFF2-40B4-BE49-F238E27FC236}">
                <a16:creationId xmlns:a16="http://schemas.microsoft.com/office/drawing/2014/main" id="{00000000-0008-0000-0200-000094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97" name="Rectangle 252">
            <a:extLst>
              <a:ext uri="{FF2B5EF4-FFF2-40B4-BE49-F238E27FC236}">
                <a16:creationId xmlns:a16="http://schemas.microsoft.com/office/drawing/2014/main" id="{00000000-0008-0000-0200-000095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98" name="Rectangle 253">
            <a:extLst>
              <a:ext uri="{FF2B5EF4-FFF2-40B4-BE49-F238E27FC236}">
                <a16:creationId xmlns:a16="http://schemas.microsoft.com/office/drawing/2014/main" id="{00000000-0008-0000-0200-000096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99" name="Line 254">
            <a:extLst>
              <a:ext uri="{FF2B5EF4-FFF2-40B4-BE49-F238E27FC236}">
                <a16:creationId xmlns:a16="http://schemas.microsoft.com/office/drawing/2014/main" id="{00000000-0008-0000-0200-000097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00" name="Line 255">
            <a:extLst>
              <a:ext uri="{FF2B5EF4-FFF2-40B4-BE49-F238E27FC236}">
                <a16:creationId xmlns:a16="http://schemas.microsoft.com/office/drawing/2014/main" id="{00000000-0008-0000-0200-000098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01" name="Line 256">
            <a:extLst>
              <a:ext uri="{FF2B5EF4-FFF2-40B4-BE49-F238E27FC236}">
                <a16:creationId xmlns:a16="http://schemas.microsoft.com/office/drawing/2014/main" id="{00000000-0008-0000-0200-000099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71" name="Group 257">
          <a:extLst>
            <a:ext uri="{FF2B5EF4-FFF2-40B4-BE49-F238E27FC236}">
              <a16:creationId xmlns:a16="http://schemas.microsoft.com/office/drawing/2014/main" id="{00000000-0008-0000-0200-00002B691200}"/>
            </a:ext>
          </a:extLst>
        </xdr:cNvPr>
        <xdr:cNvGrpSpPr>
          <a:grpSpLocks/>
        </xdr:cNvGrpSpPr>
      </xdr:nvGrpSpPr>
      <xdr:grpSpPr bwMode="auto">
        <a:xfrm>
          <a:off x="7581900" y="1308100"/>
          <a:ext cx="0" cy="673100"/>
          <a:chOff x="632" y="220"/>
          <a:chExt cx="195" cy="136"/>
        </a:xfrm>
      </xdr:grpSpPr>
      <xdr:sp macro="" textlink="">
        <xdr:nvSpPr>
          <xdr:cNvPr id="1211788" name="Rectangle 258">
            <a:extLst>
              <a:ext uri="{FF2B5EF4-FFF2-40B4-BE49-F238E27FC236}">
                <a16:creationId xmlns:a16="http://schemas.microsoft.com/office/drawing/2014/main" id="{00000000-0008-0000-0200-00008C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89" name="Rectangle 259">
            <a:extLst>
              <a:ext uri="{FF2B5EF4-FFF2-40B4-BE49-F238E27FC236}">
                <a16:creationId xmlns:a16="http://schemas.microsoft.com/office/drawing/2014/main" id="{00000000-0008-0000-0200-00008D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90" name="Rectangle 260">
            <a:extLst>
              <a:ext uri="{FF2B5EF4-FFF2-40B4-BE49-F238E27FC236}">
                <a16:creationId xmlns:a16="http://schemas.microsoft.com/office/drawing/2014/main" id="{00000000-0008-0000-0200-00008E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91" name="Rectangle 261">
            <a:extLst>
              <a:ext uri="{FF2B5EF4-FFF2-40B4-BE49-F238E27FC236}">
                <a16:creationId xmlns:a16="http://schemas.microsoft.com/office/drawing/2014/main" id="{00000000-0008-0000-0200-00008F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92" name="Line 262">
            <a:extLst>
              <a:ext uri="{FF2B5EF4-FFF2-40B4-BE49-F238E27FC236}">
                <a16:creationId xmlns:a16="http://schemas.microsoft.com/office/drawing/2014/main" id="{00000000-0008-0000-0200-000090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93" name="Line 263">
            <a:extLst>
              <a:ext uri="{FF2B5EF4-FFF2-40B4-BE49-F238E27FC236}">
                <a16:creationId xmlns:a16="http://schemas.microsoft.com/office/drawing/2014/main" id="{00000000-0008-0000-0200-000091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94" name="Line 264">
            <a:extLst>
              <a:ext uri="{FF2B5EF4-FFF2-40B4-BE49-F238E27FC236}">
                <a16:creationId xmlns:a16="http://schemas.microsoft.com/office/drawing/2014/main" id="{00000000-0008-0000-0200-000092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72" name="Group 265">
          <a:extLst>
            <a:ext uri="{FF2B5EF4-FFF2-40B4-BE49-F238E27FC236}">
              <a16:creationId xmlns:a16="http://schemas.microsoft.com/office/drawing/2014/main" id="{00000000-0008-0000-0200-00002C691200}"/>
            </a:ext>
          </a:extLst>
        </xdr:cNvPr>
        <xdr:cNvGrpSpPr>
          <a:grpSpLocks/>
        </xdr:cNvGrpSpPr>
      </xdr:nvGrpSpPr>
      <xdr:grpSpPr bwMode="auto">
        <a:xfrm>
          <a:off x="7581900" y="1308100"/>
          <a:ext cx="0" cy="673100"/>
          <a:chOff x="632" y="220"/>
          <a:chExt cx="195" cy="136"/>
        </a:xfrm>
      </xdr:grpSpPr>
      <xdr:sp macro="" textlink="">
        <xdr:nvSpPr>
          <xdr:cNvPr id="1211781" name="Rectangle 266">
            <a:extLst>
              <a:ext uri="{FF2B5EF4-FFF2-40B4-BE49-F238E27FC236}">
                <a16:creationId xmlns:a16="http://schemas.microsoft.com/office/drawing/2014/main" id="{00000000-0008-0000-0200-000085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82" name="Rectangle 267">
            <a:extLst>
              <a:ext uri="{FF2B5EF4-FFF2-40B4-BE49-F238E27FC236}">
                <a16:creationId xmlns:a16="http://schemas.microsoft.com/office/drawing/2014/main" id="{00000000-0008-0000-0200-000086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83" name="Rectangle 268">
            <a:extLst>
              <a:ext uri="{FF2B5EF4-FFF2-40B4-BE49-F238E27FC236}">
                <a16:creationId xmlns:a16="http://schemas.microsoft.com/office/drawing/2014/main" id="{00000000-0008-0000-0200-000087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84" name="Rectangle 269">
            <a:extLst>
              <a:ext uri="{FF2B5EF4-FFF2-40B4-BE49-F238E27FC236}">
                <a16:creationId xmlns:a16="http://schemas.microsoft.com/office/drawing/2014/main" id="{00000000-0008-0000-0200-000088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85" name="Line 270">
            <a:extLst>
              <a:ext uri="{FF2B5EF4-FFF2-40B4-BE49-F238E27FC236}">
                <a16:creationId xmlns:a16="http://schemas.microsoft.com/office/drawing/2014/main" id="{00000000-0008-0000-0200-000089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86" name="Line 271">
            <a:extLst>
              <a:ext uri="{FF2B5EF4-FFF2-40B4-BE49-F238E27FC236}">
                <a16:creationId xmlns:a16="http://schemas.microsoft.com/office/drawing/2014/main" id="{00000000-0008-0000-0200-00008A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87" name="Line 272">
            <a:extLst>
              <a:ext uri="{FF2B5EF4-FFF2-40B4-BE49-F238E27FC236}">
                <a16:creationId xmlns:a16="http://schemas.microsoft.com/office/drawing/2014/main" id="{00000000-0008-0000-0200-00008B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73" name="Group 273">
          <a:extLst>
            <a:ext uri="{FF2B5EF4-FFF2-40B4-BE49-F238E27FC236}">
              <a16:creationId xmlns:a16="http://schemas.microsoft.com/office/drawing/2014/main" id="{00000000-0008-0000-0200-00002D691200}"/>
            </a:ext>
          </a:extLst>
        </xdr:cNvPr>
        <xdr:cNvGrpSpPr>
          <a:grpSpLocks/>
        </xdr:cNvGrpSpPr>
      </xdr:nvGrpSpPr>
      <xdr:grpSpPr bwMode="auto">
        <a:xfrm>
          <a:off x="7581900" y="1308100"/>
          <a:ext cx="0" cy="673100"/>
          <a:chOff x="632" y="220"/>
          <a:chExt cx="195" cy="136"/>
        </a:xfrm>
      </xdr:grpSpPr>
      <xdr:sp macro="" textlink="">
        <xdr:nvSpPr>
          <xdr:cNvPr id="1211774" name="Rectangle 274">
            <a:extLst>
              <a:ext uri="{FF2B5EF4-FFF2-40B4-BE49-F238E27FC236}">
                <a16:creationId xmlns:a16="http://schemas.microsoft.com/office/drawing/2014/main" id="{00000000-0008-0000-0200-00007E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75" name="Rectangle 275">
            <a:extLst>
              <a:ext uri="{FF2B5EF4-FFF2-40B4-BE49-F238E27FC236}">
                <a16:creationId xmlns:a16="http://schemas.microsoft.com/office/drawing/2014/main" id="{00000000-0008-0000-0200-00007F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76" name="Rectangle 276">
            <a:extLst>
              <a:ext uri="{FF2B5EF4-FFF2-40B4-BE49-F238E27FC236}">
                <a16:creationId xmlns:a16="http://schemas.microsoft.com/office/drawing/2014/main" id="{00000000-0008-0000-0200-000080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77" name="Rectangle 277">
            <a:extLst>
              <a:ext uri="{FF2B5EF4-FFF2-40B4-BE49-F238E27FC236}">
                <a16:creationId xmlns:a16="http://schemas.microsoft.com/office/drawing/2014/main" id="{00000000-0008-0000-0200-000081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78" name="Line 278">
            <a:extLst>
              <a:ext uri="{FF2B5EF4-FFF2-40B4-BE49-F238E27FC236}">
                <a16:creationId xmlns:a16="http://schemas.microsoft.com/office/drawing/2014/main" id="{00000000-0008-0000-0200-000082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79" name="Line 279">
            <a:extLst>
              <a:ext uri="{FF2B5EF4-FFF2-40B4-BE49-F238E27FC236}">
                <a16:creationId xmlns:a16="http://schemas.microsoft.com/office/drawing/2014/main" id="{00000000-0008-0000-0200-000083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80" name="Line 280">
            <a:extLst>
              <a:ext uri="{FF2B5EF4-FFF2-40B4-BE49-F238E27FC236}">
                <a16:creationId xmlns:a16="http://schemas.microsoft.com/office/drawing/2014/main" id="{00000000-0008-0000-0200-000084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74" name="Group 281">
          <a:extLst>
            <a:ext uri="{FF2B5EF4-FFF2-40B4-BE49-F238E27FC236}">
              <a16:creationId xmlns:a16="http://schemas.microsoft.com/office/drawing/2014/main" id="{00000000-0008-0000-0200-00002E691200}"/>
            </a:ext>
          </a:extLst>
        </xdr:cNvPr>
        <xdr:cNvGrpSpPr>
          <a:grpSpLocks/>
        </xdr:cNvGrpSpPr>
      </xdr:nvGrpSpPr>
      <xdr:grpSpPr bwMode="auto">
        <a:xfrm>
          <a:off x="7581900" y="1308100"/>
          <a:ext cx="0" cy="673100"/>
          <a:chOff x="632" y="220"/>
          <a:chExt cx="195" cy="136"/>
        </a:xfrm>
      </xdr:grpSpPr>
      <xdr:sp macro="" textlink="">
        <xdr:nvSpPr>
          <xdr:cNvPr id="1211767" name="Rectangle 282">
            <a:extLst>
              <a:ext uri="{FF2B5EF4-FFF2-40B4-BE49-F238E27FC236}">
                <a16:creationId xmlns:a16="http://schemas.microsoft.com/office/drawing/2014/main" id="{00000000-0008-0000-0200-000077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68" name="Rectangle 283">
            <a:extLst>
              <a:ext uri="{FF2B5EF4-FFF2-40B4-BE49-F238E27FC236}">
                <a16:creationId xmlns:a16="http://schemas.microsoft.com/office/drawing/2014/main" id="{00000000-0008-0000-0200-000078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69" name="Rectangle 284">
            <a:extLst>
              <a:ext uri="{FF2B5EF4-FFF2-40B4-BE49-F238E27FC236}">
                <a16:creationId xmlns:a16="http://schemas.microsoft.com/office/drawing/2014/main" id="{00000000-0008-0000-0200-000079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70" name="Rectangle 285">
            <a:extLst>
              <a:ext uri="{FF2B5EF4-FFF2-40B4-BE49-F238E27FC236}">
                <a16:creationId xmlns:a16="http://schemas.microsoft.com/office/drawing/2014/main" id="{00000000-0008-0000-0200-00007A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71" name="Line 286">
            <a:extLst>
              <a:ext uri="{FF2B5EF4-FFF2-40B4-BE49-F238E27FC236}">
                <a16:creationId xmlns:a16="http://schemas.microsoft.com/office/drawing/2014/main" id="{00000000-0008-0000-0200-00007B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72" name="Line 287">
            <a:extLst>
              <a:ext uri="{FF2B5EF4-FFF2-40B4-BE49-F238E27FC236}">
                <a16:creationId xmlns:a16="http://schemas.microsoft.com/office/drawing/2014/main" id="{00000000-0008-0000-0200-00007C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73" name="Line 288">
            <a:extLst>
              <a:ext uri="{FF2B5EF4-FFF2-40B4-BE49-F238E27FC236}">
                <a16:creationId xmlns:a16="http://schemas.microsoft.com/office/drawing/2014/main" id="{00000000-0008-0000-0200-00007D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4</xdr:col>
      <xdr:colOff>0</xdr:colOff>
      <xdr:row>2</xdr:row>
      <xdr:rowOff>165100</xdr:rowOff>
    </xdr:from>
    <xdr:to>
      <xdr:col>4</xdr:col>
      <xdr:colOff>0</xdr:colOff>
      <xdr:row>3</xdr:row>
      <xdr:rowOff>0</xdr:rowOff>
    </xdr:to>
    <xdr:grpSp>
      <xdr:nvGrpSpPr>
        <xdr:cNvPr id="1206575" name="Group 289">
          <a:extLst>
            <a:ext uri="{FF2B5EF4-FFF2-40B4-BE49-F238E27FC236}">
              <a16:creationId xmlns:a16="http://schemas.microsoft.com/office/drawing/2014/main" id="{00000000-0008-0000-0200-00002F691200}"/>
            </a:ext>
          </a:extLst>
        </xdr:cNvPr>
        <xdr:cNvGrpSpPr>
          <a:grpSpLocks/>
        </xdr:cNvGrpSpPr>
      </xdr:nvGrpSpPr>
      <xdr:grpSpPr bwMode="auto">
        <a:xfrm>
          <a:off x="5397500" y="1295400"/>
          <a:ext cx="0" cy="685800"/>
          <a:chOff x="220" y="176"/>
          <a:chExt cx="556" cy="247"/>
        </a:xfrm>
      </xdr:grpSpPr>
      <xdr:sp macro="" textlink="">
        <xdr:nvSpPr>
          <xdr:cNvPr id="1211744" name="Rectangle 290">
            <a:extLst>
              <a:ext uri="{FF2B5EF4-FFF2-40B4-BE49-F238E27FC236}">
                <a16:creationId xmlns:a16="http://schemas.microsoft.com/office/drawing/2014/main" id="{00000000-0008-0000-0200-0000607D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45" name="Line 291">
            <a:extLst>
              <a:ext uri="{FF2B5EF4-FFF2-40B4-BE49-F238E27FC236}">
                <a16:creationId xmlns:a16="http://schemas.microsoft.com/office/drawing/2014/main" id="{00000000-0008-0000-0200-0000617D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46" name="Line 292">
            <a:extLst>
              <a:ext uri="{FF2B5EF4-FFF2-40B4-BE49-F238E27FC236}">
                <a16:creationId xmlns:a16="http://schemas.microsoft.com/office/drawing/2014/main" id="{00000000-0008-0000-0200-0000627D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47" name="Rectangle 293">
            <a:extLst>
              <a:ext uri="{FF2B5EF4-FFF2-40B4-BE49-F238E27FC236}">
                <a16:creationId xmlns:a16="http://schemas.microsoft.com/office/drawing/2014/main" id="{00000000-0008-0000-0200-0000637D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48" name="Oval 294">
            <a:extLst>
              <a:ext uri="{FF2B5EF4-FFF2-40B4-BE49-F238E27FC236}">
                <a16:creationId xmlns:a16="http://schemas.microsoft.com/office/drawing/2014/main" id="{00000000-0008-0000-0200-0000647D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49" name="Oval 295">
            <a:extLst>
              <a:ext uri="{FF2B5EF4-FFF2-40B4-BE49-F238E27FC236}">
                <a16:creationId xmlns:a16="http://schemas.microsoft.com/office/drawing/2014/main" id="{00000000-0008-0000-0200-0000657D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50" name="Rectangle 296">
            <a:extLst>
              <a:ext uri="{FF2B5EF4-FFF2-40B4-BE49-F238E27FC236}">
                <a16:creationId xmlns:a16="http://schemas.microsoft.com/office/drawing/2014/main" id="{00000000-0008-0000-0200-0000667D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51" name="Rectangle 297">
            <a:extLst>
              <a:ext uri="{FF2B5EF4-FFF2-40B4-BE49-F238E27FC236}">
                <a16:creationId xmlns:a16="http://schemas.microsoft.com/office/drawing/2014/main" id="{00000000-0008-0000-0200-0000677D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52" name="Rectangle 298">
            <a:extLst>
              <a:ext uri="{FF2B5EF4-FFF2-40B4-BE49-F238E27FC236}">
                <a16:creationId xmlns:a16="http://schemas.microsoft.com/office/drawing/2014/main" id="{00000000-0008-0000-0200-0000687D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53" name="Rectangle 299">
            <a:extLst>
              <a:ext uri="{FF2B5EF4-FFF2-40B4-BE49-F238E27FC236}">
                <a16:creationId xmlns:a16="http://schemas.microsoft.com/office/drawing/2014/main" id="{00000000-0008-0000-0200-0000697D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1754" name="Group 300">
            <a:extLst>
              <a:ext uri="{FF2B5EF4-FFF2-40B4-BE49-F238E27FC236}">
                <a16:creationId xmlns:a16="http://schemas.microsoft.com/office/drawing/2014/main" id="{00000000-0008-0000-0200-00006A7D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1757" name="Rectangle 301">
              <a:extLst>
                <a:ext uri="{FF2B5EF4-FFF2-40B4-BE49-F238E27FC236}">
                  <a16:creationId xmlns:a16="http://schemas.microsoft.com/office/drawing/2014/main" id="{00000000-0008-0000-0200-00006D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58" name="Line 302">
              <a:extLst>
                <a:ext uri="{FF2B5EF4-FFF2-40B4-BE49-F238E27FC236}">
                  <a16:creationId xmlns:a16="http://schemas.microsoft.com/office/drawing/2014/main" id="{00000000-0008-0000-0200-00006E7D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59" name="Line 303">
              <a:extLst>
                <a:ext uri="{FF2B5EF4-FFF2-40B4-BE49-F238E27FC236}">
                  <a16:creationId xmlns:a16="http://schemas.microsoft.com/office/drawing/2014/main" id="{00000000-0008-0000-0200-00006F7D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60" name="Rectangle 304">
              <a:extLst>
                <a:ext uri="{FF2B5EF4-FFF2-40B4-BE49-F238E27FC236}">
                  <a16:creationId xmlns:a16="http://schemas.microsoft.com/office/drawing/2014/main" id="{00000000-0008-0000-0200-000070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61" name="Oval 305">
              <a:extLst>
                <a:ext uri="{FF2B5EF4-FFF2-40B4-BE49-F238E27FC236}">
                  <a16:creationId xmlns:a16="http://schemas.microsoft.com/office/drawing/2014/main" id="{00000000-0008-0000-0200-000071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62" name="Oval 306">
              <a:extLst>
                <a:ext uri="{FF2B5EF4-FFF2-40B4-BE49-F238E27FC236}">
                  <a16:creationId xmlns:a16="http://schemas.microsoft.com/office/drawing/2014/main" id="{00000000-0008-0000-0200-000072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63" name="Rectangle 307">
              <a:extLst>
                <a:ext uri="{FF2B5EF4-FFF2-40B4-BE49-F238E27FC236}">
                  <a16:creationId xmlns:a16="http://schemas.microsoft.com/office/drawing/2014/main" id="{00000000-0008-0000-0200-000073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64" name="Rectangle 308">
              <a:extLst>
                <a:ext uri="{FF2B5EF4-FFF2-40B4-BE49-F238E27FC236}">
                  <a16:creationId xmlns:a16="http://schemas.microsoft.com/office/drawing/2014/main" id="{00000000-0008-0000-0200-000074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65" name="Rectangle 309">
              <a:extLst>
                <a:ext uri="{FF2B5EF4-FFF2-40B4-BE49-F238E27FC236}">
                  <a16:creationId xmlns:a16="http://schemas.microsoft.com/office/drawing/2014/main" id="{00000000-0008-0000-0200-000075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66" name="Rectangle 310">
              <a:extLst>
                <a:ext uri="{FF2B5EF4-FFF2-40B4-BE49-F238E27FC236}">
                  <a16:creationId xmlns:a16="http://schemas.microsoft.com/office/drawing/2014/main" id="{00000000-0008-0000-0200-000076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1755" name="Rectangle 311">
            <a:extLst>
              <a:ext uri="{FF2B5EF4-FFF2-40B4-BE49-F238E27FC236}">
                <a16:creationId xmlns:a16="http://schemas.microsoft.com/office/drawing/2014/main" id="{00000000-0008-0000-0200-00006B7D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56" name="Rectangle 312">
            <a:extLst>
              <a:ext uri="{FF2B5EF4-FFF2-40B4-BE49-F238E27FC236}">
                <a16:creationId xmlns:a16="http://schemas.microsoft.com/office/drawing/2014/main" id="{00000000-0008-0000-0200-00006C7D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06576" name="Group 313">
          <a:extLst>
            <a:ext uri="{FF2B5EF4-FFF2-40B4-BE49-F238E27FC236}">
              <a16:creationId xmlns:a16="http://schemas.microsoft.com/office/drawing/2014/main" id="{00000000-0008-0000-0200-000030691200}"/>
            </a:ext>
          </a:extLst>
        </xdr:cNvPr>
        <xdr:cNvGrpSpPr>
          <a:grpSpLocks/>
        </xdr:cNvGrpSpPr>
      </xdr:nvGrpSpPr>
      <xdr:grpSpPr bwMode="auto">
        <a:xfrm>
          <a:off x="7581900" y="1295400"/>
          <a:ext cx="0" cy="685800"/>
          <a:chOff x="220" y="176"/>
          <a:chExt cx="556" cy="247"/>
        </a:xfrm>
      </xdr:grpSpPr>
      <xdr:sp macro="" textlink="">
        <xdr:nvSpPr>
          <xdr:cNvPr id="1211721" name="Rectangle 314">
            <a:extLst>
              <a:ext uri="{FF2B5EF4-FFF2-40B4-BE49-F238E27FC236}">
                <a16:creationId xmlns:a16="http://schemas.microsoft.com/office/drawing/2014/main" id="{00000000-0008-0000-0200-0000497D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22" name="Line 315">
            <a:extLst>
              <a:ext uri="{FF2B5EF4-FFF2-40B4-BE49-F238E27FC236}">
                <a16:creationId xmlns:a16="http://schemas.microsoft.com/office/drawing/2014/main" id="{00000000-0008-0000-0200-00004A7D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23" name="Line 316">
            <a:extLst>
              <a:ext uri="{FF2B5EF4-FFF2-40B4-BE49-F238E27FC236}">
                <a16:creationId xmlns:a16="http://schemas.microsoft.com/office/drawing/2014/main" id="{00000000-0008-0000-0200-00004B7D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24" name="Rectangle 317">
            <a:extLst>
              <a:ext uri="{FF2B5EF4-FFF2-40B4-BE49-F238E27FC236}">
                <a16:creationId xmlns:a16="http://schemas.microsoft.com/office/drawing/2014/main" id="{00000000-0008-0000-0200-00004C7D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25" name="Oval 318">
            <a:extLst>
              <a:ext uri="{FF2B5EF4-FFF2-40B4-BE49-F238E27FC236}">
                <a16:creationId xmlns:a16="http://schemas.microsoft.com/office/drawing/2014/main" id="{00000000-0008-0000-0200-00004D7D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26" name="Oval 319">
            <a:extLst>
              <a:ext uri="{FF2B5EF4-FFF2-40B4-BE49-F238E27FC236}">
                <a16:creationId xmlns:a16="http://schemas.microsoft.com/office/drawing/2014/main" id="{00000000-0008-0000-0200-00004E7D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27" name="Rectangle 320">
            <a:extLst>
              <a:ext uri="{FF2B5EF4-FFF2-40B4-BE49-F238E27FC236}">
                <a16:creationId xmlns:a16="http://schemas.microsoft.com/office/drawing/2014/main" id="{00000000-0008-0000-0200-00004F7D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28" name="Rectangle 321">
            <a:extLst>
              <a:ext uri="{FF2B5EF4-FFF2-40B4-BE49-F238E27FC236}">
                <a16:creationId xmlns:a16="http://schemas.microsoft.com/office/drawing/2014/main" id="{00000000-0008-0000-0200-0000507D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29" name="Rectangle 322">
            <a:extLst>
              <a:ext uri="{FF2B5EF4-FFF2-40B4-BE49-F238E27FC236}">
                <a16:creationId xmlns:a16="http://schemas.microsoft.com/office/drawing/2014/main" id="{00000000-0008-0000-0200-0000517D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30" name="Rectangle 323">
            <a:extLst>
              <a:ext uri="{FF2B5EF4-FFF2-40B4-BE49-F238E27FC236}">
                <a16:creationId xmlns:a16="http://schemas.microsoft.com/office/drawing/2014/main" id="{00000000-0008-0000-0200-0000527D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1731" name="Group 324">
            <a:extLst>
              <a:ext uri="{FF2B5EF4-FFF2-40B4-BE49-F238E27FC236}">
                <a16:creationId xmlns:a16="http://schemas.microsoft.com/office/drawing/2014/main" id="{00000000-0008-0000-0200-0000537D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1734" name="Rectangle 325">
              <a:extLst>
                <a:ext uri="{FF2B5EF4-FFF2-40B4-BE49-F238E27FC236}">
                  <a16:creationId xmlns:a16="http://schemas.microsoft.com/office/drawing/2014/main" id="{00000000-0008-0000-0200-000056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35" name="Line 326">
              <a:extLst>
                <a:ext uri="{FF2B5EF4-FFF2-40B4-BE49-F238E27FC236}">
                  <a16:creationId xmlns:a16="http://schemas.microsoft.com/office/drawing/2014/main" id="{00000000-0008-0000-0200-0000577D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36" name="Line 327">
              <a:extLst>
                <a:ext uri="{FF2B5EF4-FFF2-40B4-BE49-F238E27FC236}">
                  <a16:creationId xmlns:a16="http://schemas.microsoft.com/office/drawing/2014/main" id="{00000000-0008-0000-0200-0000587D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37" name="Rectangle 328">
              <a:extLst>
                <a:ext uri="{FF2B5EF4-FFF2-40B4-BE49-F238E27FC236}">
                  <a16:creationId xmlns:a16="http://schemas.microsoft.com/office/drawing/2014/main" id="{00000000-0008-0000-0200-000059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38" name="Oval 329">
              <a:extLst>
                <a:ext uri="{FF2B5EF4-FFF2-40B4-BE49-F238E27FC236}">
                  <a16:creationId xmlns:a16="http://schemas.microsoft.com/office/drawing/2014/main" id="{00000000-0008-0000-0200-00005A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39" name="Oval 330">
              <a:extLst>
                <a:ext uri="{FF2B5EF4-FFF2-40B4-BE49-F238E27FC236}">
                  <a16:creationId xmlns:a16="http://schemas.microsoft.com/office/drawing/2014/main" id="{00000000-0008-0000-0200-00005B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40" name="Rectangle 331">
              <a:extLst>
                <a:ext uri="{FF2B5EF4-FFF2-40B4-BE49-F238E27FC236}">
                  <a16:creationId xmlns:a16="http://schemas.microsoft.com/office/drawing/2014/main" id="{00000000-0008-0000-0200-00005C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41" name="Rectangle 332">
              <a:extLst>
                <a:ext uri="{FF2B5EF4-FFF2-40B4-BE49-F238E27FC236}">
                  <a16:creationId xmlns:a16="http://schemas.microsoft.com/office/drawing/2014/main" id="{00000000-0008-0000-0200-00005D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42" name="Rectangle 333">
              <a:extLst>
                <a:ext uri="{FF2B5EF4-FFF2-40B4-BE49-F238E27FC236}">
                  <a16:creationId xmlns:a16="http://schemas.microsoft.com/office/drawing/2014/main" id="{00000000-0008-0000-0200-00005E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43" name="Rectangle 334">
              <a:extLst>
                <a:ext uri="{FF2B5EF4-FFF2-40B4-BE49-F238E27FC236}">
                  <a16:creationId xmlns:a16="http://schemas.microsoft.com/office/drawing/2014/main" id="{00000000-0008-0000-0200-00005F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1732" name="Rectangle 335">
            <a:extLst>
              <a:ext uri="{FF2B5EF4-FFF2-40B4-BE49-F238E27FC236}">
                <a16:creationId xmlns:a16="http://schemas.microsoft.com/office/drawing/2014/main" id="{00000000-0008-0000-0200-0000547D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33" name="Rectangle 336">
            <a:extLst>
              <a:ext uri="{FF2B5EF4-FFF2-40B4-BE49-F238E27FC236}">
                <a16:creationId xmlns:a16="http://schemas.microsoft.com/office/drawing/2014/main" id="{00000000-0008-0000-0200-0000557D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06577" name="Group 337">
          <a:extLst>
            <a:ext uri="{FF2B5EF4-FFF2-40B4-BE49-F238E27FC236}">
              <a16:creationId xmlns:a16="http://schemas.microsoft.com/office/drawing/2014/main" id="{00000000-0008-0000-0200-000031691200}"/>
            </a:ext>
          </a:extLst>
        </xdr:cNvPr>
        <xdr:cNvGrpSpPr>
          <a:grpSpLocks/>
        </xdr:cNvGrpSpPr>
      </xdr:nvGrpSpPr>
      <xdr:grpSpPr bwMode="auto">
        <a:xfrm>
          <a:off x="7581900" y="1295400"/>
          <a:ext cx="0" cy="685800"/>
          <a:chOff x="220" y="176"/>
          <a:chExt cx="556" cy="247"/>
        </a:xfrm>
      </xdr:grpSpPr>
      <xdr:sp macro="" textlink="">
        <xdr:nvSpPr>
          <xdr:cNvPr id="1211698" name="Rectangle 338">
            <a:extLst>
              <a:ext uri="{FF2B5EF4-FFF2-40B4-BE49-F238E27FC236}">
                <a16:creationId xmlns:a16="http://schemas.microsoft.com/office/drawing/2014/main" id="{00000000-0008-0000-0200-0000327D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99" name="Line 339">
            <a:extLst>
              <a:ext uri="{FF2B5EF4-FFF2-40B4-BE49-F238E27FC236}">
                <a16:creationId xmlns:a16="http://schemas.microsoft.com/office/drawing/2014/main" id="{00000000-0008-0000-0200-0000337D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00" name="Line 340">
            <a:extLst>
              <a:ext uri="{FF2B5EF4-FFF2-40B4-BE49-F238E27FC236}">
                <a16:creationId xmlns:a16="http://schemas.microsoft.com/office/drawing/2014/main" id="{00000000-0008-0000-0200-0000347D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01" name="Rectangle 341">
            <a:extLst>
              <a:ext uri="{FF2B5EF4-FFF2-40B4-BE49-F238E27FC236}">
                <a16:creationId xmlns:a16="http://schemas.microsoft.com/office/drawing/2014/main" id="{00000000-0008-0000-0200-0000357D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02" name="Oval 342">
            <a:extLst>
              <a:ext uri="{FF2B5EF4-FFF2-40B4-BE49-F238E27FC236}">
                <a16:creationId xmlns:a16="http://schemas.microsoft.com/office/drawing/2014/main" id="{00000000-0008-0000-0200-0000367D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03" name="Oval 343">
            <a:extLst>
              <a:ext uri="{FF2B5EF4-FFF2-40B4-BE49-F238E27FC236}">
                <a16:creationId xmlns:a16="http://schemas.microsoft.com/office/drawing/2014/main" id="{00000000-0008-0000-0200-0000377D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04" name="Rectangle 344">
            <a:extLst>
              <a:ext uri="{FF2B5EF4-FFF2-40B4-BE49-F238E27FC236}">
                <a16:creationId xmlns:a16="http://schemas.microsoft.com/office/drawing/2014/main" id="{00000000-0008-0000-0200-0000387D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05" name="Rectangle 345">
            <a:extLst>
              <a:ext uri="{FF2B5EF4-FFF2-40B4-BE49-F238E27FC236}">
                <a16:creationId xmlns:a16="http://schemas.microsoft.com/office/drawing/2014/main" id="{00000000-0008-0000-0200-0000397D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06" name="Rectangle 346">
            <a:extLst>
              <a:ext uri="{FF2B5EF4-FFF2-40B4-BE49-F238E27FC236}">
                <a16:creationId xmlns:a16="http://schemas.microsoft.com/office/drawing/2014/main" id="{00000000-0008-0000-0200-00003A7D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07" name="Rectangle 347">
            <a:extLst>
              <a:ext uri="{FF2B5EF4-FFF2-40B4-BE49-F238E27FC236}">
                <a16:creationId xmlns:a16="http://schemas.microsoft.com/office/drawing/2014/main" id="{00000000-0008-0000-0200-00003B7D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1708" name="Group 348">
            <a:extLst>
              <a:ext uri="{FF2B5EF4-FFF2-40B4-BE49-F238E27FC236}">
                <a16:creationId xmlns:a16="http://schemas.microsoft.com/office/drawing/2014/main" id="{00000000-0008-0000-0200-00003C7D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1711" name="Rectangle 349">
              <a:extLst>
                <a:ext uri="{FF2B5EF4-FFF2-40B4-BE49-F238E27FC236}">
                  <a16:creationId xmlns:a16="http://schemas.microsoft.com/office/drawing/2014/main" id="{00000000-0008-0000-0200-00003F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12" name="Line 350">
              <a:extLst>
                <a:ext uri="{FF2B5EF4-FFF2-40B4-BE49-F238E27FC236}">
                  <a16:creationId xmlns:a16="http://schemas.microsoft.com/office/drawing/2014/main" id="{00000000-0008-0000-0200-0000407D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13" name="Line 351">
              <a:extLst>
                <a:ext uri="{FF2B5EF4-FFF2-40B4-BE49-F238E27FC236}">
                  <a16:creationId xmlns:a16="http://schemas.microsoft.com/office/drawing/2014/main" id="{00000000-0008-0000-0200-0000417D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14" name="Rectangle 352">
              <a:extLst>
                <a:ext uri="{FF2B5EF4-FFF2-40B4-BE49-F238E27FC236}">
                  <a16:creationId xmlns:a16="http://schemas.microsoft.com/office/drawing/2014/main" id="{00000000-0008-0000-0200-000042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15" name="Oval 353">
              <a:extLst>
                <a:ext uri="{FF2B5EF4-FFF2-40B4-BE49-F238E27FC236}">
                  <a16:creationId xmlns:a16="http://schemas.microsoft.com/office/drawing/2014/main" id="{00000000-0008-0000-0200-000043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16" name="Oval 354">
              <a:extLst>
                <a:ext uri="{FF2B5EF4-FFF2-40B4-BE49-F238E27FC236}">
                  <a16:creationId xmlns:a16="http://schemas.microsoft.com/office/drawing/2014/main" id="{00000000-0008-0000-0200-000044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17" name="Rectangle 355">
              <a:extLst>
                <a:ext uri="{FF2B5EF4-FFF2-40B4-BE49-F238E27FC236}">
                  <a16:creationId xmlns:a16="http://schemas.microsoft.com/office/drawing/2014/main" id="{00000000-0008-0000-0200-000045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18" name="Rectangle 356">
              <a:extLst>
                <a:ext uri="{FF2B5EF4-FFF2-40B4-BE49-F238E27FC236}">
                  <a16:creationId xmlns:a16="http://schemas.microsoft.com/office/drawing/2014/main" id="{00000000-0008-0000-0200-000046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19" name="Rectangle 357">
              <a:extLst>
                <a:ext uri="{FF2B5EF4-FFF2-40B4-BE49-F238E27FC236}">
                  <a16:creationId xmlns:a16="http://schemas.microsoft.com/office/drawing/2014/main" id="{00000000-0008-0000-0200-000047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20" name="Rectangle 358">
              <a:extLst>
                <a:ext uri="{FF2B5EF4-FFF2-40B4-BE49-F238E27FC236}">
                  <a16:creationId xmlns:a16="http://schemas.microsoft.com/office/drawing/2014/main" id="{00000000-0008-0000-0200-000048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1709" name="Rectangle 359">
            <a:extLst>
              <a:ext uri="{FF2B5EF4-FFF2-40B4-BE49-F238E27FC236}">
                <a16:creationId xmlns:a16="http://schemas.microsoft.com/office/drawing/2014/main" id="{00000000-0008-0000-0200-00003D7D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10" name="Rectangle 360">
            <a:extLst>
              <a:ext uri="{FF2B5EF4-FFF2-40B4-BE49-F238E27FC236}">
                <a16:creationId xmlns:a16="http://schemas.microsoft.com/office/drawing/2014/main" id="{00000000-0008-0000-0200-00003E7D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06578" name="Group 361">
          <a:extLst>
            <a:ext uri="{FF2B5EF4-FFF2-40B4-BE49-F238E27FC236}">
              <a16:creationId xmlns:a16="http://schemas.microsoft.com/office/drawing/2014/main" id="{00000000-0008-0000-0200-000032691200}"/>
            </a:ext>
          </a:extLst>
        </xdr:cNvPr>
        <xdr:cNvGrpSpPr>
          <a:grpSpLocks/>
        </xdr:cNvGrpSpPr>
      </xdr:nvGrpSpPr>
      <xdr:grpSpPr bwMode="auto">
        <a:xfrm>
          <a:off x="7581900" y="1295400"/>
          <a:ext cx="0" cy="685800"/>
          <a:chOff x="220" y="176"/>
          <a:chExt cx="556" cy="247"/>
        </a:xfrm>
      </xdr:grpSpPr>
      <xdr:sp macro="" textlink="">
        <xdr:nvSpPr>
          <xdr:cNvPr id="1211675" name="Rectangle 362">
            <a:extLst>
              <a:ext uri="{FF2B5EF4-FFF2-40B4-BE49-F238E27FC236}">
                <a16:creationId xmlns:a16="http://schemas.microsoft.com/office/drawing/2014/main" id="{00000000-0008-0000-0200-00001B7D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76" name="Line 363">
            <a:extLst>
              <a:ext uri="{FF2B5EF4-FFF2-40B4-BE49-F238E27FC236}">
                <a16:creationId xmlns:a16="http://schemas.microsoft.com/office/drawing/2014/main" id="{00000000-0008-0000-0200-00001C7D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77" name="Line 364">
            <a:extLst>
              <a:ext uri="{FF2B5EF4-FFF2-40B4-BE49-F238E27FC236}">
                <a16:creationId xmlns:a16="http://schemas.microsoft.com/office/drawing/2014/main" id="{00000000-0008-0000-0200-00001D7D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78" name="Rectangle 365">
            <a:extLst>
              <a:ext uri="{FF2B5EF4-FFF2-40B4-BE49-F238E27FC236}">
                <a16:creationId xmlns:a16="http://schemas.microsoft.com/office/drawing/2014/main" id="{00000000-0008-0000-0200-00001E7D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79" name="Oval 366">
            <a:extLst>
              <a:ext uri="{FF2B5EF4-FFF2-40B4-BE49-F238E27FC236}">
                <a16:creationId xmlns:a16="http://schemas.microsoft.com/office/drawing/2014/main" id="{00000000-0008-0000-0200-00001F7D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80" name="Oval 367">
            <a:extLst>
              <a:ext uri="{FF2B5EF4-FFF2-40B4-BE49-F238E27FC236}">
                <a16:creationId xmlns:a16="http://schemas.microsoft.com/office/drawing/2014/main" id="{00000000-0008-0000-0200-0000207D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81" name="Rectangle 368">
            <a:extLst>
              <a:ext uri="{FF2B5EF4-FFF2-40B4-BE49-F238E27FC236}">
                <a16:creationId xmlns:a16="http://schemas.microsoft.com/office/drawing/2014/main" id="{00000000-0008-0000-0200-0000217D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82" name="Rectangle 369">
            <a:extLst>
              <a:ext uri="{FF2B5EF4-FFF2-40B4-BE49-F238E27FC236}">
                <a16:creationId xmlns:a16="http://schemas.microsoft.com/office/drawing/2014/main" id="{00000000-0008-0000-0200-0000227D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83" name="Rectangle 370">
            <a:extLst>
              <a:ext uri="{FF2B5EF4-FFF2-40B4-BE49-F238E27FC236}">
                <a16:creationId xmlns:a16="http://schemas.microsoft.com/office/drawing/2014/main" id="{00000000-0008-0000-0200-0000237D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84" name="Rectangle 371">
            <a:extLst>
              <a:ext uri="{FF2B5EF4-FFF2-40B4-BE49-F238E27FC236}">
                <a16:creationId xmlns:a16="http://schemas.microsoft.com/office/drawing/2014/main" id="{00000000-0008-0000-0200-0000247D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1685" name="Group 372">
            <a:extLst>
              <a:ext uri="{FF2B5EF4-FFF2-40B4-BE49-F238E27FC236}">
                <a16:creationId xmlns:a16="http://schemas.microsoft.com/office/drawing/2014/main" id="{00000000-0008-0000-0200-0000257D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1688" name="Rectangle 373">
              <a:extLst>
                <a:ext uri="{FF2B5EF4-FFF2-40B4-BE49-F238E27FC236}">
                  <a16:creationId xmlns:a16="http://schemas.microsoft.com/office/drawing/2014/main" id="{00000000-0008-0000-0200-000028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89" name="Line 374">
              <a:extLst>
                <a:ext uri="{FF2B5EF4-FFF2-40B4-BE49-F238E27FC236}">
                  <a16:creationId xmlns:a16="http://schemas.microsoft.com/office/drawing/2014/main" id="{00000000-0008-0000-0200-0000297D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90" name="Line 375">
              <a:extLst>
                <a:ext uri="{FF2B5EF4-FFF2-40B4-BE49-F238E27FC236}">
                  <a16:creationId xmlns:a16="http://schemas.microsoft.com/office/drawing/2014/main" id="{00000000-0008-0000-0200-00002A7D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91" name="Rectangle 376">
              <a:extLst>
                <a:ext uri="{FF2B5EF4-FFF2-40B4-BE49-F238E27FC236}">
                  <a16:creationId xmlns:a16="http://schemas.microsoft.com/office/drawing/2014/main" id="{00000000-0008-0000-0200-00002B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92" name="Oval 377">
              <a:extLst>
                <a:ext uri="{FF2B5EF4-FFF2-40B4-BE49-F238E27FC236}">
                  <a16:creationId xmlns:a16="http://schemas.microsoft.com/office/drawing/2014/main" id="{00000000-0008-0000-0200-00002C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93" name="Oval 378">
              <a:extLst>
                <a:ext uri="{FF2B5EF4-FFF2-40B4-BE49-F238E27FC236}">
                  <a16:creationId xmlns:a16="http://schemas.microsoft.com/office/drawing/2014/main" id="{00000000-0008-0000-0200-00002D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94" name="Rectangle 379">
              <a:extLst>
                <a:ext uri="{FF2B5EF4-FFF2-40B4-BE49-F238E27FC236}">
                  <a16:creationId xmlns:a16="http://schemas.microsoft.com/office/drawing/2014/main" id="{00000000-0008-0000-0200-00002E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95" name="Rectangle 380">
              <a:extLst>
                <a:ext uri="{FF2B5EF4-FFF2-40B4-BE49-F238E27FC236}">
                  <a16:creationId xmlns:a16="http://schemas.microsoft.com/office/drawing/2014/main" id="{00000000-0008-0000-0200-00002F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96" name="Rectangle 381">
              <a:extLst>
                <a:ext uri="{FF2B5EF4-FFF2-40B4-BE49-F238E27FC236}">
                  <a16:creationId xmlns:a16="http://schemas.microsoft.com/office/drawing/2014/main" id="{00000000-0008-0000-0200-000030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97" name="Rectangle 382">
              <a:extLst>
                <a:ext uri="{FF2B5EF4-FFF2-40B4-BE49-F238E27FC236}">
                  <a16:creationId xmlns:a16="http://schemas.microsoft.com/office/drawing/2014/main" id="{00000000-0008-0000-0200-000031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1686" name="Rectangle 383">
            <a:extLst>
              <a:ext uri="{FF2B5EF4-FFF2-40B4-BE49-F238E27FC236}">
                <a16:creationId xmlns:a16="http://schemas.microsoft.com/office/drawing/2014/main" id="{00000000-0008-0000-0200-0000267D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87" name="Rectangle 384">
            <a:extLst>
              <a:ext uri="{FF2B5EF4-FFF2-40B4-BE49-F238E27FC236}">
                <a16:creationId xmlns:a16="http://schemas.microsoft.com/office/drawing/2014/main" id="{00000000-0008-0000-0200-0000277D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06579" name="Group 385">
          <a:extLst>
            <a:ext uri="{FF2B5EF4-FFF2-40B4-BE49-F238E27FC236}">
              <a16:creationId xmlns:a16="http://schemas.microsoft.com/office/drawing/2014/main" id="{00000000-0008-0000-0200-000033691200}"/>
            </a:ext>
          </a:extLst>
        </xdr:cNvPr>
        <xdr:cNvGrpSpPr>
          <a:grpSpLocks/>
        </xdr:cNvGrpSpPr>
      </xdr:nvGrpSpPr>
      <xdr:grpSpPr bwMode="auto">
        <a:xfrm>
          <a:off x="7581900" y="1295400"/>
          <a:ext cx="0" cy="685800"/>
          <a:chOff x="220" y="176"/>
          <a:chExt cx="556" cy="247"/>
        </a:xfrm>
      </xdr:grpSpPr>
      <xdr:sp macro="" textlink="">
        <xdr:nvSpPr>
          <xdr:cNvPr id="1211652" name="Rectangle 386">
            <a:extLst>
              <a:ext uri="{FF2B5EF4-FFF2-40B4-BE49-F238E27FC236}">
                <a16:creationId xmlns:a16="http://schemas.microsoft.com/office/drawing/2014/main" id="{00000000-0008-0000-0200-0000047D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53" name="Line 387">
            <a:extLst>
              <a:ext uri="{FF2B5EF4-FFF2-40B4-BE49-F238E27FC236}">
                <a16:creationId xmlns:a16="http://schemas.microsoft.com/office/drawing/2014/main" id="{00000000-0008-0000-0200-0000057D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54" name="Line 388">
            <a:extLst>
              <a:ext uri="{FF2B5EF4-FFF2-40B4-BE49-F238E27FC236}">
                <a16:creationId xmlns:a16="http://schemas.microsoft.com/office/drawing/2014/main" id="{00000000-0008-0000-0200-0000067D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55" name="Rectangle 389">
            <a:extLst>
              <a:ext uri="{FF2B5EF4-FFF2-40B4-BE49-F238E27FC236}">
                <a16:creationId xmlns:a16="http://schemas.microsoft.com/office/drawing/2014/main" id="{00000000-0008-0000-0200-0000077D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56" name="Oval 390">
            <a:extLst>
              <a:ext uri="{FF2B5EF4-FFF2-40B4-BE49-F238E27FC236}">
                <a16:creationId xmlns:a16="http://schemas.microsoft.com/office/drawing/2014/main" id="{00000000-0008-0000-0200-0000087D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57" name="Oval 391">
            <a:extLst>
              <a:ext uri="{FF2B5EF4-FFF2-40B4-BE49-F238E27FC236}">
                <a16:creationId xmlns:a16="http://schemas.microsoft.com/office/drawing/2014/main" id="{00000000-0008-0000-0200-0000097D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58" name="Rectangle 392">
            <a:extLst>
              <a:ext uri="{FF2B5EF4-FFF2-40B4-BE49-F238E27FC236}">
                <a16:creationId xmlns:a16="http://schemas.microsoft.com/office/drawing/2014/main" id="{00000000-0008-0000-0200-00000A7D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59" name="Rectangle 393">
            <a:extLst>
              <a:ext uri="{FF2B5EF4-FFF2-40B4-BE49-F238E27FC236}">
                <a16:creationId xmlns:a16="http://schemas.microsoft.com/office/drawing/2014/main" id="{00000000-0008-0000-0200-00000B7D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60" name="Rectangle 394">
            <a:extLst>
              <a:ext uri="{FF2B5EF4-FFF2-40B4-BE49-F238E27FC236}">
                <a16:creationId xmlns:a16="http://schemas.microsoft.com/office/drawing/2014/main" id="{00000000-0008-0000-0200-00000C7D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61" name="Rectangle 395">
            <a:extLst>
              <a:ext uri="{FF2B5EF4-FFF2-40B4-BE49-F238E27FC236}">
                <a16:creationId xmlns:a16="http://schemas.microsoft.com/office/drawing/2014/main" id="{00000000-0008-0000-0200-00000D7D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1662" name="Group 396">
            <a:extLst>
              <a:ext uri="{FF2B5EF4-FFF2-40B4-BE49-F238E27FC236}">
                <a16:creationId xmlns:a16="http://schemas.microsoft.com/office/drawing/2014/main" id="{00000000-0008-0000-0200-00000E7D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1665" name="Rectangle 397">
              <a:extLst>
                <a:ext uri="{FF2B5EF4-FFF2-40B4-BE49-F238E27FC236}">
                  <a16:creationId xmlns:a16="http://schemas.microsoft.com/office/drawing/2014/main" id="{00000000-0008-0000-0200-000011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66" name="Line 398">
              <a:extLst>
                <a:ext uri="{FF2B5EF4-FFF2-40B4-BE49-F238E27FC236}">
                  <a16:creationId xmlns:a16="http://schemas.microsoft.com/office/drawing/2014/main" id="{00000000-0008-0000-0200-0000127D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67" name="Line 399">
              <a:extLst>
                <a:ext uri="{FF2B5EF4-FFF2-40B4-BE49-F238E27FC236}">
                  <a16:creationId xmlns:a16="http://schemas.microsoft.com/office/drawing/2014/main" id="{00000000-0008-0000-0200-0000137D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68" name="Rectangle 400">
              <a:extLst>
                <a:ext uri="{FF2B5EF4-FFF2-40B4-BE49-F238E27FC236}">
                  <a16:creationId xmlns:a16="http://schemas.microsoft.com/office/drawing/2014/main" id="{00000000-0008-0000-0200-000014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69" name="Oval 401">
              <a:extLst>
                <a:ext uri="{FF2B5EF4-FFF2-40B4-BE49-F238E27FC236}">
                  <a16:creationId xmlns:a16="http://schemas.microsoft.com/office/drawing/2014/main" id="{00000000-0008-0000-0200-000015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70" name="Oval 402">
              <a:extLst>
                <a:ext uri="{FF2B5EF4-FFF2-40B4-BE49-F238E27FC236}">
                  <a16:creationId xmlns:a16="http://schemas.microsoft.com/office/drawing/2014/main" id="{00000000-0008-0000-0200-000016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71" name="Rectangle 403">
              <a:extLst>
                <a:ext uri="{FF2B5EF4-FFF2-40B4-BE49-F238E27FC236}">
                  <a16:creationId xmlns:a16="http://schemas.microsoft.com/office/drawing/2014/main" id="{00000000-0008-0000-0200-000017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72" name="Rectangle 404">
              <a:extLst>
                <a:ext uri="{FF2B5EF4-FFF2-40B4-BE49-F238E27FC236}">
                  <a16:creationId xmlns:a16="http://schemas.microsoft.com/office/drawing/2014/main" id="{00000000-0008-0000-0200-000018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73" name="Rectangle 405">
              <a:extLst>
                <a:ext uri="{FF2B5EF4-FFF2-40B4-BE49-F238E27FC236}">
                  <a16:creationId xmlns:a16="http://schemas.microsoft.com/office/drawing/2014/main" id="{00000000-0008-0000-0200-000019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74" name="Rectangle 406">
              <a:extLst>
                <a:ext uri="{FF2B5EF4-FFF2-40B4-BE49-F238E27FC236}">
                  <a16:creationId xmlns:a16="http://schemas.microsoft.com/office/drawing/2014/main" id="{00000000-0008-0000-0200-00001A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1663" name="Rectangle 407">
            <a:extLst>
              <a:ext uri="{FF2B5EF4-FFF2-40B4-BE49-F238E27FC236}">
                <a16:creationId xmlns:a16="http://schemas.microsoft.com/office/drawing/2014/main" id="{00000000-0008-0000-0200-00000F7D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64" name="Rectangle 408">
            <a:extLst>
              <a:ext uri="{FF2B5EF4-FFF2-40B4-BE49-F238E27FC236}">
                <a16:creationId xmlns:a16="http://schemas.microsoft.com/office/drawing/2014/main" id="{00000000-0008-0000-0200-0000107D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06580" name="Group 409">
          <a:extLst>
            <a:ext uri="{FF2B5EF4-FFF2-40B4-BE49-F238E27FC236}">
              <a16:creationId xmlns:a16="http://schemas.microsoft.com/office/drawing/2014/main" id="{00000000-0008-0000-0200-000034691200}"/>
            </a:ext>
          </a:extLst>
        </xdr:cNvPr>
        <xdr:cNvGrpSpPr>
          <a:grpSpLocks/>
        </xdr:cNvGrpSpPr>
      </xdr:nvGrpSpPr>
      <xdr:grpSpPr bwMode="auto">
        <a:xfrm>
          <a:off x="7581900" y="1295400"/>
          <a:ext cx="0" cy="685800"/>
          <a:chOff x="220" y="176"/>
          <a:chExt cx="556" cy="247"/>
        </a:xfrm>
      </xdr:grpSpPr>
      <xdr:sp macro="" textlink="">
        <xdr:nvSpPr>
          <xdr:cNvPr id="1211629" name="Rectangle 410">
            <a:extLst>
              <a:ext uri="{FF2B5EF4-FFF2-40B4-BE49-F238E27FC236}">
                <a16:creationId xmlns:a16="http://schemas.microsoft.com/office/drawing/2014/main" id="{00000000-0008-0000-0200-0000ED7C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30" name="Line 411">
            <a:extLst>
              <a:ext uri="{FF2B5EF4-FFF2-40B4-BE49-F238E27FC236}">
                <a16:creationId xmlns:a16="http://schemas.microsoft.com/office/drawing/2014/main" id="{00000000-0008-0000-0200-0000EE7C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31" name="Line 412">
            <a:extLst>
              <a:ext uri="{FF2B5EF4-FFF2-40B4-BE49-F238E27FC236}">
                <a16:creationId xmlns:a16="http://schemas.microsoft.com/office/drawing/2014/main" id="{00000000-0008-0000-0200-0000EF7C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32" name="Rectangle 413">
            <a:extLst>
              <a:ext uri="{FF2B5EF4-FFF2-40B4-BE49-F238E27FC236}">
                <a16:creationId xmlns:a16="http://schemas.microsoft.com/office/drawing/2014/main" id="{00000000-0008-0000-0200-0000F07C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33" name="Oval 414">
            <a:extLst>
              <a:ext uri="{FF2B5EF4-FFF2-40B4-BE49-F238E27FC236}">
                <a16:creationId xmlns:a16="http://schemas.microsoft.com/office/drawing/2014/main" id="{00000000-0008-0000-0200-0000F17C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34" name="Oval 415">
            <a:extLst>
              <a:ext uri="{FF2B5EF4-FFF2-40B4-BE49-F238E27FC236}">
                <a16:creationId xmlns:a16="http://schemas.microsoft.com/office/drawing/2014/main" id="{00000000-0008-0000-0200-0000F27C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35" name="Rectangle 416">
            <a:extLst>
              <a:ext uri="{FF2B5EF4-FFF2-40B4-BE49-F238E27FC236}">
                <a16:creationId xmlns:a16="http://schemas.microsoft.com/office/drawing/2014/main" id="{00000000-0008-0000-0200-0000F37C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36" name="Rectangle 417">
            <a:extLst>
              <a:ext uri="{FF2B5EF4-FFF2-40B4-BE49-F238E27FC236}">
                <a16:creationId xmlns:a16="http://schemas.microsoft.com/office/drawing/2014/main" id="{00000000-0008-0000-0200-0000F47C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37" name="Rectangle 418">
            <a:extLst>
              <a:ext uri="{FF2B5EF4-FFF2-40B4-BE49-F238E27FC236}">
                <a16:creationId xmlns:a16="http://schemas.microsoft.com/office/drawing/2014/main" id="{00000000-0008-0000-0200-0000F57C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38" name="Rectangle 419">
            <a:extLst>
              <a:ext uri="{FF2B5EF4-FFF2-40B4-BE49-F238E27FC236}">
                <a16:creationId xmlns:a16="http://schemas.microsoft.com/office/drawing/2014/main" id="{00000000-0008-0000-0200-0000F67C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1639" name="Group 420">
            <a:extLst>
              <a:ext uri="{FF2B5EF4-FFF2-40B4-BE49-F238E27FC236}">
                <a16:creationId xmlns:a16="http://schemas.microsoft.com/office/drawing/2014/main" id="{00000000-0008-0000-0200-0000F77C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1642" name="Rectangle 421">
              <a:extLst>
                <a:ext uri="{FF2B5EF4-FFF2-40B4-BE49-F238E27FC236}">
                  <a16:creationId xmlns:a16="http://schemas.microsoft.com/office/drawing/2014/main" id="{00000000-0008-0000-0200-0000FA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43" name="Line 422">
              <a:extLst>
                <a:ext uri="{FF2B5EF4-FFF2-40B4-BE49-F238E27FC236}">
                  <a16:creationId xmlns:a16="http://schemas.microsoft.com/office/drawing/2014/main" id="{00000000-0008-0000-0200-0000FB7C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44" name="Line 423">
              <a:extLst>
                <a:ext uri="{FF2B5EF4-FFF2-40B4-BE49-F238E27FC236}">
                  <a16:creationId xmlns:a16="http://schemas.microsoft.com/office/drawing/2014/main" id="{00000000-0008-0000-0200-0000FC7C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45" name="Rectangle 424">
              <a:extLst>
                <a:ext uri="{FF2B5EF4-FFF2-40B4-BE49-F238E27FC236}">
                  <a16:creationId xmlns:a16="http://schemas.microsoft.com/office/drawing/2014/main" id="{00000000-0008-0000-0200-0000FD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46" name="Oval 425">
              <a:extLst>
                <a:ext uri="{FF2B5EF4-FFF2-40B4-BE49-F238E27FC236}">
                  <a16:creationId xmlns:a16="http://schemas.microsoft.com/office/drawing/2014/main" id="{00000000-0008-0000-0200-0000FE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47" name="Oval 426">
              <a:extLst>
                <a:ext uri="{FF2B5EF4-FFF2-40B4-BE49-F238E27FC236}">
                  <a16:creationId xmlns:a16="http://schemas.microsoft.com/office/drawing/2014/main" id="{00000000-0008-0000-0200-0000FF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48" name="Rectangle 427">
              <a:extLst>
                <a:ext uri="{FF2B5EF4-FFF2-40B4-BE49-F238E27FC236}">
                  <a16:creationId xmlns:a16="http://schemas.microsoft.com/office/drawing/2014/main" id="{00000000-0008-0000-0200-000000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49" name="Rectangle 428">
              <a:extLst>
                <a:ext uri="{FF2B5EF4-FFF2-40B4-BE49-F238E27FC236}">
                  <a16:creationId xmlns:a16="http://schemas.microsoft.com/office/drawing/2014/main" id="{00000000-0008-0000-0200-000001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50" name="Rectangle 429">
              <a:extLst>
                <a:ext uri="{FF2B5EF4-FFF2-40B4-BE49-F238E27FC236}">
                  <a16:creationId xmlns:a16="http://schemas.microsoft.com/office/drawing/2014/main" id="{00000000-0008-0000-0200-000002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51" name="Rectangle 430">
              <a:extLst>
                <a:ext uri="{FF2B5EF4-FFF2-40B4-BE49-F238E27FC236}">
                  <a16:creationId xmlns:a16="http://schemas.microsoft.com/office/drawing/2014/main" id="{00000000-0008-0000-0200-000003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1640" name="Rectangle 431">
            <a:extLst>
              <a:ext uri="{FF2B5EF4-FFF2-40B4-BE49-F238E27FC236}">
                <a16:creationId xmlns:a16="http://schemas.microsoft.com/office/drawing/2014/main" id="{00000000-0008-0000-0200-0000F87C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41" name="Rectangle 432">
            <a:extLst>
              <a:ext uri="{FF2B5EF4-FFF2-40B4-BE49-F238E27FC236}">
                <a16:creationId xmlns:a16="http://schemas.microsoft.com/office/drawing/2014/main" id="{00000000-0008-0000-0200-0000F97C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152400</xdr:rowOff>
    </xdr:from>
    <xdr:to>
      <xdr:col>7</xdr:col>
      <xdr:colOff>0</xdr:colOff>
      <xdr:row>3</xdr:row>
      <xdr:rowOff>0</xdr:rowOff>
    </xdr:to>
    <xdr:grpSp>
      <xdr:nvGrpSpPr>
        <xdr:cNvPr id="1206581" name="Group 433">
          <a:extLst>
            <a:ext uri="{FF2B5EF4-FFF2-40B4-BE49-F238E27FC236}">
              <a16:creationId xmlns:a16="http://schemas.microsoft.com/office/drawing/2014/main" id="{00000000-0008-0000-0200-000035691200}"/>
            </a:ext>
          </a:extLst>
        </xdr:cNvPr>
        <xdr:cNvGrpSpPr>
          <a:grpSpLocks/>
        </xdr:cNvGrpSpPr>
      </xdr:nvGrpSpPr>
      <xdr:grpSpPr bwMode="auto">
        <a:xfrm>
          <a:off x="7581900" y="1282700"/>
          <a:ext cx="0" cy="698500"/>
          <a:chOff x="333" y="153"/>
          <a:chExt cx="219" cy="333"/>
        </a:xfrm>
      </xdr:grpSpPr>
      <xdr:sp macro="" textlink="">
        <xdr:nvSpPr>
          <xdr:cNvPr id="1211619" name="Rectangle 434">
            <a:extLst>
              <a:ext uri="{FF2B5EF4-FFF2-40B4-BE49-F238E27FC236}">
                <a16:creationId xmlns:a16="http://schemas.microsoft.com/office/drawing/2014/main" id="{00000000-0008-0000-0200-0000E37C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20" name="Line 435">
            <a:extLst>
              <a:ext uri="{FF2B5EF4-FFF2-40B4-BE49-F238E27FC236}">
                <a16:creationId xmlns:a16="http://schemas.microsoft.com/office/drawing/2014/main" id="{00000000-0008-0000-0200-0000E47C1200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21" name="Line 436">
            <a:extLst>
              <a:ext uri="{FF2B5EF4-FFF2-40B4-BE49-F238E27FC236}">
                <a16:creationId xmlns:a16="http://schemas.microsoft.com/office/drawing/2014/main" id="{00000000-0008-0000-0200-0000E57C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22" name="Rectangle 437">
            <a:extLst>
              <a:ext uri="{FF2B5EF4-FFF2-40B4-BE49-F238E27FC236}">
                <a16:creationId xmlns:a16="http://schemas.microsoft.com/office/drawing/2014/main" id="{00000000-0008-0000-0200-0000E67C1200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23" name="Oval 438">
            <a:extLst>
              <a:ext uri="{FF2B5EF4-FFF2-40B4-BE49-F238E27FC236}">
                <a16:creationId xmlns:a16="http://schemas.microsoft.com/office/drawing/2014/main" id="{00000000-0008-0000-0200-0000E77C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24" name="Oval 439">
            <a:extLst>
              <a:ext uri="{FF2B5EF4-FFF2-40B4-BE49-F238E27FC236}">
                <a16:creationId xmlns:a16="http://schemas.microsoft.com/office/drawing/2014/main" id="{00000000-0008-0000-0200-0000E87C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25" name="Rectangle 440">
            <a:extLst>
              <a:ext uri="{FF2B5EF4-FFF2-40B4-BE49-F238E27FC236}">
                <a16:creationId xmlns:a16="http://schemas.microsoft.com/office/drawing/2014/main" id="{00000000-0008-0000-0200-0000E97C1200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26" name="Rectangle 441">
            <a:extLst>
              <a:ext uri="{FF2B5EF4-FFF2-40B4-BE49-F238E27FC236}">
                <a16:creationId xmlns:a16="http://schemas.microsoft.com/office/drawing/2014/main" id="{00000000-0008-0000-0200-0000EA7C1200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27" name="Rectangle 442">
            <a:extLst>
              <a:ext uri="{FF2B5EF4-FFF2-40B4-BE49-F238E27FC236}">
                <a16:creationId xmlns:a16="http://schemas.microsoft.com/office/drawing/2014/main" id="{00000000-0008-0000-0200-0000EB7C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28" name="Rectangle 443">
            <a:extLst>
              <a:ext uri="{FF2B5EF4-FFF2-40B4-BE49-F238E27FC236}">
                <a16:creationId xmlns:a16="http://schemas.microsoft.com/office/drawing/2014/main" id="{00000000-0008-0000-0200-0000EC7C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152400</xdr:rowOff>
    </xdr:from>
    <xdr:to>
      <xdr:col>7</xdr:col>
      <xdr:colOff>0</xdr:colOff>
      <xdr:row>3</xdr:row>
      <xdr:rowOff>0</xdr:rowOff>
    </xdr:to>
    <xdr:grpSp>
      <xdr:nvGrpSpPr>
        <xdr:cNvPr id="1206582" name="Group 444">
          <a:extLst>
            <a:ext uri="{FF2B5EF4-FFF2-40B4-BE49-F238E27FC236}">
              <a16:creationId xmlns:a16="http://schemas.microsoft.com/office/drawing/2014/main" id="{00000000-0008-0000-0200-000036691200}"/>
            </a:ext>
          </a:extLst>
        </xdr:cNvPr>
        <xdr:cNvGrpSpPr>
          <a:grpSpLocks/>
        </xdr:cNvGrpSpPr>
      </xdr:nvGrpSpPr>
      <xdr:grpSpPr bwMode="auto">
        <a:xfrm>
          <a:off x="7581900" y="1282700"/>
          <a:ext cx="0" cy="698500"/>
          <a:chOff x="333" y="153"/>
          <a:chExt cx="219" cy="333"/>
        </a:xfrm>
      </xdr:grpSpPr>
      <xdr:sp macro="" textlink="">
        <xdr:nvSpPr>
          <xdr:cNvPr id="1211609" name="Rectangle 445">
            <a:extLst>
              <a:ext uri="{FF2B5EF4-FFF2-40B4-BE49-F238E27FC236}">
                <a16:creationId xmlns:a16="http://schemas.microsoft.com/office/drawing/2014/main" id="{00000000-0008-0000-0200-0000D97C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10" name="Line 446">
            <a:extLst>
              <a:ext uri="{FF2B5EF4-FFF2-40B4-BE49-F238E27FC236}">
                <a16:creationId xmlns:a16="http://schemas.microsoft.com/office/drawing/2014/main" id="{00000000-0008-0000-0200-0000DA7C1200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11" name="Line 447">
            <a:extLst>
              <a:ext uri="{FF2B5EF4-FFF2-40B4-BE49-F238E27FC236}">
                <a16:creationId xmlns:a16="http://schemas.microsoft.com/office/drawing/2014/main" id="{00000000-0008-0000-0200-0000DB7C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12" name="Rectangle 448">
            <a:extLst>
              <a:ext uri="{FF2B5EF4-FFF2-40B4-BE49-F238E27FC236}">
                <a16:creationId xmlns:a16="http://schemas.microsoft.com/office/drawing/2014/main" id="{00000000-0008-0000-0200-0000DC7C1200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13" name="Oval 449">
            <a:extLst>
              <a:ext uri="{FF2B5EF4-FFF2-40B4-BE49-F238E27FC236}">
                <a16:creationId xmlns:a16="http://schemas.microsoft.com/office/drawing/2014/main" id="{00000000-0008-0000-0200-0000DD7C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14" name="Oval 450">
            <a:extLst>
              <a:ext uri="{FF2B5EF4-FFF2-40B4-BE49-F238E27FC236}">
                <a16:creationId xmlns:a16="http://schemas.microsoft.com/office/drawing/2014/main" id="{00000000-0008-0000-0200-0000DE7C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15" name="Rectangle 451">
            <a:extLst>
              <a:ext uri="{FF2B5EF4-FFF2-40B4-BE49-F238E27FC236}">
                <a16:creationId xmlns:a16="http://schemas.microsoft.com/office/drawing/2014/main" id="{00000000-0008-0000-0200-0000DF7C1200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16" name="Rectangle 452">
            <a:extLst>
              <a:ext uri="{FF2B5EF4-FFF2-40B4-BE49-F238E27FC236}">
                <a16:creationId xmlns:a16="http://schemas.microsoft.com/office/drawing/2014/main" id="{00000000-0008-0000-0200-0000E07C1200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17" name="Rectangle 453">
            <a:extLst>
              <a:ext uri="{FF2B5EF4-FFF2-40B4-BE49-F238E27FC236}">
                <a16:creationId xmlns:a16="http://schemas.microsoft.com/office/drawing/2014/main" id="{00000000-0008-0000-0200-0000E17C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18" name="Rectangle 454">
            <a:extLst>
              <a:ext uri="{FF2B5EF4-FFF2-40B4-BE49-F238E27FC236}">
                <a16:creationId xmlns:a16="http://schemas.microsoft.com/office/drawing/2014/main" id="{00000000-0008-0000-0200-0000E27C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2</xdr:row>
      <xdr:rowOff>546100</xdr:rowOff>
    </xdr:to>
    <xdr:grpSp>
      <xdr:nvGrpSpPr>
        <xdr:cNvPr id="1206583" name="Group 455">
          <a:extLst>
            <a:ext uri="{FF2B5EF4-FFF2-40B4-BE49-F238E27FC236}">
              <a16:creationId xmlns:a16="http://schemas.microsoft.com/office/drawing/2014/main" id="{00000000-0008-0000-0200-000037691200}"/>
            </a:ext>
          </a:extLst>
        </xdr:cNvPr>
        <xdr:cNvGrpSpPr>
          <a:grpSpLocks/>
        </xdr:cNvGrpSpPr>
      </xdr:nvGrpSpPr>
      <xdr:grpSpPr bwMode="auto">
        <a:xfrm>
          <a:off x="7581900" y="1295400"/>
          <a:ext cx="0" cy="381000"/>
          <a:chOff x="335" y="195"/>
          <a:chExt cx="352" cy="282"/>
        </a:xfrm>
      </xdr:grpSpPr>
      <xdr:grpSp>
        <xdr:nvGrpSpPr>
          <xdr:cNvPr id="1211587" name="Group 456">
            <a:extLst>
              <a:ext uri="{FF2B5EF4-FFF2-40B4-BE49-F238E27FC236}">
                <a16:creationId xmlns:a16="http://schemas.microsoft.com/office/drawing/2014/main" id="{00000000-0008-0000-0200-0000C37C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1599" name="Rectangle 457">
              <a:extLst>
                <a:ext uri="{FF2B5EF4-FFF2-40B4-BE49-F238E27FC236}">
                  <a16:creationId xmlns:a16="http://schemas.microsoft.com/office/drawing/2014/main" id="{00000000-0008-0000-0200-0000CF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00" name="Line 458">
              <a:extLst>
                <a:ext uri="{FF2B5EF4-FFF2-40B4-BE49-F238E27FC236}">
                  <a16:creationId xmlns:a16="http://schemas.microsoft.com/office/drawing/2014/main" id="{00000000-0008-0000-0200-0000D07C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01" name="Line 459">
              <a:extLst>
                <a:ext uri="{FF2B5EF4-FFF2-40B4-BE49-F238E27FC236}">
                  <a16:creationId xmlns:a16="http://schemas.microsoft.com/office/drawing/2014/main" id="{00000000-0008-0000-0200-0000D17C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02" name="Rectangle 460">
              <a:extLst>
                <a:ext uri="{FF2B5EF4-FFF2-40B4-BE49-F238E27FC236}">
                  <a16:creationId xmlns:a16="http://schemas.microsoft.com/office/drawing/2014/main" id="{00000000-0008-0000-0200-0000D2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03" name="Oval 461">
              <a:extLst>
                <a:ext uri="{FF2B5EF4-FFF2-40B4-BE49-F238E27FC236}">
                  <a16:creationId xmlns:a16="http://schemas.microsoft.com/office/drawing/2014/main" id="{00000000-0008-0000-0200-0000D3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04" name="Oval 462">
              <a:extLst>
                <a:ext uri="{FF2B5EF4-FFF2-40B4-BE49-F238E27FC236}">
                  <a16:creationId xmlns:a16="http://schemas.microsoft.com/office/drawing/2014/main" id="{00000000-0008-0000-0200-0000D4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05" name="Rectangle 463">
              <a:extLst>
                <a:ext uri="{FF2B5EF4-FFF2-40B4-BE49-F238E27FC236}">
                  <a16:creationId xmlns:a16="http://schemas.microsoft.com/office/drawing/2014/main" id="{00000000-0008-0000-0200-0000D5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06" name="Rectangle 464">
              <a:extLst>
                <a:ext uri="{FF2B5EF4-FFF2-40B4-BE49-F238E27FC236}">
                  <a16:creationId xmlns:a16="http://schemas.microsoft.com/office/drawing/2014/main" id="{00000000-0008-0000-0200-0000D6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07" name="Rectangle 465">
              <a:extLst>
                <a:ext uri="{FF2B5EF4-FFF2-40B4-BE49-F238E27FC236}">
                  <a16:creationId xmlns:a16="http://schemas.microsoft.com/office/drawing/2014/main" id="{00000000-0008-0000-0200-0000D7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08" name="Rectangle 466">
              <a:extLst>
                <a:ext uri="{FF2B5EF4-FFF2-40B4-BE49-F238E27FC236}">
                  <a16:creationId xmlns:a16="http://schemas.microsoft.com/office/drawing/2014/main" id="{00000000-0008-0000-0200-0000D8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1588" name="Group 467">
            <a:extLst>
              <a:ext uri="{FF2B5EF4-FFF2-40B4-BE49-F238E27FC236}">
                <a16:creationId xmlns:a16="http://schemas.microsoft.com/office/drawing/2014/main" id="{00000000-0008-0000-0200-0000C47C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1589" name="Rectangle 468">
              <a:extLst>
                <a:ext uri="{FF2B5EF4-FFF2-40B4-BE49-F238E27FC236}">
                  <a16:creationId xmlns:a16="http://schemas.microsoft.com/office/drawing/2014/main" id="{00000000-0008-0000-0200-0000C5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90" name="Line 469">
              <a:extLst>
                <a:ext uri="{FF2B5EF4-FFF2-40B4-BE49-F238E27FC236}">
                  <a16:creationId xmlns:a16="http://schemas.microsoft.com/office/drawing/2014/main" id="{00000000-0008-0000-0200-0000C67C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91" name="Line 470">
              <a:extLst>
                <a:ext uri="{FF2B5EF4-FFF2-40B4-BE49-F238E27FC236}">
                  <a16:creationId xmlns:a16="http://schemas.microsoft.com/office/drawing/2014/main" id="{00000000-0008-0000-0200-0000C77C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92" name="Rectangle 471">
              <a:extLst>
                <a:ext uri="{FF2B5EF4-FFF2-40B4-BE49-F238E27FC236}">
                  <a16:creationId xmlns:a16="http://schemas.microsoft.com/office/drawing/2014/main" id="{00000000-0008-0000-0200-0000C8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93" name="Oval 472">
              <a:extLst>
                <a:ext uri="{FF2B5EF4-FFF2-40B4-BE49-F238E27FC236}">
                  <a16:creationId xmlns:a16="http://schemas.microsoft.com/office/drawing/2014/main" id="{00000000-0008-0000-0200-0000C9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94" name="Oval 473">
              <a:extLst>
                <a:ext uri="{FF2B5EF4-FFF2-40B4-BE49-F238E27FC236}">
                  <a16:creationId xmlns:a16="http://schemas.microsoft.com/office/drawing/2014/main" id="{00000000-0008-0000-0200-0000CA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95" name="Rectangle 474">
              <a:extLst>
                <a:ext uri="{FF2B5EF4-FFF2-40B4-BE49-F238E27FC236}">
                  <a16:creationId xmlns:a16="http://schemas.microsoft.com/office/drawing/2014/main" id="{00000000-0008-0000-0200-0000CB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96" name="Rectangle 475">
              <a:extLst>
                <a:ext uri="{FF2B5EF4-FFF2-40B4-BE49-F238E27FC236}">
                  <a16:creationId xmlns:a16="http://schemas.microsoft.com/office/drawing/2014/main" id="{00000000-0008-0000-0200-0000CC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97" name="Rectangle 476">
              <a:extLst>
                <a:ext uri="{FF2B5EF4-FFF2-40B4-BE49-F238E27FC236}">
                  <a16:creationId xmlns:a16="http://schemas.microsoft.com/office/drawing/2014/main" id="{00000000-0008-0000-0200-0000CD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98" name="Rectangle 477">
              <a:extLst>
                <a:ext uri="{FF2B5EF4-FFF2-40B4-BE49-F238E27FC236}">
                  <a16:creationId xmlns:a16="http://schemas.microsoft.com/office/drawing/2014/main" id="{00000000-0008-0000-0200-0000CE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2</xdr:row>
      <xdr:rowOff>546100</xdr:rowOff>
    </xdr:to>
    <xdr:grpSp>
      <xdr:nvGrpSpPr>
        <xdr:cNvPr id="1206584" name="Group 478">
          <a:extLst>
            <a:ext uri="{FF2B5EF4-FFF2-40B4-BE49-F238E27FC236}">
              <a16:creationId xmlns:a16="http://schemas.microsoft.com/office/drawing/2014/main" id="{00000000-0008-0000-0200-000038691200}"/>
            </a:ext>
          </a:extLst>
        </xdr:cNvPr>
        <xdr:cNvGrpSpPr>
          <a:grpSpLocks/>
        </xdr:cNvGrpSpPr>
      </xdr:nvGrpSpPr>
      <xdr:grpSpPr bwMode="auto">
        <a:xfrm>
          <a:off x="7581900" y="1295400"/>
          <a:ext cx="0" cy="381000"/>
          <a:chOff x="335" y="195"/>
          <a:chExt cx="352" cy="282"/>
        </a:xfrm>
      </xdr:grpSpPr>
      <xdr:grpSp>
        <xdr:nvGrpSpPr>
          <xdr:cNvPr id="1211565" name="Group 479">
            <a:extLst>
              <a:ext uri="{FF2B5EF4-FFF2-40B4-BE49-F238E27FC236}">
                <a16:creationId xmlns:a16="http://schemas.microsoft.com/office/drawing/2014/main" id="{00000000-0008-0000-0200-0000AD7C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1577" name="Rectangle 480">
              <a:extLst>
                <a:ext uri="{FF2B5EF4-FFF2-40B4-BE49-F238E27FC236}">
                  <a16:creationId xmlns:a16="http://schemas.microsoft.com/office/drawing/2014/main" id="{00000000-0008-0000-0200-0000B9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78" name="Line 481">
              <a:extLst>
                <a:ext uri="{FF2B5EF4-FFF2-40B4-BE49-F238E27FC236}">
                  <a16:creationId xmlns:a16="http://schemas.microsoft.com/office/drawing/2014/main" id="{00000000-0008-0000-0200-0000BA7C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79" name="Line 482">
              <a:extLst>
                <a:ext uri="{FF2B5EF4-FFF2-40B4-BE49-F238E27FC236}">
                  <a16:creationId xmlns:a16="http://schemas.microsoft.com/office/drawing/2014/main" id="{00000000-0008-0000-0200-0000BB7C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80" name="Rectangle 483">
              <a:extLst>
                <a:ext uri="{FF2B5EF4-FFF2-40B4-BE49-F238E27FC236}">
                  <a16:creationId xmlns:a16="http://schemas.microsoft.com/office/drawing/2014/main" id="{00000000-0008-0000-0200-0000BC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81" name="Oval 484">
              <a:extLst>
                <a:ext uri="{FF2B5EF4-FFF2-40B4-BE49-F238E27FC236}">
                  <a16:creationId xmlns:a16="http://schemas.microsoft.com/office/drawing/2014/main" id="{00000000-0008-0000-0200-0000BD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82" name="Oval 485">
              <a:extLst>
                <a:ext uri="{FF2B5EF4-FFF2-40B4-BE49-F238E27FC236}">
                  <a16:creationId xmlns:a16="http://schemas.microsoft.com/office/drawing/2014/main" id="{00000000-0008-0000-0200-0000BE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83" name="Rectangle 486">
              <a:extLst>
                <a:ext uri="{FF2B5EF4-FFF2-40B4-BE49-F238E27FC236}">
                  <a16:creationId xmlns:a16="http://schemas.microsoft.com/office/drawing/2014/main" id="{00000000-0008-0000-0200-0000BF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84" name="Rectangle 487">
              <a:extLst>
                <a:ext uri="{FF2B5EF4-FFF2-40B4-BE49-F238E27FC236}">
                  <a16:creationId xmlns:a16="http://schemas.microsoft.com/office/drawing/2014/main" id="{00000000-0008-0000-0200-0000C0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85" name="Rectangle 488">
              <a:extLst>
                <a:ext uri="{FF2B5EF4-FFF2-40B4-BE49-F238E27FC236}">
                  <a16:creationId xmlns:a16="http://schemas.microsoft.com/office/drawing/2014/main" id="{00000000-0008-0000-0200-0000C1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86" name="Rectangle 489">
              <a:extLst>
                <a:ext uri="{FF2B5EF4-FFF2-40B4-BE49-F238E27FC236}">
                  <a16:creationId xmlns:a16="http://schemas.microsoft.com/office/drawing/2014/main" id="{00000000-0008-0000-0200-0000C2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1566" name="Group 490">
            <a:extLst>
              <a:ext uri="{FF2B5EF4-FFF2-40B4-BE49-F238E27FC236}">
                <a16:creationId xmlns:a16="http://schemas.microsoft.com/office/drawing/2014/main" id="{00000000-0008-0000-0200-0000AE7C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1567" name="Rectangle 491">
              <a:extLst>
                <a:ext uri="{FF2B5EF4-FFF2-40B4-BE49-F238E27FC236}">
                  <a16:creationId xmlns:a16="http://schemas.microsoft.com/office/drawing/2014/main" id="{00000000-0008-0000-0200-0000AF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68" name="Line 492">
              <a:extLst>
                <a:ext uri="{FF2B5EF4-FFF2-40B4-BE49-F238E27FC236}">
                  <a16:creationId xmlns:a16="http://schemas.microsoft.com/office/drawing/2014/main" id="{00000000-0008-0000-0200-0000B07C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69" name="Line 493">
              <a:extLst>
                <a:ext uri="{FF2B5EF4-FFF2-40B4-BE49-F238E27FC236}">
                  <a16:creationId xmlns:a16="http://schemas.microsoft.com/office/drawing/2014/main" id="{00000000-0008-0000-0200-0000B17C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70" name="Rectangle 494">
              <a:extLst>
                <a:ext uri="{FF2B5EF4-FFF2-40B4-BE49-F238E27FC236}">
                  <a16:creationId xmlns:a16="http://schemas.microsoft.com/office/drawing/2014/main" id="{00000000-0008-0000-0200-0000B2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71" name="Oval 495">
              <a:extLst>
                <a:ext uri="{FF2B5EF4-FFF2-40B4-BE49-F238E27FC236}">
                  <a16:creationId xmlns:a16="http://schemas.microsoft.com/office/drawing/2014/main" id="{00000000-0008-0000-0200-0000B3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72" name="Oval 496">
              <a:extLst>
                <a:ext uri="{FF2B5EF4-FFF2-40B4-BE49-F238E27FC236}">
                  <a16:creationId xmlns:a16="http://schemas.microsoft.com/office/drawing/2014/main" id="{00000000-0008-0000-0200-0000B4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73" name="Rectangle 497">
              <a:extLst>
                <a:ext uri="{FF2B5EF4-FFF2-40B4-BE49-F238E27FC236}">
                  <a16:creationId xmlns:a16="http://schemas.microsoft.com/office/drawing/2014/main" id="{00000000-0008-0000-0200-0000B5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74" name="Rectangle 498">
              <a:extLst>
                <a:ext uri="{FF2B5EF4-FFF2-40B4-BE49-F238E27FC236}">
                  <a16:creationId xmlns:a16="http://schemas.microsoft.com/office/drawing/2014/main" id="{00000000-0008-0000-0200-0000B6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75" name="Rectangle 499">
              <a:extLst>
                <a:ext uri="{FF2B5EF4-FFF2-40B4-BE49-F238E27FC236}">
                  <a16:creationId xmlns:a16="http://schemas.microsoft.com/office/drawing/2014/main" id="{00000000-0008-0000-0200-0000B7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76" name="Rectangle 500">
              <a:extLst>
                <a:ext uri="{FF2B5EF4-FFF2-40B4-BE49-F238E27FC236}">
                  <a16:creationId xmlns:a16="http://schemas.microsoft.com/office/drawing/2014/main" id="{00000000-0008-0000-0200-0000B8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2</xdr:row>
      <xdr:rowOff>546100</xdr:rowOff>
    </xdr:to>
    <xdr:grpSp>
      <xdr:nvGrpSpPr>
        <xdr:cNvPr id="1206585" name="Group 501">
          <a:extLst>
            <a:ext uri="{FF2B5EF4-FFF2-40B4-BE49-F238E27FC236}">
              <a16:creationId xmlns:a16="http://schemas.microsoft.com/office/drawing/2014/main" id="{00000000-0008-0000-0200-000039691200}"/>
            </a:ext>
          </a:extLst>
        </xdr:cNvPr>
        <xdr:cNvGrpSpPr>
          <a:grpSpLocks/>
        </xdr:cNvGrpSpPr>
      </xdr:nvGrpSpPr>
      <xdr:grpSpPr bwMode="auto">
        <a:xfrm>
          <a:off x="7581900" y="1295400"/>
          <a:ext cx="0" cy="381000"/>
          <a:chOff x="335" y="195"/>
          <a:chExt cx="352" cy="282"/>
        </a:xfrm>
      </xdr:grpSpPr>
      <xdr:grpSp>
        <xdr:nvGrpSpPr>
          <xdr:cNvPr id="1211543" name="Group 502">
            <a:extLst>
              <a:ext uri="{FF2B5EF4-FFF2-40B4-BE49-F238E27FC236}">
                <a16:creationId xmlns:a16="http://schemas.microsoft.com/office/drawing/2014/main" id="{00000000-0008-0000-0200-0000977C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1555" name="Rectangle 503">
              <a:extLst>
                <a:ext uri="{FF2B5EF4-FFF2-40B4-BE49-F238E27FC236}">
                  <a16:creationId xmlns:a16="http://schemas.microsoft.com/office/drawing/2014/main" id="{00000000-0008-0000-0200-0000A3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56" name="Line 504">
              <a:extLst>
                <a:ext uri="{FF2B5EF4-FFF2-40B4-BE49-F238E27FC236}">
                  <a16:creationId xmlns:a16="http://schemas.microsoft.com/office/drawing/2014/main" id="{00000000-0008-0000-0200-0000A47C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57" name="Line 505">
              <a:extLst>
                <a:ext uri="{FF2B5EF4-FFF2-40B4-BE49-F238E27FC236}">
                  <a16:creationId xmlns:a16="http://schemas.microsoft.com/office/drawing/2014/main" id="{00000000-0008-0000-0200-0000A57C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58" name="Rectangle 506">
              <a:extLst>
                <a:ext uri="{FF2B5EF4-FFF2-40B4-BE49-F238E27FC236}">
                  <a16:creationId xmlns:a16="http://schemas.microsoft.com/office/drawing/2014/main" id="{00000000-0008-0000-0200-0000A6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59" name="Oval 507">
              <a:extLst>
                <a:ext uri="{FF2B5EF4-FFF2-40B4-BE49-F238E27FC236}">
                  <a16:creationId xmlns:a16="http://schemas.microsoft.com/office/drawing/2014/main" id="{00000000-0008-0000-0200-0000A7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60" name="Oval 508">
              <a:extLst>
                <a:ext uri="{FF2B5EF4-FFF2-40B4-BE49-F238E27FC236}">
                  <a16:creationId xmlns:a16="http://schemas.microsoft.com/office/drawing/2014/main" id="{00000000-0008-0000-0200-0000A8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61" name="Rectangle 509">
              <a:extLst>
                <a:ext uri="{FF2B5EF4-FFF2-40B4-BE49-F238E27FC236}">
                  <a16:creationId xmlns:a16="http://schemas.microsoft.com/office/drawing/2014/main" id="{00000000-0008-0000-0200-0000A9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62" name="Rectangle 510">
              <a:extLst>
                <a:ext uri="{FF2B5EF4-FFF2-40B4-BE49-F238E27FC236}">
                  <a16:creationId xmlns:a16="http://schemas.microsoft.com/office/drawing/2014/main" id="{00000000-0008-0000-0200-0000AA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63" name="Rectangle 511">
              <a:extLst>
                <a:ext uri="{FF2B5EF4-FFF2-40B4-BE49-F238E27FC236}">
                  <a16:creationId xmlns:a16="http://schemas.microsoft.com/office/drawing/2014/main" id="{00000000-0008-0000-0200-0000AB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64" name="Rectangle 512">
              <a:extLst>
                <a:ext uri="{FF2B5EF4-FFF2-40B4-BE49-F238E27FC236}">
                  <a16:creationId xmlns:a16="http://schemas.microsoft.com/office/drawing/2014/main" id="{00000000-0008-0000-0200-0000AC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1544" name="Group 513">
            <a:extLst>
              <a:ext uri="{FF2B5EF4-FFF2-40B4-BE49-F238E27FC236}">
                <a16:creationId xmlns:a16="http://schemas.microsoft.com/office/drawing/2014/main" id="{00000000-0008-0000-0200-0000987C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1545" name="Rectangle 514">
              <a:extLst>
                <a:ext uri="{FF2B5EF4-FFF2-40B4-BE49-F238E27FC236}">
                  <a16:creationId xmlns:a16="http://schemas.microsoft.com/office/drawing/2014/main" id="{00000000-0008-0000-0200-000099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46" name="Line 515">
              <a:extLst>
                <a:ext uri="{FF2B5EF4-FFF2-40B4-BE49-F238E27FC236}">
                  <a16:creationId xmlns:a16="http://schemas.microsoft.com/office/drawing/2014/main" id="{00000000-0008-0000-0200-00009A7C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47" name="Line 516">
              <a:extLst>
                <a:ext uri="{FF2B5EF4-FFF2-40B4-BE49-F238E27FC236}">
                  <a16:creationId xmlns:a16="http://schemas.microsoft.com/office/drawing/2014/main" id="{00000000-0008-0000-0200-00009B7C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48" name="Rectangle 517">
              <a:extLst>
                <a:ext uri="{FF2B5EF4-FFF2-40B4-BE49-F238E27FC236}">
                  <a16:creationId xmlns:a16="http://schemas.microsoft.com/office/drawing/2014/main" id="{00000000-0008-0000-0200-00009C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49" name="Oval 518">
              <a:extLst>
                <a:ext uri="{FF2B5EF4-FFF2-40B4-BE49-F238E27FC236}">
                  <a16:creationId xmlns:a16="http://schemas.microsoft.com/office/drawing/2014/main" id="{00000000-0008-0000-0200-00009D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50" name="Oval 519">
              <a:extLst>
                <a:ext uri="{FF2B5EF4-FFF2-40B4-BE49-F238E27FC236}">
                  <a16:creationId xmlns:a16="http://schemas.microsoft.com/office/drawing/2014/main" id="{00000000-0008-0000-0200-00009E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51" name="Rectangle 520">
              <a:extLst>
                <a:ext uri="{FF2B5EF4-FFF2-40B4-BE49-F238E27FC236}">
                  <a16:creationId xmlns:a16="http://schemas.microsoft.com/office/drawing/2014/main" id="{00000000-0008-0000-0200-00009F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52" name="Rectangle 521">
              <a:extLst>
                <a:ext uri="{FF2B5EF4-FFF2-40B4-BE49-F238E27FC236}">
                  <a16:creationId xmlns:a16="http://schemas.microsoft.com/office/drawing/2014/main" id="{00000000-0008-0000-0200-0000A0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53" name="Rectangle 522">
              <a:extLst>
                <a:ext uri="{FF2B5EF4-FFF2-40B4-BE49-F238E27FC236}">
                  <a16:creationId xmlns:a16="http://schemas.microsoft.com/office/drawing/2014/main" id="{00000000-0008-0000-0200-0000A1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54" name="Rectangle 523">
              <a:extLst>
                <a:ext uri="{FF2B5EF4-FFF2-40B4-BE49-F238E27FC236}">
                  <a16:creationId xmlns:a16="http://schemas.microsoft.com/office/drawing/2014/main" id="{00000000-0008-0000-0200-0000A2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2</xdr:row>
      <xdr:rowOff>546100</xdr:rowOff>
    </xdr:to>
    <xdr:grpSp>
      <xdr:nvGrpSpPr>
        <xdr:cNvPr id="1206586" name="Group 524">
          <a:extLst>
            <a:ext uri="{FF2B5EF4-FFF2-40B4-BE49-F238E27FC236}">
              <a16:creationId xmlns:a16="http://schemas.microsoft.com/office/drawing/2014/main" id="{00000000-0008-0000-0200-00003A691200}"/>
            </a:ext>
          </a:extLst>
        </xdr:cNvPr>
        <xdr:cNvGrpSpPr>
          <a:grpSpLocks/>
        </xdr:cNvGrpSpPr>
      </xdr:nvGrpSpPr>
      <xdr:grpSpPr bwMode="auto">
        <a:xfrm>
          <a:off x="7581900" y="1295400"/>
          <a:ext cx="0" cy="381000"/>
          <a:chOff x="335" y="195"/>
          <a:chExt cx="352" cy="282"/>
        </a:xfrm>
      </xdr:grpSpPr>
      <xdr:grpSp>
        <xdr:nvGrpSpPr>
          <xdr:cNvPr id="1211521" name="Group 525">
            <a:extLst>
              <a:ext uri="{FF2B5EF4-FFF2-40B4-BE49-F238E27FC236}">
                <a16:creationId xmlns:a16="http://schemas.microsoft.com/office/drawing/2014/main" id="{00000000-0008-0000-0200-0000817C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1533" name="Rectangle 526">
              <a:extLst>
                <a:ext uri="{FF2B5EF4-FFF2-40B4-BE49-F238E27FC236}">
                  <a16:creationId xmlns:a16="http://schemas.microsoft.com/office/drawing/2014/main" id="{00000000-0008-0000-0200-00008D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34" name="Line 527">
              <a:extLst>
                <a:ext uri="{FF2B5EF4-FFF2-40B4-BE49-F238E27FC236}">
                  <a16:creationId xmlns:a16="http://schemas.microsoft.com/office/drawing/2014/main" id="{00000000-0008-0000-0200-00008E7C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35" name="Line 528">
              <a:extLst>
                <a:ext uri="{FF2B5EF4-FFF2-40B4-BE49-F238E27FC236}">
                  <a16:creationId xmlns:a16="http://schemas.microsoft.com/office/drawing/2014/main" id="{00000000-0008-0000-0200-00008F7C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36" name="Rectangle 529">
              <a:extLst>
                <a:ext uri="{FF2B5EF4-FFF2-40B4-BE49-F238E27FC236}">
                  <a16:creationId xmlns:a16="http://schemas.microsoft.com/office/drawing/2014/main" id="{00000000-0008-0000-0200-000090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37" name="Oval 530">
              <a:extLst>
                <a:ext uri="{FF2B5EF4-FFF2-40B4-BE49-F238E27FC236}">
                  <a16:creationId xmlns:a16="http://schemas.microsoft.com/office/drawing/2014/main" id="{00000000-0008-0000-0200-000091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38" name="Oval 531">
              <a:extLst>
                <a:ext uri="{FF2B5EF4-FFF2-40B4-BE49-F238E27FC236}">
                  <a16:creationId xmlns:a16="http://schemas.microsoft.com/office/drawing/2014/main" id="{00000000-0008-0000-0200-000092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39" name="Rectangle 532">
              <a:extLst>
                <a:ext uri="{FF2B5EF4-FFF2-40B4-BE49-F238E27FC236}">
                  <a16:creationId xmlns:a16="http://schemas.microsoft.com/office/drawing/2014/main" id="{00000000-0008-0000-0200-000093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40" name="Rectangle 533">
              <a:extLst>
                <a:ext uri="{FF2B5EF4-FFF2-40B4-BE49-F238E27FC236}">
                  <a16:creationId xmlns:a16="http://schemas.microsoft.com/office/drawing/2014/main" id="{00000000-0008-0000-0200-000094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41" name="Rectangle 534">
              <a:extLst>
                <a:ext uri="{FF2B5EF4-FFF2-40B4-BE49-F238E27FC236}">
                  <a16:creationId xmlns:a16="http://schemas.microsoft.com/office/drawing/2014/main" id="{00000000-0008-0000-0200-000095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42" name="Rectangle 535">
              <a:extLst>
                <a:ext uri="{FF2B5EF4-FFF2-40B4-BE49-F238E27FC236}">
                  <a16:creationId xmlns:a16="http://schemas.microsoft.com/office/drawing/2014/main" id="{00000000-0008-0000-0200-000096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1522" name="Group 536">
            <a:extLst>
              <a:ext uri="{FF2B5EF4-FFF2-40B4-BE49-F238E27FC236}">
                <a16:creationId xmlns:a16="http://schemas.microsoft.com/office/drawing/2014/main" id="{00000000-0008-0000-0200-0000827C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1523" name="Rectangle 537">
              <a:extLst>
                <a:ext uri="{FF2B5EF4-FFF2-40B4-BE49-F238E27FC236}">
                  <a16:creationId xmlns:a16="http://schemas.microsoft.com/office/drawing/2014/main" id="{00000000-0008-0000-0200-000083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24" name="Line 538">
              <a:extLst>
                <a:ext uri="{FF2B5EF4-FFF2-40B4-BE49-F238E27FC236}">
                  <a16:creationId xmlns:a16="http://schemas.microsoft.com/office/drawing/2014/main" id="{00000000-0008-0000-0200-0000847C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25" name="Line 539">
              <a:extLst>
                <a:ext uri="{FF2B5EF4-FFF2-40B4-BE49-F238E27FC236}">
                  <a16:creationId xmlns:a16="http://schemas.microsoft.com/office/drawing/2014/main" id="{00000000-0008-0000-0200-0000857C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26" name="Rectangle 540">
              <a:extLst>
                <a:ext uri="{FF2B5EF4-FFF2-40B4-BE49-F238E27FC236}">
                  <a16:creationId xmlns:a16="http://schemas.microsoft.com/office/drawing/2014/main" id="{00000000-0008-0000-0200-000086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27" name="Oval 541">
              <a:extLst>
                <a:ext uri="{FF2B5EF4-FFF2-40B4-BE49-F238E27FC236}">
                  <a16:creationId xmlns:a16="http://schemas.microsoft.com/office/drawing/2014/main" id="{00000000-0008-0000-0200-000087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28" name="Oval 542">
              <a:extLst>
                <a:ext uri="{FF2B5EF4-FFF2-40B4-BE49-F238E27FC236}">
                  <a16:creationId xmlns:a16="http://schemas.microsoft.com/office/drawing/2014/main" id="{00000000-0008-0000-0200-000088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29" name="Rectangle 543">
              <a:extLst>
                <a:ext uri="{FF2B5EF4-FFF2-40B4-BE49-F238E27FC236}">
                  <a16:creationId xmlns:a16="http://schemas.microsoft.com/office/drawing/2014/main" id="{00000000-0008-0000-0200-000089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30" name="Rectangle 544">
              <a:extLst>
                <a:ext uri="{FF2B5EF4-FFF2-40B4-BE49-F238E27FC236}">
                  <a16:creationId xmlns:a16="http://schemas.microsoft.com/office/drawing/2014/main" id="{00000000-0008-0000-0200-00008A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31" name="Rectangle 545">
              <a:extLst>
                <a:ext uri="{FF2B5EF4-FFF2-40B4-BE49-F238E27FC236}">
                  <a16:creationId xmlns:a16="http://schemas.microsoft.com/office/drawing/2014/main" id="{00000000-0008-0000-0200-00008B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32" name="Rectangle 546">
              <a:extLst>
                <a:ext uri="{FF2B5EF4-FFF2-40B4-BE49-F238E27FC236}">
                  <a16:creationId xmlns:a16="http://schemas.microsoft.com/office/drawing/2014/main" id="{00000000-0008-0000-0200-00008C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2</xdr:row>
      <xdr:rowOff>546100</xdr:rowOff>
    </xdr:to>
    <xdr:grpSp>
      <xdr:nvGrpSpPr>
        <xdr:cNvPr id="1206587" name="Group 547">
          <a:extLst>
            <a:ext uri="{FF2B5EF4-FFF2-40B4-BE49-F238E27FC236}">
              <a16:creationId xmlns:a16="http://schemas.microsoft.com/office/drawing/2014/main" id="{00000000-0008-0000-0200-00003B691200}"/>
            </a:ext>
          </a:extLst>
        </xdr:cNvPr>
        <xdr:cNvGrpSpPr>
          <a:grpSpLocks/>
        </xdr:cNvGrpSpPr>
      </xdr:nvGrpSpPr>
      <xdr:grpSpPr bwMode="auto">
        <a:xfrm>
          <a:off x="7581900" y="1295400"/>
          <a:ext cx="0" cy="381000"/>
          <a:chOff x="335" y="195"/>
          <a:chExt cx="352" cy="282"/>
        </a:xfrm>
      </xdr:grpSpPr>
      <xdr:grpSp>
        <xdr:nvGrpSpPr>
          <xdr:cNvPr id="1211499" name="Group 548">
            <a:extLst>
              <a:ext uri="{FF2B5EF4-FFF2-40B4-BE49-F238E27FC236}">
                <a16:creationId xmlns:a16="http://schemas.microsoft.com/office/drawing/2014/main" id="{00000000-0008-0000-0200-00006B7C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1511" name="Rectangle 549">
              <a:extLst>
                <a:ext uri="{FF2B5EF4-FFF2-40B4-BE49-F238E27FC236}">
                  <a16:creationId xmlns:a16="http://schemas.microsoft.com/office/drawing/2014/main" id="{00000000-0008-0000-0200-000077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12" name="Line 550">
              <a:extLst>
                <a:ext uri="{FF2B5EF4-FFF2-40B4-BE49-F238E27FC236}">
                  <a16:creationId xmlns:a16="http://schemas.microsoft.com/office/drawing/2014/main" id="{00000000-0008-0000-0200-0000787C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13" name="Line 551">
              <a:extLst>
                <a:ext uri="{FF2B5EF4-FFF2-40B4-BE49-F238E27FC236}">
                  <a16:creationId xmlns:a16="http://schemas.microsoft.com/office/drawing/2014/main" id="{00000000-0008-0000-0200-0000797C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14" name="Rectangle 552">
              <a:extLst>
                <a:ext uri="{FF2B5EF4-FFF2-40B4-BE49-F238E27FC236}">
                  <a16:creationId xmlns:a16="http://schemas.microsoft.com/office/drawing/2014/main" id="{00000000-0008-0000-0200-00007A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15" name="Oval 553">
              <a:extLst>
                <a:ext uri="{FF2B5EF4-FFF2-40B4-BE49-F238E27FC236}">
                  <a16:creationId xmlns:a16="http://schemas.microsoft.com/office/drawing/2014/main" id="{00000000-0008-0000-0200-00007B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16" name="Oval 554">
              <a:extLst>
                <a:ext uri="{FF2B5EF4-FFF2-40B4-BE49-F238E27FC236}">
                  <a16:creationId xmlns:a16="http://schemas.microsoft.com/office/drawing/2014/main" id="{00000000-0008-0000-0200-00007C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17" name="Rectangle 555">
              <a:extLst>
                <a:ext uri="{FF2B5EF4-FFF2-40B4-BE49-F238E27FC236}">
                  <a16:creationId xmlns:a16="http://schemas.microsoft.com/office/drawing/2014/main" id="{00000000-0008-0000-0200-00007D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18" name="Rectangle 556">
              <a:extLst>
                <a:ext uri="{FF2B5EF4-FFF2-40B4-BE49-F238E27FC236}">
                  <a16:creationId xmlns:a16="http://schemas.microsoft.com/office/drawing/2014/main" id="{00000000-0008-0000-0200-00007E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19" name="Rectangle 557">
              <a:extLst>
                <a:ext uri="{FF2B5EF4-FFF2-40B4-BE49-F238E27FC236}">
                  <a16:creationId xmlns:a16="http://schemas.microsoft.com/office/drawing/2014/main" id="{00000000-0008-0000-0200-00007F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20" name="Rectangle 558">
              <a:extLst>
                <a:ext uri="{FF2B5EF4-FFF2-40B4-BE49-F238E27FC236}">
                  <a16:creationId xmlns:a16="http://schemas.microsoft.com/office/drawing/2014/main" id="{00000000-0008-0000-0200-000080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1500" name="Group 559">
            <a:extLst>
              <a:ext uri="{FF2B5EF4-FFF2-40B4-BE49-F238E27FC236}">
                <a16:creationId xmlns:a16="http://schemas.microsoft.com/office/drawing/2014/main" id="{00000000-0008-0000-0200-00006C7C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1501" name="Rectangle 560">
              <a:extLst>
                <a:ext uri="{FF2B5EF4-FFF2-40B4-BE49-F238E27FC236}">
                  <a16:creationId xmlns:a16="http://schemas.microsoft.com/office/drawing/2014/main" id="{00000000-0008-0000-0200-00006D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02" name="Line 561">
              <a:extLst>
                <a:ext uri="{FF2B5EF4-FFF2-40B4-BE49-F238E27FC236}">
                  <a16:creationId xmlns:a16="http://schemas.microsoft.com/office/drawing/2014/main" id="{00000000-0008-0000-0200-00006E7C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03" name="Line 562">
              <a:extLst>
                <a:ext uri="{FF2B5EF4-FFF2-40B4-BE49-F238E27FC236}">
                  <a16:creationId xmlns:a16="http://schemas.microsoft.com/office/drawing/2014/main" id="{00000000-0008-0000-0200-00006F7C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04" name="Rectangle 563">
              <a:extLst>
                <a:ext uri="{FF2B5EF4-FFF2-40B4-BE49-F238E27FC236}">
                  <a16:creationId xmlns:a16="http://schemas.microsoft.com/office/drawing/2014/main" id="{00000000-0008-0000-0200-000070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05" name="Oval 564">
              <a:extLst>
                <a:ext uri="{FF2B5EF4-FFF2-40B4-BE49-F238E27FC236}">
                  <a16:creationId xmlns:a16="http://schemas.microsoft.com/office/drawing/2014/main" id="{00000000-0008-0000-0200-000071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06" name="Oval 565">
              <a:extLst>
                <a:ext uri="{FF2B5EF4-FFF2-40B4-BE49-F238E27FC236}">
                  <a16:creationId xmlns:a16="http://schemas.microsoft.com/office/drawing/2014/main" id="{00000000-0008-0000-0200-000072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07" name="Rectangle 566">
              <a:extLst>
                <a:ext uri="{FF2B5EF4-FFF2-40B4-BE49-F238E27FC236}">
                  <a16:creationId xmlns:a16="http://schemas.microsoft.com/office/drawing/2014/main" id="{00000000-0008-0000-0200-000073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08" name="Rectangle 567">
              <a:extLst>
                <a:ext uri="{FF2B5EF4-FFF2-40B4-BE49-F238E27FC236}">
                  <a16:creationId xmlns:a16="http://schemas.microsoft.com/office/drawing/2014/main" id="{00000000-0008-0000-0200-000074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09" name="Rectangle 568">
              <a:extLst>
                <a:ext uri="{FF2B5EF4-FFF2-40B4-BE49-F238E27FC236}">
                  <a16:creationId xmlns:a16="http://schemas.microsoft.com/office/drawing/2014/main" id="{00000000-0008-0000-0200-000075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10" name="Rectangle 569">
              <a:extLst>
                <a:ext uri="{FF2B5EF4-FFF2-40B4-BE49-F238E27FC236}">
                  <a16:creationId xmlns:a16="http://schemas.microsoft.com/office/drawing/2014/main" id="{00000000-0008-0000-0200-000076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2</xdr:row>
      <xdr:rowOff>546100</xdr:rowOff>
    </xdr:to>
    <xdr:grpSp>
      <xdr:nvGrpSpPr>
        <xdr:cNvPr id="1206588" name="Group 570">
          <a:extLst>
            <a:ext uri="{FF2B5EF4-FFF2-40B4-BE49-F238E27FC236}">
              <a16:creationId xmlns:a16="http://schemas.microsoft.com/office/drawing/2014/main" id="{00000000-0008-0000-0200-00003C691200}"/>
            </a:ext>
          </a:extLst>
        </xdr:cNvPr>
        <xdr:cNvGrpSpPr>
          <a:grpSpLocks/>
        </xdr:cNvGrpSpPr>
      </xdr:nvGrpSpPr>
      <xdr:grpSpPr bwMode="auto">
        <a:xfrm>
          <a:off x="7581900" y="1295400"/>
          <a:ext cx="0" cy="381000"/>
          <a:chOff x="335" y="195"/>
          <a:chExt cx="352" cy="282"/>
        </a:xfrm>
      </xdr:grpSpPr>
      <xdr:grpSp>
        <xdr:nvGrpSpPr>
          <xdr:cNvPr id="1211477" name="Group 571">
            <a:extLst>
              <a:ext uri="{FF2B5EF4-FFF2-40B4-BE49-F238E27FC236}">
                <a16:creationId xmlns:a16="http://schemas.microsoft.com/office/drawing/2014/main" id="{00000000-0008-0000-0200-0000557C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1489" name="Rectangle 572">
              <a:extLst>
                <a:ext uri="{FF2B5EF4-FFF2-40B4-BE49-F238E27FC236}">
                  <a16:creationId xmlns:a16="http://schemas.microsoft.com/office/drawing/2014/main" id="{00000000-0008-0000-0200-000061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90" name="Line 573">
              <a:extLst>
                <a:ext uri="{FF2B5EF4-FFF2-40B4-BE49-F238E27FC236}">
                  <a16:creationId xmlns:a16="http://schemas.microsoft.com/office/drawing/2014/main" id="{00000000-0008-0000-0200-0000627C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91" name="Line 574">
              <a:extLst>
                <a:ext uri="{FF2B5EF4-FFF2-40B4-BE49-F238E27FC236}">
                  <a16:creationId xmlns:a16="http://schemas.microsoft.com/office/drawing/2014/main" id="{00000000-0008-0000-0200-0000637C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92" name="Rectangle 575">
              <a:extLst>
                <a:ext uri="{FF2B5EF4-FFF2-40B4-BE49-F238E27FC236}">
                  <a16:creationId xmlns:a16="http://schemas.microsoft.com/office/drawing/2014/main" id="{00000000-0008-0000-0200-000064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93" name="Oval 576">
              <a:extLst>
                <a:ext uri="{FF2B5EF4-FFF2-40B4-BE49-F238E27FC236}">
                  <a16:creationId xmlns:a16="http://schemas.microsoft.com/office/drawing/2014/main" id="{00000000-0008-0000-0200-000065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94" name="Oval 577">
              <a:extLst>
                <a:ext uri="{FF2B5EF4-FFF2-40B4-BE49-F238E27FC236}">
                  <a16:creationId xmlns:a16="http://schemas.microsoft.com/office/drawing/2014/main" id="{00000000-0008-0000-0200-000066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95" name="Rectangle 578">
              <a:extLst>
                <a:ext uri="{FF2B5EF4-FFF2-40B4-BE49-F238E27FC236}">
                  <a16:creationId xmlns:a16="http://schemas.microsoft.com/office/drawing/2014/main" id="{00000000-0008-0000-0200-000067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96" name="Rectangle 579">
              <a:extLst>
                <a:ext uri="{FF2B5EF4-FFF2-40B4-BE49-F238E27FC236}">
                  <a16:creationId xmlns:a16="http://schemas.microsoft.com/office/drawing/2014/main" id="{00000000-0008-0000-0200-000068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97" name="Rectangle 580">
              <a:extLst>
                <a:ext uri="{FF2B5EF4-FFF2-40B4-BE49-F238E27FC236}">
                  <a16:creationId xmlns:a16="http://schemas.microsoft.com/office/drawing/2014/main" id="{00000000-0008-0000-0200-000069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98" name="Rectangle 581">
              <a:extLst>
                <a:ext uri="{FF2B5EF4-FFF2-40B4-BE49-F238E27FC236}">
                  <a16:creationId xmlns:a16="http://schemas.microsoft.com/office/drawing/2014/main" id="{00000000-0008-0000-0200-00006A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1478" name="Group 582">
            <a:extLst>
              <a:ext uri="{FF2B5EF4-FFF2-40B4-BE49-F238E27FC236}">
                <a16:creationId xmlns:a16="http://schemas.microsoft.com/office/drawing/2014/main" id="{00000000-0008-0000-0200-0000567C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1479" name="Rectangle 583">
              <a:extLst>
                <a:ext uri="{FF2B5EF4-FFF2-40B4-BE49-F238E27FC236}">
                  <a16:creationId xmlns:a16="http://schemas.microsoft.com/office/drawing/2014/main" id="{00000000-0008-0000-0200-000057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80" name="Line 584">
              <a:extLst>
                <a:ext uri="{FF2B5EF4-FFF2-40B4-BE49-F238E27FC236}">
                  <a16:creationId xmlns:a16="http://schemas.microsoft.com/office/drawing/2014/main" id="{00000000-0008-0000-0200-0000587C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81" name="Line 585">
              <a:extLst>
                <a:ext uri="{FF2B5EF4-FFF2-40B4-BE49-F238E27FC236}">
                  <a16:creationId xmlns:a16="http://schemas.microsoft.com/office/drawing/2014/main" id="{00000000-0008-0000-0200-0000597C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82" name="Rectangle 586">
              <a:extLst>
                <a:ext uri="{FF2B5EF4-FFF2-40B4-BE49-F238E27FC236}">
                  <a16:creationId xmlns:a16="http://schemas.microsoft.com/office/drawing/2014/main" id="{00000000-0008-0000-0200-00005A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83" name="Oval 587">
              <a:extLst>
                <a:ext uri="{FF2B5EF4-FFF2-40B4-BE49-F238E27FC236}">
                  <a16:creationId xmlns:a16="http://schemas.microsoft.com/office/drawing/2014/main" id="{00000000-0008-0000-0200-00005B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84" name="Oval 588">
              <a:extLst>
                <a:ext uri="{FF2B5EF4-FFF2-40B4-BE49-F238E27FC236}">
                  <a16:creationId xmlns:a16="http://schemas.microsoft.com/office/drawing/2014/main" id="{00000000-0008-0000-0200-00005C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85" name="Rectangle 589">
              <a:extLst>
                <a:ext uri="{FF2B5EF4-FFF2-40B4-BE49-F238E27FC236}">
                  <a16:creationId xmlns:a16="http://schemas.microsoft.com/office/drawing/2014/main" id="{00000000-0008-0000-0200-00005D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86" name="Rectangle 590">
              <a:extLst>
                <a:ext uri="{FF2B5EF4-FFF2-40B4-BE49-F238E27FC236}">
                  <a16:creationId xmlns:a16="http://schemas.microsoft.com/office/drawing/2014/main" id="{00000000-0008-0000-0200-00005E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87" name="Rectangle 591">
              <a:extLst>
                <a:ext uri="{FF2B5EF4-FFF2-40B4-BE49-F238E27FC236}">
                  <a16:creationId xmlns:a16="http://schemas.microsoft.com/office/drawing/2014/main" id="{00000000-0008-0000-0200-00005F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88" name="Rectangle 592">
              <a:extLst>
                <a:ext uri="{FF2B5EF4-FFF2-40B4-BE49-F238E27FC236}">
                  <a16:creationId xmlns:a16="http://schemas.microsoft.com/office/drawing/2014/main" id="{00000000-0008-0000-0200-000060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2</xdr:row>
      <xdr:rowOff>546100</xdr:rowOff>
    </xdr:to>
    <xdr:grpSp>
      <xdr:nvGrpSpPr>
        <xdr:cNvPr id="1206589" name="Group 593">
          <a:extLst>
            <a:ext uri="{FF2B5EF4-FFF2-40B4-BE49-F238E27FC236}">
              <a16:creationId xmlns:a16="http://schemas.microsoft.com/office/drawing/2014/main" id="{00000000-0008-0000-0200-00003D691200}"/>
            </a:ext>
          </a:extLst>
        </xdr:cNvPr>
        <xdr:cNvGrpSpPr>
          <a:grpSpLocks/>
        </xdr:cNvGrpSpPr>
      </xdr:nvGrpSpPr>
      <xdr:grpSpPr bwMode="auto">
        <a:xfrm>
          <a:off x="7581900" y="1295400"/>
          <a:ext cx="0" cy="381000"/>
          <a:chOff x="335" y="195"/>
          <a:chExt cx="352" cy="282"/>
        </a:xfrm>
      </xdr:grpSpPr>
      <xdr:grpSp>
        <xdr:nvGrpSpPr>
          <xdr:cNvPr id="1211455" name="Group 594">
            <a:extLst>
              <a:ext uri="{FF2B5EF4-FFF2-40B4-BE49-F238E27FC236}">
                <a16:creationId xmlns:a16="http://schemas.microsoft.com/office/drawing/2014/main" id="{00000000-0008-0000-0200-00003F7C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1467" name="Rectangle 595">
              <a:extLst>
                <a:ext uri="{FF2B5EF4-FFF2-40B4-BE49-F238E27FC236}">
                  <a16:creationId xmlns:a16="http://schemas.microsoft.com/office/drawing/2014/main" id="{00000000-0008-0000-0200-00004B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68" name="Line 596">
              <a:extLst>
                <a:ext uri="{FF2B5EF4-FFF2-40B4-BE49-F238E27FC236}">
                  <a16:creationId xmlns:a16="http://schemas.microsoft.com/office/drawing/2014/main" id="{00000000-0008-0000-0200-00004C7C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69" name="Line 597">
              <a:extLst>
                <a:ext uri="{FF2B5EF4-FFF2-40B4-BE49-F238E27FC236}">
                  <a16:creationId xmlns:a16="http://schemas.microsoft.com/office/drawing/2014/main" id="{00000000-0008-0000-0200-00004D7C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70" name="Rectangle 598">
              <a:extLst>
                <a:ext uri="{FF2B5EF4-FFF2-40B4-BE49-F238E27FC236}">
                  <a16:creationId xmlns:a16="http://schemas.microsoft.com/office/drawing/2014/main" id="{00000000-0008-0000-0200-00004E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71" name="Oval 599">
              <a:extLst>
                <a:ext uri="{FF2B5EF4-FFF2-40B4-BE49-F238E27FC236}">
                  <a16:creationId xmlns:a16="http://schemas.microsoft.com/office/drawing/2014/main" id="{00000000-0008-0000-0200-00004F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72" name="Oval 600">
              <a:extLst>
                <a:ext uri="{FF2B5EF4-FFF2-40B4-BE49-F238E27FC236}">
                  <a16:creationId xmlns:a16="http://schemas.microsoft.com/office/drawing/2014/main" id="{00000000-0008-0000-0200-000050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73" name="Rectangle 601">
              <a:extLst>
                <a:ext uri="{FF2B5EF4-FFF2-40B4-BE49-F238E27FC236}">
                  <a16:creationId xmlns:a16="http://schemas.microsoft.com/office/drawing/2014/main" id="{00000000-0008-0000-0200-000051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74" name="Rectangle 602">
              <a:extLst>
                <a:ext uri="{FF2B5EF4-FFF2-40B4-BE49-F238E27FC236}">
                  <a16:creationId xmlns:a16="http://schemas.microsoft.com/office/drawing/2014/main" id="{00000000-0008-0000-0200-000052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75" name="Rectangle 603">
              <a:extLst>
                <a:ext uri="{FF2B5EF4-FFF2-40B4-BE49-F238E27FC236}">
                  <a16:creationId xmlns:a16="http://schemas.microsoft.com/office/drawing/2014/main" id="{00000000-0008-0000-0200-000053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76" name="Rectangle 604">
              <a:extLst>
                <a:ext uri="{FF2B5EF4-FFF2-40B4-BE49-F238E27FC236}">
                  <a16:creationId xmlns:a16="http://schemas.microsoft.com/office/drawing/2014/main" id="{00000000-0008-0000-0200-000054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1456" name="Group 605">
            <a:extLst>
              <a:ext uri="{FF2B5EF4-FFF2-40B4-BE49-F238E27FC236}">
                <a16:creationId xmlns:a16="http://schemas.microsoft.com/office/drawing/2014/main" id="{00000000-0008-0000-0200-0000407C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1457" name="Rectangle 606">
              <a:extLst>
                <a:ext uri="{FF2B5EF4-FFF2-40B4-BE49-F238E27FC236}">
                  <a16:creationId xmlns:a16="http://schemas.microsoft.com/office/drawing/2014/main" id="{00000000-0008-0000-0200-000041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58" name="Line 607">
              <a:extLst>
                <a:ext uri="{FF2B5EF4-FFF2-40B4-BE49-F238E27FC236}">
                  <a16:creationId xmlns:a16="http://schemas.microsoft.com/office/drawing/2014/main" id="{00000000-0008-0000-0200-0000427C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59" name="Line 608">
              <a:extLst>
                <a:ext uri="{FF2B5EF4-FFF2-40B4-BE49-F238E27FC236}">
                  <a16:creationId xmlns:a16="http://schemas.microsoft.com/office/drawing/2014/main" id="{00000000-0008-0000-0200-0000437C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60" name="Rectangle 609">
              <a:extLst>
                <a:ext uri="{FF2B5EF4-FFF2-40B4-BE49-F238E27FC236}">
                  <a16:creationId xmlns:a16="http://schemas.microsoft.com/office/drawing/2014/main" id="{00000000-0008-0000-0200-000044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61" name="Oval 610">
              <a:extLst>
                <a:ext uri="{FF2B5EF4-FFF2-40B4-BE49-F238E27FC236}">
                  <a16:creationId xmlns:a16="http://schemas.microsoft.com/office/drawing/2014/main" id="{00000000-0008-0000-0200-000045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62" name="Oval 611">
              <a:extLst>
                <a:ext uri="{FF2B5EF4-FFF2-40B4-BE49-F238E27FC236}">
                  <a16:creationId xmlns:a16="http://schemas.microsoft.com/office/drawing/2014/main" id="{00000000-0008-0000-0200-000046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63" name="Rectangle 612">
              <a:extLst>
                <a:ext uri="{FF2B5EF4-FFF2-40B4-BE49-F238E27FC236}">
                  <a16:creationId xmlns:a16="http://schemas.microsoft.com/office/drawing/2014/main" id="{00000000-0008-0000-0200-000047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64" name="Rectangle 613">
              <a:extLst>
                <a:ext uri="{FF2B5EF4-FFF2-40B4-BE49-F238E27FC236}">
                  <a16:creationId xmlns:a16="http://schemas.microsoft.com/office/drawing/2014/main" id="{00000000-0008-0000-0200-000048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65" name="Rectangle 614">
              <a:extLst>
                <a:ext uri="{FF2B5EF4-FFF2-40B4-BE49-F238E27FC236}">
                  <a16:creationId xmlns:a16="http://schemas.microsoft.com/office/drawing/2014/main" id="{00000000-0008-0000-0200-000049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66" name="Rectangle 615">
              <a:extLst>
                <a:ext uri="{FF2B5EF4-FFF2-40B4-BE49-F238E27FC236}">
                  <a16:creationId xmlns:a16="http://schemas.microsoft.com/office/drawing/2014/main" id="{00000000-0008-0000-0200-00004A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06590" name="Group 616">
          <a:extLst>
            <a:ext uri="{FF2B5EF4-FFF2-40B4-BE49-F238E27FC236}">
              <a16:creationId xmlns:a16="http://schemas.microsoft.com/office/drawing/2014/main" id="{00000000-0008-0000-0200-00003E691200}"/>
            </a:ext>
          </a:extLst>
        </xdr:cNvPr>
        <xdr:cNvGrpSpPr>
          <a:grpSpLocks/>
        </xdr:cNvGrpSpPr>
      </xdr:nvGrpSpPr>
      <xdr:grpSpPr bwMode="auto">
        <a:xfrm>
          <a:off x="7581900" y="1295400"/>
          <a:ext cx="0" cy="685800"/>
          <a:chOff x="220" y="176"/>
          <a:chExt cx="556" cy="247"/>
        </a:xfrm>
      </xdr:grpSpPr>
      <xdr:sp macro="" textlink="">
        <xdr:nvSpPr>
          <xdr:cNvPr id="1211432" name="Rectangle 617">
            <a:extLst>
              <a:ext uri="{FF2B5EF4-FFF2-40B4-BE49-F238E27FC236}">
                <a16:creationId xmlns:a16="http://schemas.microsoft.com/office/drawing/2014/main" id="{00000000-0008-0000-0200-0000287C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33" name="Line 618">
            <a:extLst>
              <a:ext uri="{FF2B5EF4-FFF2-40B4-BE49-F238E27FC236}">
                <a16:creationId xmlns:a16="http://schemas.microsoft.com/office/drawing/2014/main" id="{00000000-0008-0000-0200-0000297C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34" name="Line 619">
            <a:extLst>
              <a:ext uri="{FF2B5EF4-FFF2-40B4-BE49-F238E27FC236}">
                <a16:creationId xmlns:a16="http://schemas.microsoft.com/office/drawing/2014/main" id="{00000000-0008-0000-0200-00002A7C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35" name="Rectangle 620">
            <a:extLst>
              <a:ext uri="{FF2B5EF4-FFF2-40B4-BE49-F238E27FC236}">
                <a16:creationId xmlns:a16="http://schemas.microsoft.com/office/drawing/2014/main" id="{00000000-0008-0000-0200-00002B7C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36" name="Oval 621">
            <a:extLst>
              <a:ext uri="{FF2B5EF4-FFF2-40B4-BE49-F238E27FC236}">
                <a16:creationId xmlns:a16="http://schemas.microsoft.com/office/drawing/2014/main" id="{00000000-0008-0000-0200-00002C7C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37" name="Oval 622">
            <a:extLst>
              <a:ext uri="{FF2B5EF4-FFF2-40B4-BE49-F238E27FC236}">
                <a16:creationId xmlns:a16="http://schemas.microsoft.com/office/drawing/2014/main" id="{00000000-0008-0000-0200-00002D7C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38" name="Rectangle 623">
            <a:extLst>
              <a:ext uri="{FF2B5EF4-FFF2-40B4-BE49-F238E27FC236}">
                <a16:creationId xmlns:a16="http://schemas.microsoft.com/office/drawing/2014/main" id="{00000000-0008-0000-0200-00002E7C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39" name="Rectangle 624">
            <a:extLst>
              <a:ext uri="{FF2B5EF4-FFF2-40B4-BE49-F238E27FC236}">
                <a16:creationId xmlns:a16="http://schemas.microsoft.com/office/drawing/2014/main" id="{00000000-0008-0000-0200-00002F7C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40" name="Rectangle 625">
            <a:extLst>
              <a:ext uri="{FF2B5EF4-FFF2-40B4-BE49-F238E27FC236}">
                <a16:creationId xmlns:a16="http://schemas.microsoft.com/office/drawing/2014/main" id="{00000000-0008-0000-0200-0000307C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41" name="Rectangle 626">
            <a:extLst>
              <a:ext uri="{FF2B5EF4-FFF2-40B4-BE49-F238E27FC236}">
                <a16:creationId xmlns:a16="http://schemas.microsoft.com/office/drawing/2014/main" id="{00000000-0008-0000-0200-0000317C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1442" name="Group 627">
            <a:extLst>
              <a:ext uri="{FF2B5EF4-FFF2-40B4-BE49-F238E27FC236}">
                <a16:creationId xmlns:a16="http://schemas.microsoft.com/office/drawing/2014/main" id="{00000000-0008-0000-0200-0000327C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1445" name="Rectangle 628">
              <a:extLst>
                <a:ext uri="{FF2B5EF4-FFF2-40B4-BE49-F238E27FC236}">
                  <a16:creationId xmlns:a16="http://schemas.microsoft.com/office/drawing/2014/main" id="{00000000-0008-0000-0200-000035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46" name="Line 629">
              <a:extLst>
                <a:ext uri="{FF2B5EF4-FFF2-40B4-BE49-F238E27FC236}">
                  <a16:creationId xmlns:a16="http://schemas.microsoft.com/office/drawing/2014/main" id="{00000000-0008-0000-0200-0000367C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47" name="Line 630">
              <a:extLst>
                <a:ext uri="{FF2B5EF4-FFF2-40B4-BE49-F238E27FC236}">
                  <a16:creationId xmlns:a16="http://schemas.microsoft.com/office/drawing/2014/main" id="{00000000-0008-0000-0200-0000377C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48" name="Rectangle 631">
              <a:extLst>
                <a:ext uri="{FF2B5EF4-FFF2-40B4-BE49-F238E27FC236}">
                  <a16:creationId xmlns:a16="http://schemas.microsoft.com/office/drawing/2014/main" id="{00000000-0008-0000-0200-000038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49" name="Oval 632">
              <a:extLst>
                <a:ext uri="{FF2B5EF4-FFF2-40B4-BE49-F238E27FC236}">
                  <a16:creationId xmlns:a16="http://schemas.microsoft.com/office/drawing/2014/main" id="{00000000-0008-0000-0200-000039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50" name="Oval 633">
              <a:extLst>
                <a:ext uri="{FF2B5EF4-FFF2-40B4-BE49-F238E27FC236}">
                  <a16:creationId xmlns:a16="http://schemas.microsoft.com/office/drawing/2014/main" id="{00000000-0008-0000-0200-00003A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51" name="Rectangle 634">
              <a:extLst>
                <a:ext uri="{FF2B5EF4-FFF2-40B4-BE49-F238E27FC236}">
                  <a16:creationId xmlns:a16="http://schemas.microsoft.com/office/drawing/2014/main" id="{00000000-0008-0000-0200-00003B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52" name="Rectangle 635">
              <a:extLst>
                <a:ext uri="{FF2B5EF4-FFF2-40B4-BE49-F238E27FC236}">
                  <a16:creationId xmlns:a16="http://schemas.microsoft.com/office/drawing/2014/main" id="{00000000-0008-0000-0200-00003C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53" name="Rectangle 636">
              <a:extLst>
                <a:ext uri="{FF2B5EF4-FFF2-40B4-BE49-F238E27FC236}">
                  <a16:creationId xmlns:a16="http://schemas.microsoft.com/office/drawing/2014/main" id="{00000000-0008-0000-0200-00003D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54" name="Rectangle 637">
              <a:extLst>
                <a:ext uri="{FF2B5EF4-FFF2-40B4-BE49-F238E27FC236}">
                  <a16:creationId xmlns:a16="http://schemas.microsoft.com/office/drawing/2014/main" id="{00000000-0008-0000-0200-00003E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1443" name="Rectangle 638">
            <a:extLst>
              <a:ext uri="{FF2B5EF4-FFF2-40B4-BE49-F238E27FC236}">
                <a16:creationId xmlns:a16="http://schemas.microsoft.com/office/drawing/2014/main" id="{00000000-0008-0000-0200-0000337C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44" name="Rectangle 639">
            <a:extLst>
              <a:ext uri="{FF2B5EF4-FFF2-40B4-BE49-F238E27FC236}">
                <a16:creationId xmlns:a16="http://schemas.microsoft.com/office/drawing/2014/main" id="{00000000-0008-0000-0200-0000347C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06591" name="Group 640">
          <a:extLst>
            <a:ext uri="{FF2B5EF4-FFF2-40B4-BE49-F238E27FC236}">
              <a16:creationId xmlns:a16="http://schemas.microsoft.com/office/drawing/2014/main" id="{00000000-0008-0000-0200-00003F691200}"/>
            </a:ext>
          </a:extLst>
        </xdr:cNvPr>
        <xdr:cNvGrpSpPr>
          <a:grpSpLocks/>
        </xdr:cNvGrpSpPr>
      </xdr:nvGrpSpPr>
      <xdr:grpSpPr bwMode="auto">
        <a:xfrm>
          <a:off x="7581900" y="1295400"/>
          <a:ext cx="0" cy="685800"/>
          <a:chOff x="220" y="176"/>
          <a:chExt cx="556" cy="247"/>
        </a:xfrm>
      </xdr:grpSpPr>
      <xdr:sp macro="" textlink="">
        <xdr:nvSpPr>
          <xdr:cNvPr id="1211409" name="Rectangle 641">
            <a:extLst>
              <a:ext uri="{FF2B5EF4-FFF2-40B4-BE49-F238E27FC236}">
                <a16:creationId xmlns:a16="http://schemas.microsoft.com/office/drawing/2014/main" id="{00000000-0008-0000-0200-0000117C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10" name="Line 642">
            <a:extLst>
              <a:ext uri="{FF2B5EF4-FFF2-40B4-BE49-F238E27FC236}">
                <a16:creationId xmlns:a16="http://schemas.microsoft.com/office/drawing/2014/main" id="{00000000-0008-0000-0200-0000127C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11" name="Line 643">
            <a:extLst>
              <a:ext uri="{FF2B5EF4-FFF2-40B4-BE49-F238E27FC236}">
                <a16:creationId xmlns:a16="http://schemas.microsoft.com/office/drawing/2014/main" id="{00000000-0008-0000-0200-0000137C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12" name="Rectangle 644">
            <a:extLst>
              <a:ext uri="{FF2B5EF4-FFF2-40B4-BE49-F238E27FC236}">
                <a16:creationId xmlns:a16="http://schemas.microsoft.com/office/drawing/2014/main" id="{00000000-0008-0000-0200-0000147C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13" name="Oval 645">
            <a:extLst>
              <a:ext uri="{FF2B5EF4-FFF2-40B4-BE49-F238E27FC236}">
                <a16:creationId xmlns:a16="http://schemas.microsoft.com/office/drawing/2014/main" id="{00000000-0008-0000-0200-0000157C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14" name="Oval 646">
            <a:extLst>
              <a:ext uri="{FF2B5EF4-FFF2-40B4-BE49-F238E27FC236}">
                <a16:creationId xmlns:a16="http://schemas.microsoft.com/office/drawing/2014/main" id="{00000000-0008-0000-0200-0000167C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15" name="Rectangle 647">
            <a:extLst>
              <a:ext uri="{FF2B5EF4-FFF2-40B4-BE49-F238E27FC236}">
                <a16:creationId xmlns:a16="http://schemas.microsoft.com/office/drawing/2014/main" id="{00000000-0008-0000-0200-0000177C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16" name="Rectangle 648">
            <a:extLst>
              <a:ext uri="{FF2B5EF4-FFF2-40B4-BE49-F238E27FC236}">
                <a16:creationId xmlns:a16="http://schemas.microsoft.com/office/drawing/2014/main" id="{00000000-0008-0000-0200-0000187C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17" name="Rectangle 649">
            <a:extLst>
              <a:ext uri="{FF2B5EF4-FFF2-40B4-BE49-F238E27FC236}">
                <a16:creationId xmlns:a16="http://schemas.microsoft.com/office/drawing/2014/main" id="{00000000-0008-0000-0200-0000197C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18" name="Rectangle 650">
            <a:extLst>
              <a:ext uri="{FF2B5EF4-FFF2-40B4-BE49-F238E27FC236}">
                <a16:creationId xmlns:a16="http://schemas.microsoft.com/office/drawing/2014/main" id="{00000000-0008-0000-0200-00001A7C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1419" name="Group 651">
            <a:extLst>
              <a:ext uri="{FF2B5EF4-FFF2-40B4-BE49-F238E27FC236}">
                <a16:creationId xmlns:a16="http://schemas.microsoft.com/office/drawing/2014/main" id="{00000000-0008-0000-0200-00001B7C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1422" name="Rectangle 652">
              <a:extLst>
                <a:ext uri="{FF2B5EF4-FFF2-40B4-BE49-F238E27FC236}">
                  <a16:creationId xmlns:a16="http://schemas.microsoft.com/office/drawing/2014/main" id="{00000000-0008-0000-0200-00001E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23" name="Line 653">
              <a:extLst>
                <a:ext uri="{FF2B5EF4-FFF2-40B4-BE49-F238E27FC236}">
                  <a16:creationId xmlns:a16="http://schemas.microsoft.com/office/drawing/2014/main" id="{00000000-0008-0000-0200-00001F7C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24" name="Line 654">
              <a:extLst>
                <a:ext uri="{FF2B5EF4-FFF2-40B4-BE49-F238E27FC236}">
                  <a16:creationId xmlns:a16="http://schemas.microsoft.com/office/drawing/2014/main" id="{00000000-0008-0000-0200-0000207C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25" name="Rectangle 655">
              <a:extLst>
                <a:ext uri="{FF2B5EF4-FFF2-40B4-BE49-F238E27FC236}">
                  <a16:creationId xmlns:a16="http://schemas.microsoft.com/office/drawing/2014/main" id="{00000000-0008-0000-0200-000021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26" name="Oval 656">
              <a:extLst>
                <a:ext uri="{FF2B5EF4-FFF2-40B4-BE49-F238E27FC236}">
                  <a16:creationId xmlns:a16="http://schemas.microsoft.com/office/drawing/2014/main" id="{00000000-0008-0000-0200-000022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27" name="Oval 657">
              <a:extLst>
                <a:ext uri="{FF2B5EF4-FFF2-40B4-BE49-F238E27FC236}">
                  <a16:creationId xmlns:a16="http://schemas.microsoft.com/office/drawing/2014/main" id="{00000000-0008-0000-0200-000023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28" name="Rectangle 658">
              <a:extLst>
                <a:ext uri="{FF2B5EF4-FFF2-40B4-BE49-F238E27FC236}">
                  <a16:creationId xmlns:a16="http://schemas.microsoft.com/office/drawing/2014/main" id="{00000000-0008-0000-0200-000024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29" name="Rectangle 659">
              <a:extLst>
                <a:ext uri="{FF2B5EF4-FFF2-40B4-BE49-F238E27FC236}">
                  <a16:creationId xmlns:a16="http://schemas.microsoft.com/office/drawing/2014/main" id="{00000000-0008-0000-0200-000025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30" name="Rectangle 660">
              <a:extLst>
                <a:ext uri="{FF2B5EF4-FFF2-40B4-BE49-F238E27FC236}">
                  <a16:creationId xmlns:a16="http://schemas.microsoft.com/office/drawing/2014/main" id="{00000000-0008-0000-0200-000026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31" name="Rectangle 661">
              <a:extLst>
                <a:ext uri="{FF2B5EF4-FFF2-40B4-BE49-F238E27FC236}">
                  <a16:creationId xmlns:a16="http://schemas.microsoft.com/office/drawing/2014/main" id="{00000000-0008-0000-0200-000027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1420" name="Rectangle 662">
            <a:extLst>
              <a:ext uri="{FF2B5EF4-FFF2-40B4-BE49-F238E27FC236}">
                <a16:creationId xmlns:a16="http://schemas.microsoft.com/office/drawing/2014/main" id="{00000000-0008-0000-0200-00001C7C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21" name="Rectangle 663">
            <a:extLst>
              <a:ext uri="{FF2B5EF4-FFF2-40B4-BE49-F238E27FC236}">
                <a16:creationId xmlns:a16="http://schemas.microsoft.com/office/drawing/2014/main" id="{00000000-0008-0000-0200-00001D7C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06592" name="Group 664">
          <a:extLst>
            <a:ext uri="{FF2B5EF4-FFF2-40B4-BE49-F238E27FC236}">
              <a16:creationId xmlns:a16="http://schemas.microsoft.com/office/drawing/2014/main" id="{00000000-0008-0000-0200-000040691200}"/>
            </a:ext>
          </a:extLst>
        </xdr:cNvPr>
        <xdr:cNvGrpSpPr>
          <a:grpSpLocks/>
        </xdr:cNvGrpSpPr>
      </xdr:nvGrpSpPr>
      <xdr:grpSpPr bwMode="auto">
        <a:xfrm>
          <a:off x="7581900" y="1295400"/>
          <a:ext cx="0" cy="685800"/>
          <a:chOff x="220" y="176"/>
          <a:chExt cx="556" cy="247"/>
        </a:xfrm>
      </xdr:grpSpPr>
      <xdr:sp macro="" textlink="">
        <xdr:nvSpPr>
          <xdr:cNvPr id="1207290" name="Rectangle 665">
            <a:extLst>
              <a:ext uri="{FF2B5EF4-FFF2-40B4-BE49-F238E27FC236}">
                <a16:creationId xmlns:a16="http://schemas.microsoft.com/office/drawing/2014/main" id="{00000000-0008-0000-0200-0000FA6B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91" name="Line 666">
            <a:extLst>
              <a:ext uri="{FF2B5EF4-FFF2-40B4-BE49-F238E27FC236}">
                <a16:creationId xmlns:a16="http://schemas.microsoft.com/office/drawing/2014/main" id="{00000000-0008-0000-0200-0000FB6B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92" name="Line 667">
            <a:extLst>
              <a:ext uri="{FF2B5EF4-FFF2-40B4-BE49-F238E27FC236}">
                <a16:creationId xmlns:a16="http://schemas.microsoft.com/office/drawing/2014/main" id="{00000000-0008-0000-0200-0000FC6B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93" name="Rectangle 668">
            <a:extLst>
              <a:ext uri="{FF2B5EF4-FFF2-40B4-BE49-F238E27FC236}">
                <a16:creationId xmlns:a16="http://schemas.microsoft.com/office/drawing/2014/main" id="{00000000-0008-0000-0200-0000FD6B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94" name="Oval 669">
            <a:extLst>
              <a:ext uri="{FF2B5EF4-FFF2-40B4-BE49-F238E27FC236}">
                <a16:creationId xmlns:a16="http://schemas.microsoft.com/office/drawing/2014/main" id="{00000000-0008-0000-0200-0000FE6B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95" name="Oval 670">
            <a:extLst>
              <a:ext uri="{FF2B5EF4-FFF2-40B4-BE49-F238E27FC236}">
                <a16:creationId xmlns:a16="http://schemas.microsoft.com/office/drawing/2014/main" id="{00000000-0008-0000-0200-0000FF6B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92" name="Rectangle 671">
            <a:extLst>
              <a:ext uri="{FF2B5EF4-FFF2-40B4-BE49-F238E27FC236}">
                <a16:creationId xmlns:a16="http://schemas.microsoft.com/office/drawing/2014/main" id="{00000000-0008-0000-0200-0000007C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93" name="Rectangle 672">
            <a:extLst>
              <a:ext uri="{FF2B5EF4-FFF2-40B4-BE49-F238E27FC236}">
                <a16:creationId xmlns:a16="http://schemas.microsoft.com/office/drawing/2014/main" id="{00000000-0008-0000-0200-0000017C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94" name="Rectangle 673">
            <a:extLst>
              <a:ext uri="{FF2B5EF4-FFF2-40B4-BE49-F238E27FC236}">
                <a16:creationId xmlns:a16="http://schemas.microsoft.com/office/drawing/2014/main" id="{00000000-0008-0000-0200-0000027C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95" name="Rectangle 674">
            <a:extLst>
              <a:ext uri="{FF2B5EF4-FFF2-40B4-BE49-F238E27FC236}">
                <a16:creationId xmlns:a16="http://schemas.microsoft.com/office/drawing/2014/main" id="{00000000-0008-0000-0200-0000037C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1396" name="Group 675">
            <a:extLst>
              <a:ext uri="{FF2B5EF4-FFF2-40B4-BE49-F238E27FC236}">
                <a16:creationId xmlns:a16="http://schemas.microsoft.com/office/drawing/2014/main" id="{00000000-0008-0000-0200-0000047C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1399" name="Rectangle 676">
              <a:extLst>
                <a:ext uri="{FF2B5EF4-FFF2-40B4-BE49-F238E27FC236}">
                  <a16:creationId xmlns:a16="http://schemas.microsoft.com/office/drawing/2014/main" id="{00000000-0008-0000-0200-000007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00" name="Line 677">
              <a:extLst>
                <a:ext uri="{FF2B5EF4-FFF2-40B4-BE49-F238E27FC236}">
                  <a16:creationId xmlns:a16="http://schemas.microsoft.com/office/drawing/2014/main" id="{00000000-0008-0000-0200-0000087C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01" name="Line 678">
              <a:extLst>
                <a:ext uri="{FF2B5EF4-FFF2-40B4-BE49-F238E27FC236}">
                  <a16:creationId xmlns:a16="http://schemas.microsoft.com/office/drawing/2014/main" id="{00000000-0008-0000-0200-0000097C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02" name="Rectangle 679">
              <a:extLst>
                <a:ext uri="{FF2B5EF4-FFF2-40B4-BE49-F238E27FC236}">
                  <a16:creationId xmlns:a16="http://schemas.microsoft.com/office/drawing/2014/main" id="{00000000-0008-0000-0200-00000A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03" name="Oval 680">
              <a:extLst>
                <a:ext uri="{FF2B5EF4-FFF2-40B4-BE49-F238E27FC236}">
                  <a16:creationId xmlns:a16="http://schemas.microsoft.com/office/drawing/2014/main" id="{00000000-0008-0000-0200-00000B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04" name="Oval 681">
              <a:extLst>
                <a:ext uri="{FF2B5EF4-FFF2-40B4-BE49-F238E27FC236}">
                  <a16:creationId xmlns:a16="http://schemas.microsoft.com/office/drawing/2014/main" id="{00000000-0008-0000-0200-00000C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05" name="Rectangle 682">
              <a:extLst>
                <a:ext uri="{FF2B5EF4-FFF2-40B4-BE49-F238E27FC236}">
                  <a16:creationId xmlns:a16="http://schemas.microsoft.com/office/drawing/2014/main" id="{00000000-0008-0000-0200-00000D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06" name="Rectangle 683">
              <a:extLst>
                <a:ext uri="{FF2B5EF4-FFF2-40B4-BE49-F238E27FC236}">
                  <a16:creationId xmlns:a16="http://schemas.microsoft.com/office/drawing/2014/main" id="{00000000-0008-0000-0200-00000E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07" name="Rectangle 684">
              <a:extLst>
                <a:ext uri="{FF2B5EF4-FFF2-40B4-BE49-F238E27FC236}">
                  <a16:creationId xmlns:a16="http://schemas.microsoft.com/office/drawing/2014/main" id="{00000000-0008-0000-0200-00000F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08" name="Rectangle 685">
              <a:extLst>
                <a:ext uri="{FF2B5EF4-FFF2-40B4-BE49-F238E27FC236}">
                  <a16:creationId xmlns:a16="http://schemas.microsoft.com/office/drawing/2014/main" id="{00000000-0008-0000-0200-000010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1397" name="Rectangle 686">
            <a:extLst>
              <a:ext uri="{FF2B5EF4-FFF2-40B4-BE49-F238E27FC236}">
                <a16:creationId xmlns:a16="http://schemas.microsoft.com/office/drawing/2014/main" id="{00000000-0008-0000-0200-0000057C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98" name="Rectangle 687">
            <a:extLst>
              <a:ext uri="{FF2B5EF4-FFF2-40B4-BE49-F238E27FC236}">
                <a16:creationId xmlns:a16="http://schemas.microsoft.com/office/drawing/2014/main" id="{00000000-0008-0000-0200-0000067C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06593" name="Group 688">
          <a:extLst>
            <a:ext uri="{FF2B5EF4-FFF2-40B4-BE49-F238E27FC236}">
              <a16:creationId xmlns:a16="http://schemas.microsoft.com/office/drawing/2014/main" id="{00000000-0008-0000-0200-000041691200}"/>
            </a:ext>
          </a:extLst>
        </xdr:cNvPr>
        <xdr:cNvGrpSpPr>
          <a:grpSpLocks/>
        </xdr:cNvGrpSpPr>
      </xdr:nvGrpSpPr>
      <xdr:grpSpPr bwMode="auto">
        <a:xfrm>
          <a:off x="7581900" y="1295400"/>
          <a:ext cx="0" cy="685800"/>
          <a:chOff x="220" y="176"/>
          <a:chExt cx="556" cy="247"/>
        </a:xfrm>
      </xdr:grpSpPr>
      <xdr:sp macro="" textlink="">
        <xdr:nvSpPr>
          <xdr:cNvPr id="1207267" name="Rectangle 689">
            <a:extLst>
              <a:ext uri="{FF2B5EF4-FFF2-40B4-BE49-F238E27FC236}">
                <a16:creationId xmlns:a16="http://schemas.microsoft.com/office/drawing/2014/main" id="{00000000-0008-0000-0200-0000E36B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68" name="Line 690">
            <a:extLst>
              <a:ext uri="{FF2B5EF4-FFF2-40B4-BE49-F238E27FC236}">
                <a16:creationId xmlns:a16="http://schemas.microsoft.com/office/drawing/2014/main" id="{00000000-0008-0000-0200-0000E46B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69" name="Line 691">
            <a:extLst>
              <a:ext uri="{FF2B5EF4-FFF2-40B4-BE49-F238E27FC236}">
                <a16:creationId xmlns:a16="http://schemas.microsoft.com/office/drawing/2014/main" id="{00000000-0008-0000-0200-0000E56B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70" name="Rectangle 692">
            <a:extLst>
              <a:ext uri="{FF2B5EF4-FFF2-40B4-BE49-F238E27FC236}">
                <a16:creationId xmlns:a16="http://schemas.microsoft.com/office/drawing/2014/main" id="{00000000-0008-0000-0200-0000E66B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71" name="Oval 693">
            <a:extLst>
              <a:ext uri="{FF2B5EF4-FFF2-40B4-BE49-F238E27FC236}">
                <a16:creationId xmlns:a16="http://schemas.microsoft.com/office/drawing/2014/main" id="{00000000-0008-0000-0200-0000E76B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72" name="Oval 694">
            <a:extLst>
              <a:ext uri="{FF2B5EF4-FFF2-40B4-BE49-F238E27FC236}">
                <a16:creationId xmlns:a16="http://schemas.microsoft.com/office/drawing/2014/main" id="{00000000-0008-0000-0200-0000E86B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73" name="Rectangle 695">
            <a:extLst>
              <a:ext uri="{FF2B5EF4-FFF2-40B4-BE49-F238E27FC236}">
                <a16:creationId xmlns:a16="http://schemas.microsoft.com/office/drawing/2014/main" id="{00000000-0008-0000-0200-0000E96B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74" name="Rectangle 696">
            <a:extLst>
              <a:ext uri="{FF2B5EF4-FFF2-40B4-BE49-F238E27FC236}">
                <a16:creationId xmlns:a16="http://schemas.microsoft.com/office/drawing/2014/main" id="{00000000-0008-0000-0200-0000EA6B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75" name="Rectangle 697">
            <a:extLst>
              <a:ext uri="{FF2B5EF4-FFF2-40B4-BE49-F238E27FC236}">
                <a16:creationId xmlns:a16="http://schemas.microsoft.com/office/drawing/2014/main" id="{00000000-0008-0000-0200-0000EB6B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76" name="Rectangle 698">
            <a:extLst>
              <a:ext uri="{FF2B5EF4-FFF2-40B4-BE49-F238E27FC236}">
                <a16:creationId xmlns:a16="http://schemas.microsoft.com/office/drawing/2014/main" id="{00000000-0008-0000-0200-0000EC6B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07277" name="Group 699">
            <a:extLst>
              <a:ext uri="{FF2B5EF4-FFF2-40B4-BE49-F238E27FC236}">
                <a16:creationId xmlns:a16="http://schemas.microsoft.com/office/drawing/2014/main" id="{00000000-0008-0000-0200-0000ED6B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07280" name="Rectangle 700">
              <a:extLst>
                <a:ext uri="{FF2B5EF4-FFF2-40B4-BE49-F238E27FC236}">
                  <a16:creationId xmlns:a16="http://schemas.microsoft.com/office/drawing/2014/main" id="{00000000-0008-0000-0200-0000F06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7281" name="Line 701">
              <a:extLst>
                <a:ext uri="{FF2B5EF4-FFF2-40B4-BE49-F238E27FC236}">
                  <a16:creationId xmlns:a16="http://schemas.microsoft.com/office/drawing/2014/main" id="{00000000-0008-0000-0200-0000F16B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7282" name="Line 702">
              <a:extLst>
                <a:ext uri="{FF2B5EF4-FFF2-40B4-BE49-F238E27FC236}">
                  <a16:creationId xmlns:a16="http://schemas.microsoft.com/office/drawing/2014/main" id="{00000000-0008-0000-0200-0000F26B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7283" name="Rectangle 703">
              <a:extLst>
                <a:ext uri="{FF2B5EF4-FFF2-40B4-BE49-F238E27FC236}">
                  <a16:creationId xmlns:a16="http://schemas.microsoft.com/office/drawing/2014/main" id="{00000000-0008-0000-0200-0000F36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7284" name="Oval 704">
              <a:extLst>
                <a:ext uri="{FF2B5EF4-FFF2-40B4-BE49-F238E27FC236}">
                  <a16:creationId xmlns:a16="http://schemas.microsoft.com/office/drawing/2014/main" id="{00000000-0008-0000-0200-0000F46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7285" name="Oval 705">
              <a:extLst>
                <a:ext uri="{FF2B5EF4-FFF2-40B4-BE49-F238E27FC236}">
                  <a16:creationId xmlns:a16="http://schemas.microsoft.com/office/drawing/2014/main" id="{00000000-0008-0000-0200-0000F56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7286" name="Rectangle 706">
              <a:extLst>
                <a:ext uri="{FF2B5EF4-FFF2-40B4-BE49-F238E27FC236}">
                  <a16:creationId xmlns:a16="http://schemas.microsoft.com/office/drawing/2014/main" id="{00000000-0008-0000-0200-0000F66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7287" name="Rectangle 707">
              <a:extLst>
                <a:ext uri="{FF2B5EF4-FFF2-40B4-BE49-F238E27FC236}">
                  <a16:creationId xmlns:a16="http://schemas.microsoft.com/office/drawing/2014/main" id="{00000000-0008-0000-0200-0000F76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7288" name="Rectangle 708">
              <a:extLst>
                <a:ext uri="{FF2B5EF4-FFF2-40B4-BE49-F238E27FC236}">
                  <a16:creationId xmlns:a16="http://schemas.microsoft.com/office/drawing/2014/main" id="{00000000-0008-0000-0200-0000F86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7289" name="Rectangle 709">
              <a:extLst>
                <a:ext uri="{FF2B5EF4-FFF2-40B4-BE49-F238E27FC236}">
                  <a16:creationId xmlns:a16="http://schemas.microsoft.com/office/drawing/2014/main" id="{00000000-0008-0000-0200-0000F96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7278" name="Rectangle 710">
            <a:extLst>
              <a:ext uri="{FF2B5EF4-FFF2-40B4-BE49-F238E27FC236}">
                <a16:creationId xmlns:a16="http://schemas.microsoft.com/office/drawing/2014/main" id="{00000000-0008-0000-0200-0000EE6B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79" name="Rectangle 711">
            <a:extLst>
              <a:ext uri="{FF2B5EF4-FFF2-40B4-BE49-F238E27FC236}">
                <a16:creationId xmlns:a16="http://schemas.microsoft.com/office/drawing/2014/main" id="{00000000-0008-0000-0200-0000EF6B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06594" name="Group 712">
          <a:extLst>
            <a:ext uri="{FF2B5EF4-FFF2-40B4-BE49-F238E27FC236}">
              <a16:creationId xmlns:a16="http://schemas.microsoft.com/office/drawing/2014/main" id="{00000000-0008-0000-0200-000042691200}"/>
            </a:ext>
          </a:extLst>
        </xdr:cNvPr>
        <xdr:cNvGrpSpPr>
          <a:grpSpLocks/>
        </xdr:cNvGrpSpPr>
      </xdr:nvGrpSpPr>
      <xdr:grpSpPr bwMode="auto">
        <a:xfrm>
          <a:off x="7581900" y="1295400"/>
          <a:ext cx="0" cy="685800"/>
          <a:chOff x="220" y="176"/>
          <a:chExt cx="556" cy="247"/>
        </a:xfrm>
      </xdr:grpSpPr>
      <xdr:sp macro="" textlink="">
        <xdr:nvSpPr>
          <xdr:cNvPr id="1207244" name="Rectangle 713">
            <a:extLst>
              <a:ext uri="{FF2B5EF4-FFF2-40B4-BE49-F238E27FC236}">
                <a16:creationId xmlns:a16="http://schemas.microsoft.com/office/drawing/2014/main" id="{00000000-0008-0000-0200-0000CC6B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45" name="Line 714">
            <a:extLst>
              <a:ext uri="{FF2B5EF4-FFF2-40B4-BE49-F238E27FC236}">
                <a16:creationId xmlns:a16="http://schemas.microsoft.com/office/drawing/2014/main" id="{00000000-0008-0000-0200-0000CD6B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46" name="Line 715">
            <a:extLst>
              <a:ext uri="{FF2B5EF4-FFF2-40B4-BE49-F238E27FC236}">
                <a16:creationId xmlns:a16="http://schemas.microsoft.com/office/drawing/2014/main" id="{00000000-0008-0000-0200-0000CE6B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47" name="Rectangle 716">
            <a:extLst>
              <a:ext uri="{FF2B5EF4-FFF2-40B4-BE49-F238E27FC236}">
                <a16:creationId xmlns:a16="http://schemas.microsoft.com/office/drawing/2014/main" id="{00000000-0008-0000-0200-0000CF6B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48" name="Oval 717">
            <a:extLst>
              <a:ext uri="{FF2B5EF4-FFF2-40B4-BE49-F238E27FC236}">
                <a16:creationId xmlns:a16="http://schemas.microsoft.com/office/drawing/2014/main" id="{00000000-0008-0000-0200-0000D06B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49" name="Oval 718">
            <a:extLst>
              <a:ext uri="{FF2B5EF4-FFF2-40B4-BE49-F238E27FC236}">
                <a16:creationId xmlns:a16="http://schemas.microsoft.com/office/drawing/2014/main" id="{00000000-0008-0000-0200-0000D16B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50" name="Rectangle 719">
            <a:extLst>
              <a:ext uri="{FF2B5EF4-FFF2-40B4-BE49-F238E27FC236}">
                <a16:creationId xmlns:a16="http://schemas.microsoft.com/office/drawing/2014/main" id="{00000000-0008-0000-0200-0000D26B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51" name="Rectangle 720">
            <a:extLst>
              <a:ext uri="{FF2B5EF4-FFF2-40B4-BE49-F238E27FC236}">
                <a16:creationId xmlns:a16="http://schemas.microsoft.com/office/drawing/2014/main" id="{00000000-0008-0000-0200-0000D36B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52" name="Rectangle 721">
            <a:extLst>
              <a:ext uri="{FF2B5EF4-FFF2-40B4-BE49-F238E27FC236}">
                <a16:creationId xmlns:a16="http://schemas.microsoft.com/office/drawing/2014/main" id="{00000000-0008-0000-0200-0000D46B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53" name="Rectangle 722">
            <a:extLst>
              <a:ext uri="{FF2B5EF4-FFF2-40B4-BE49-F238E27FC236}">
                <a16:creationId xmlns:a16="http://schemas.microsoft.com/office/drawing/2014/main" id="{00000000-0008-0000-0200-0000D56B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07254" name="Group 723">
            <a:extLst>
              <a:ext uri="{FF2B5EF4-FFF2-40B4-BE49-F238E27FC236}">
                <a16:creationId xmlns:a16="http://schemas.microsoft.com/office/drawing/2014/main" id="{00000000-0008-0000-0200-0000D66B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07257" name="Rectangle 724">
              <a:extLst>
                <a:ext uri="{FF2B5EF4-FFF2-40B4-BE49-F238E27FC236}">
                  <a16:creationId xmlns:a16="http://schemas.microsoft.com/office/drawing/2014/main" id="{00000000-0008-0000-0200-0000D96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7258" name="Line 725">
              <a:extLst>
                <a:ext uri="{FF2B5EF4-FFF2-40B4-BE49-F238E27FC236}">
                  <a16:creationId xmlns:a16="http://schemas.microsoft.com/office/drawing/2014/main" id="{00000000-0008-0000-0200-0000DA6B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7259" name="Line 726">
              <a:extLst>
                <a:ext uri="{FF2B5EF4-FFF2-40B4-BE49-F238E27FC236}">
                  <a16:creationId xmlns:a16="http://schemas.microsoft.com/office/drawing/2014/main" id="{00000000-0008-0000-0200-0000DB6B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7260" name="Rectangle 727">
              <a:extLst>
                <a:ext uri="{FF2B5EF4-FFF2-40B4-BE49-F238E27FC236}">
                  <a16:creationId xmlns:a16="http://schemas.microsoft.com/office/drawing/2014/main" id="{00000000-0008-0000-0200-0000DC6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7261" name="Oval 728">
              <a:extLst>
                <a:ext uri="{FF2B5EF4-FFF2-40B4-BE49-F238E27FC236}">
                  <a16:creationId xmlns:a16="http://schemas.microsoft.com/office/drawing/2014/main" id="{00000000-0008-0000-0200-0000DD6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7262" name="Oval 729">
              <a:extLst>
                <a:ext uri="{FF2B5EF4-FFF2-40B4-BE49-F238E27FC236}">
                  <a16:creationId xmlns:a16="http://schemas.microsoft.com/office/drawing/2014/main" id="{00000000-0008-0000-0200-0000DE6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7263" name="Rectangle 730">
              <a:extLst>
                <a:ext uri="{FF2B5EF4-FFF2-40B4-BE49-F238E27FC236}">
                  <a16:creationId xmlns:a16="http://schemas.microsoft.com/office/drawing/2014/main" id="{00000000-0008-0000-0200-0000DF6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7264" name="Rectangle 731">
              <a:extLst>
                <a:ext uri="{FF2B5EF4-FFF2-40B4-BE49-F238E27FC236}">
                  <a16:creationId xmlns:a16="http://schemas.microsoft.com/office/drawing/2014/main" id="{00000000-0008-0000-0200-0000E06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7265" name="Rectangle 732">
              <a:extLst>
                <a:ext uri="{FF2B5EF4-FFF2-40B4-BE49-F238E27FC236}">
                  <a16:creationId xmlns:a16="http://schemas.microsoft.com/office/drawing/2014/main" id="{00000000-0008-0000-0200-0000E16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7266" name="Rectangle 733">
              <a:extLst>
                <a:ext uri="{FF2B5EF4-FFF2-40B4-BE49-F238E27FC236}">
                  <a16:creationId xmlns:a16="http://schemas.microsoft.com/office/drawing/2014/main" id="{00000000-0008-0000-0200-0000E26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7255" name="Rectangle 734">
            <a:extLst>
              <a:ext uri="{FF2B5EF4-FFF2-40B4-BE49-F238E27FC236}">
                <a16:creationId xmlns:a16="http://schemas.microsoft.com/office/drawing/2014/main" id="{00000000-0008-0000-0200-0000D76B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56" name="Rectangle 735">
            <a:extLst>
              <a:ext uri="{FF2B5EF4-FFF2-40B4-BE49-F238E27FC236}">
                <a16:creationId xmlns:a16="http://schemas.microsoft.com/office/drawing/2014/main" id="{00000000-0008-0000-0200-0000D86B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06595" name="Group 784">
          <a:extLst>
            <a:ext uri="{FF2B5EF4-FFF2-40B4-BE49-F238E27FC236}">
              <a16:creationId xmlns:a16="http://schemas.microsoft.com/office/drawing/2014/main" id="{00000000-0008-0000-0200-000043691200}"/>
            </a:ext>
          </a:extLst>
        </xdr:cNvPr>
        <xdr:cNvGrpSpPr>
          <a:grpSpLocks/>
        </xdr:cNvGrpSpPr>
      </xdr:nvGrpSpPr>
      <xdr:grpSpPr bwMode="auto">
        <a:xfrm>
          <a:off x="7581900" y="1193800"/>
          <a:ext cx="0" cy="368300"/>
          <a:chOff x="624" y="37"/>
          <a:chExt cx="552" cy="248"/>
        </a:xfrm>
      </xdr:grpSpPr>
      <xdr:sp macro="" textlink="">
        <xdr:nvSpPr>
          <xdr:cNvPr id="1207230" name="Rectangle 785">
            <a:extLst>
              <a:ext uri="{FF2B5EF4-FFF2-40B4-BE49-F238E27FC236}">
                <a16:creationId xmlns:a16="http://schemas.microsoft.com/office/drawing/2014/main" id="{00000000-0008-0000-0200-0000BE6B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31" name="Rectangle 786">
            <a:extLst>
              <a:ext uri="{FF2B5EF4-FFF2-40B4-BE49-F238E27FC236}">
                <a16:creationId xmlns:a16="http://schemas.microsoft.com/office/drawing/2014/main" id="{00000000-0008-0000-0200-0000BF6B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32" name="Rectangle 787">
            <a:extLst>
              <a:ext uri="{FF2B5EF4-FFF2-40B4-BE49-F238E27FC236}">
                <a16:creationId xmlns:a16="http://schemas.microsoft.com/office/drawing/2014/main" id="{00000000-0008-0000-0200-0000C0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33" name="Rectangle 788">
            <a:extLst>
              <a:ext uri="{FF2B5EF4-FFF2-40B4-BE49-F238E27FC236}">
                <a16:creationId xmlns:a16="http://schemas.microsoft.com/office/drawing/2014/main" id="{00000000-0008-0000-0200-0000C1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34" name="Rectangle 789">
            <a:extLst>
              <a:ext uri="{FF2B5EF4-FFF2-40B4-BE49-F238E27FC236}">
                <a16:creationId xmlns:a16="http://schemas.microsoft.com/office/drawing/2014/main" id="{00000000-0008-0000-0200-0000C2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35" name="Rectangle 790">
            <a:extLst>
              <a:ext uri="{FF2B5EF4-FFF2-40B4-BE49-F238E27FC236}">
                <a16:creationId xmlns:a16="http://schemas.microsoft.com/office/drawing/2014/main" id="{00000000-0008-0000-0200-0000C36B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36" name="Rectangle 791">
            <a:extLst>
              <a:ext uri="{FF2B5EF4-FFF2-40B4-BE49-F238E27FC236}">
                <a16:creationId xmlns:a16="http://schemas.microsoft.com/office/drawing/2014/main" id="{00000000-0008-0000-0200-0000C4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37" name="Rectangle 792">
            <a:extLst>
              <a:ext uri="{FF2B5EF4-FFF2-40B4-BE49-F238E27FC236}">
                <a16:creationId xmlns:a16="http://schemas.microsoft.com/office/drawing/2014/main" id="{00000000-0008-0000-0200-0000C5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38" name="Oval 793">
            <a:extLst>
              <a:ext uri="{FF2B5EF4-FFF2-40B4-BE49-F238E27FC236}">
                <a16:creationId xmlns:a16="http://schemas.microsoft.com/office/drawing/2014/main" id="{00000000-0008-0000-0200-0000C66B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39" name="Oval 794">
            <a:extLst>
              <a:ext uri="{FF2B5EF4-FFF2-40B4-BE49-F238E27FC236}">
                <a16:creationId xmlns:a16="http://schemas.microsoft.com/office/drawing/2014/main" id="{00000000-0008-0000-0200-0000C76B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40" name="Oval 795">
            <a:extLst>
              <a:ext uri="{FF2B5EF4-FFF2-40B4-BE49-F238E27FC236}">
                <a16:creationId xmlns:a16="http://schemas.microsoft.com/office/drawing/2014/main" id="{00000000-0008-0000-0200-0000C86B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41" name="Oval 796">
            <a:extLst>
              <a:ext uri="{FF2B5EF4-FFF2-40B4-BE49-F238E27FC236}">
                <a16:creationId xmlns:a16="http://schemas.microsoft.com/office/drawing/2014/main" id="{00000000-0008-0000-0200-0000C96B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42" name="AutoShape 797">
            <a:extLst>
              <a:ext uri="{FF2B5EF4-FFF2-40B4-BE49-F238E27FC236}">
                <a16:creationId xmlns:a16="http://schemas.microsoft.com/office/drawing/2014/main" id="{00000000-0008-0000-0200-0000CA6B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43" name="AutoShape 798">
            <a:extLst>
              <a:ext uri="{FF2B5EF4-FFF2-40B4-BE49-F238E27FC236}">
                <a16:creationId xmlns:a16="http://schemas.microsoft.com/office/drawing/2014/main" id="{00000000-0008-0000-0200-0000CB6B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06596" name="Group 799">
          <a:extLst>
            <a:ext uri="{FF2B5EF4-FFF2-40B4-BE49-F238E27FC236}">
              <a16:creationId xmlns:a16="http://schemas.microsoft.com/office/drawing/2014/main" id="{00000000-0008-0000-0200-000044691200}"/>
            </a:ext>
          </a:extLst>
        </xdr:cNvPr>
        <xdr:cNvGrpSpPr>
          <a:grpSpLocks/>
        </xdr:cNvGrpSpPr>
      </xdr:nvGrpSpPr>
      <xdr:grpSpPr bwMode="auto">
        <a:xfrm>
          <a:off x="7581900" y="1193800"/>
          <a:ext cx="0" cy="368300"/>
          <a:chOff x="624" y="37"/>
          <a:chExt cx="552" cy="248"/>
        </a:xfrm>
      </xdr:grpSpPr>
      <xdr:sp macro="" textlink="">
        <xdr:nvSpPr>
          <xdr:cNvPr id="1207216" name="Rectangle 800">
            <a:extLst>
              <a:ext uri="{FF2B5EF4-FFF2-40B4-BE49-F238E27FC236}">
                <a16:creationId xmlns:a16="http://schemas.microsoft.com/office/drawing/2014/main" id="{00000000-0008-0000-0200-0000B06B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17" name="Rectangle 801">
            <a:extLst>
              <a:ext uri="{FF2B5EF4-FFF2-40B4-BE49-F238E27FC236}">
                <a16:creationId xmlns:a16="http://schemas.microsoft.com/office/drawing/2014/main" id="{00000000-0008-0000-0200-0000B16B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18" name="Rectangle 802">
            <a:extLst>
              <a:ext uri="{FF2B5EF4-FFF2-40B4-BE49-F238E27FC236}">
                <a16:creationId xmlns:a16="http://schemas.microsoft.com/office/drawing/2014/main" id="{00000000-0008-0000-0200-0000B2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19" name="Rectangle 803">
            <a:extLst>
              <a:ext uri="{FF2B5EF4-FFF2-40B4-BE49-F238E27FC236}">
                <a16:creationId xmlns:a16="http://schemas.microsoft.com/office/drawing/2014/main" id="{00000000-0008-0000-0200-0000B3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20" name="Rectangle 804">
            <a:extLst>
              <a:ext uri="{FF2B5EF4-FFF2-40B4-BE49-F238E27FC236}">
                <a16:creationId xmlns:a16="http://schemas.microsoft.com/office/drawing/2014/main" id="{00000000-0008-0000-0200-0000B4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21" name="Rectangle 805">
            <a:extLst>
              <a:ext uri="{FF2B5EF4-FFF2-40B4-BE49-F238E27FC236}">
                <a16:creationId xmlns:a16="http://schemas.microsoft.com/office/drawing/2014/main" id="{00000000-0008-0000-0200-0000B56B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22" name="Rectangle 806">
            <a:extLst>
              <a:ext uri="{FF2B5EF4-FFF2-40B4-BE49-F238E27FC236}">
                <a16:creationId xmlns:a16="http://schemas.microsoft.com/office/drawing/2014/main" id="{00000000-0008-0000-0200-0000B6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23" name="Rectangle 807">
            <a:extLst>
              <a:ext uri="{FF2B5EF4-FFF2-40B4-BE49-F238E27FC236}">
                <a16:creationId xmlns:a16="http://schemas.microsoft.com/office/drawing/2014/main" id="{00000000-0008-0000-0200-0000B7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24" name="Oval 808">
            <a:extLst>
              <a:ext uri="{FF2B5EF4-FFF2-40B4-BE49-F238E27FC236}">
                <a16:creationId xmlns:a16="http://schemas.microsoft.com/office/drawing/2014/main" id="{00000000-0008-0000-0200-0000B86B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25" name="Oval 809">
            <a:extLst>
              <a:ext uri="{FF2B5EF4-FFF2-40B4-BE49-F238E27FC236}">
                <a16:creationId xmlns:a16="http://schemas.microsoft.com/office/drawing/2014/main" id="{00000000-0008-0000-0200-0000B96B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26" name="Oval 810">
            <a:extLst>
              <a:ext uri="{FF2B5EF4-FFF2-40B4-BE49-F238E27FC236}">
                <a16:creationId xmlns:a16="http://schemas.microsoft.com/office/drawing/2014/main" id="{00000000-0008-0000-0200-0000BA6B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27" name="Oval 811">
            <a:extLst>
              <a:ext uri="{FF2B5EF4-FFF2-40B4-BE49-F238E27FC236}">
                <a16:creationId xmlns:a16="http://schemas.microsoft.com/office/drawing/2014/main" id="{00000000-0008-0000-0200-0000BB6B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28" name="AutoShape 812">
            <a:extLst>
              <a:ext uri="{FF2B5EF4-FFF2-40B4-BE49-F238E27FC236}">
                <a16:creationId xmlns:a16="http://schemas.microsoft.com/office/drawing/2014/main" id="{00000000-0008-0000-0200-0000BC6B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29" name="AutoShape 813">
            <a:extLst>
              <a:ext uri="{FF2B5EF4-FFF2-40B4-BE49-F238E27FC236}">
                <a16:creationId xmlns:a16="http://schemas.microsoft.com/office/drawing/2014/main" id="{00000000-0008-0000-0200-0000BD6B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06597" name="Group 814">
          <a:extLst>
            <a:ext uri="{FF2B5EF4-FFF2-40B4-BE49-F238E27FC236}">
              <a16:creationId xmlns:a16="http://schemas.microsoft.com/office/drawing/2014/main" id="{00000000-0008-0000-0200-000045691200}"/>
            </a:ext>
          </a:extLst>
        </xdr:cNvPr>
        <xdr:cNvGrpSpPr>
          <a:grpSpLocks/>
        </xdr:cNvGrpSpPr>
      </xdr:nvGrpSpPr>
      <xdr:grpSpPr bwMode="auto">
        <a:xfrm>
          <a:off x="7581900" y="1181100"/>
          <a:ext cx="0" cy="381000"/>
          <a:chOff x="675" y="362"/>
          <a:chExt cx="278" cy="249"/>
        </a:xfrm>
      </xdr:grpSpPr>
      <xdr:sp macro="" textlink="">
        <xdr:nvSpPr>
          <xdr:cNvPr id="1207208" name="Rectangle 815">
            <a:extLst>
              <a:ext uri="{FF2B5EF4-FFF2-40B4-BE49-F238E27FC236}">
                <a16:creationId xmlns:a16="http://schemas.microsoft.com/office/drawing/2014/main" id="{00000000-0008-0000-0200-0000A86B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09" name="Rectangle 816">
            <a:extLst>
              <a:ext uri="{FF2B5EF4-FFF2-40B4-BE49-F238E27FC236}">
                <a16:creationId xmlns:a16="http://schemas.microsoft.com/office/drawing/2014/main" id="{00000000-0008-0000-0200-0000A96B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10" name="Rectangle 817">
            <a:extLst>
              <a:ext uri="{FF2B5EF4-FFF2-40B4-BE49-F238E27FC236}">
                <a16:creationId xmlns:a16="http://schemas.microsoft.com/office/drawing/2014/main" id="{00000000-0008-0000-0200-0000AA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11" name="Rectangle 818">
            <a:extLst>
              <a:ext uri="{FF2B5EF4-FFF2-40B4-BE49-F238E27FC236}">
                <a16:creationId xmlns:a16="http://schemas.microsoft.com/office/drawing/2014/main" id="{00000000-0008-0000-0200-0000AB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12" name="Rectangle 819">
            <a:extLst>
              <a:ext uri="{FF2B5EF4-FFF2-40B4-BE49-F238E27FC236}">
                <a16:creationId xmlns:a16="http://schemas.microsoft.com/office/drawing/2014/main" id="{00000000-0008-0000-0200-0000AC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13" name="Oval 820">
            <a:extLst>
              <a:ext uri="{FF2B5EF4-FFF2-40B4-BE49-F238E27FC236}">
                <a16:creationId xmlns:a16="http://schemas.microsoft.com/office/drawing/2014/main" id="{00000000-0008-0000-0200-0000AD6B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14" name="Oval 821">
            <a:extLst>
              <a:ext uri="{FF2B5EF4-FFF2-40B4-BE49-F238E27FC236}">
                <a16:creationId xmlns:a16="http://schemas.microsoft.com/office/drawing/2014/main" id="{00000000-0008-0000-0200-0000AE6B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15" name="AutoShape 822">
            <a:extLst>
              <a:ext uri="{FF2B5EF4-FFF2-40B4-BE49-F238E27FC236}">
                <a16:creationId xmlns:a16="http://schemas.microsoft.com/office/drawing/2014/main" id="{00000000-0008-0000-0200-0000AF6B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06598" name="Group 823">
          <a:extLst>
            <a:ext uri="{FF2B5EF4-FFF2-40B4-BE49-F238E27FC236}">
              <a16:creationId xmlns:a16="http://schemas.microsoft.com/office/drawing/2014/main" id="{00000000-0008-0000-0200-000046691200}"/>
            </a:ext>
          </a:extLst>
        </xdr:cNvPr>
        <xdr:cNvGrpSpPr>
          <a:grpSpLocks/>
        </xdr:cNvGrpSpPr>
      </xdr:nvGrpSpPr>
      <xdr:grpSpPr bwMode="auto">
        <a:xfrm>
          <a:off x="7581900" y="1181100"/>
          <a:ext cx="0" cy="381000"/>
          <a:chOff x="675" y="362"/>
          <a:chExt cx="278" cy="249"/>
        </a:xfrm>
      </xdr:grpSpPr>
      <xdr:sp macro="" textlink="">
        <xdr:nvSpPr>
          <xdr:cNvPr id="1207200" name="Rectangle 824">
            <a:extLst>
              <a:ext uri="{FF2B5EF4-FFF2-40B4-BE49-F238E27FC236}">
                <a16:creationId xmlns:a16="http://schemas.microsoft.com/office/drawing/2014/main" id="{00000000-0008-0000-0200-0000A06B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01" name="Rectangle 825">
            <a:extLst>
              <a:ext uri="{FF2B5EF4-FFF2-40B4-BE49-F238E27FC236}">
                <a16:creationId xmlns:a16="http://schemas.microsoft.com/office/drawing/2014/main" id="{00000000-0008-0000-0200-0000A16B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02" name="Rectangle 826">
            <a:extLst>
              <a:ext uri="{FF2B5EF4-FFF2-40B4-BE49-F238E27FC236}">
                <a16:creationId xmlns:a16="http://schemas.microsoft.com/office/drawing/2014/main" id="{00000000-0008-0000-0200-0000A2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03" name="Rectangle 827">
            <a:extLst>
              <a:ext uri="{FF2B5EF4-FFF2-40B4-BE49-F238E27FC236}">
                <a16:creationId xmlns:a16="http://schemas.microsoft.com/office/drawing/2014/main" id="{00000000-0008-0000-0200-0000A3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04" name="Rectangle 828">
            <a:extLst>
              <a:ext uri="{FF2B5EF4-FFF2-40B4-BE49-F238E27FC236}">
                <a16:creationId xmlns:a16="http://schemas.microsoft.com/office/drawing/2014/main" id="{00000000-0008-0000-0200-0000A4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05" name="Oval 829">
            <a:extLst>
              <a:ext uri="{FF2B5EF4-FFF2-40B4-BE49-F238E27FC236}">
                <a16:creationId xmlns:a16="http://schemas.microsoft.com/office/drawing/2014/main" id="{00000000-0008-0000-0200-0000A56B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06" name="Oval 830">
            <a:extLst>
              <a:ext uri="{FF2B5EF4-FFF2-40B4-BE49-F238E27FC236}">
                <a16:creationId xmlns:a16="http://schemas.microsoft.com/office/drawing/2014/main" id="{00000000-0008-0000-0200-0000A66B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07" name="AutoShape 831">
            <a:extLst>
              <a:ext uri="{FF2B5EF4-FFF2-40B4-BE49-F238E27FC236}">
                <a16:creationId xmlns:a16="http://schemas.microsoft.com/office/drawing/2014/main" id="{00000000-0008-0000-0200-0000A76B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06599" name="Group 832">
          <a:extLst>
            <a:ext uri="{FF2B5EF4-FFF2-40B4-BE49-F238E27FC236}">
              <a16:creationId xmlns:a16="http://schemas.microsoft.com/office/drawing/2014/main" id="{00000000-0008-0000-0200-000047691200}"/>
            </a:ext>
          </a:extLst>
        </xdr:cNvPr>
        <xdr:cNvGrpSpPr>
          <a:grpSpLocks/>
        </xdr:cNvGrpSpPr>
      </xdr:nvGrpSpPr>
      <xdr:grpSpPr bwMode="auto">
        <a:xfrm>
          <a:off x="7581900" y="1181100"/>
          <a:ext cx="0" cy="381000"/>
          <a:chOff x="675" y="362"/>
          <a:chExt cx="278" cy="249"/>
        </a:xfrm>
      </xdr:grpSpPr>
      <xdr:sp macro="" textlink="">
        <xdr:nvSpPr>
          <xdr:cNvPr id="1207192" name="Rectangle 833">
            <a:extLst>
              <a:ext uri="{FF2B5EF4-FFF2-40B4-BE49-F238E27FC236}">
                <a16:creationId xmlns:a16="http://schemas.microsoft.com/office/drawing/2014/main" id="{00000000-0008-0000-0200-0000986B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93" name="Rectangle 834">
            <a:extLst>
              <a:ext uri="{FF2B5EF4-FFF2-40B4-BE49-F238E27FC236}">
                <a16:creationId xmlns:a16="http://schemas.microsoft.com/office/drawing/2014/main" id="{00000000-0008-0000-0200-0000996B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94" name="Rectangle 835">
            <a:extLst>
              <a:ext uri="{FF2B5EF4-FFF2-40B4-BE49-F238E27FC236}">
                <a16:creationId xmlns:a16="http://schemas.microsoft.com/office/drawing/2014/main" id="{00000000-0008-0000-0200-00009A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95" name="Rectangle 836">
            <a:extLst>
              <a:ext uri="{FF2B5EF4-FFF2-40B4-BE49-F238E27FC236}">
                <a16:creationId xmlns:a16="http://schemas.microsoft.com/office/drawing/2014/main" id="{00000000-0008-0000-0200-00009B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96" name="Rectangle 837">
            <a:extLst>
              <a:ext uri="{FF2B5EF4-FFF2-40B4-BE49-F238E27FC236}">
                <a16:creationId xmlns:a16="http://schemas.microsoft.com/office/drawing/2014/main" id="{00000000-0008-0000-0200-00009C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97" name="Oval 838">
            <a:extLst>
              <a:ext uri="{FF2B5EF4-FFF2-40B4-BE49-F238E27FC236}">
                <a16:creationId xmlns:a16="http://schemas.microsoft.com/office/drawing/2014/main" id="{00000000-0008-0000-0200-00009D6B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98" name="Oval 839">
            <a:extLst>
              <a:ext uri="{FF2B5EF4-FFF2-40B4-BE49-F238E27FC236}">
                <a16:creationId xmlns:a16="http://schemas.microsoft.com/office/drawing/2014/main" id="{00000000-0008-0000-0200-00009E6B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99" name="AutoShape 840">
            <a:extLst>
              <a:ext uri="{FF2B5EF4-FFF2-40B4-BE49-F238E27FC236}">
                <a16:creationId xmlns:a16="http://schemas.microsoft.com/office/drawing/2014/main" id="{00000000-0008-0000-0200-00009F6B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06600" name="Group 841">
          <a:extLst>
            <a:ext uri="{FF2B5EF4-FFF2-40B4-BE49-F238E27FC236}">
              <a16:creationId xmlns:a16="http://schemas.microsoft.com/office/drawing/2014/main" id="{00000000-0008-0000-0200-000048691200}"/>
            </a:ext>
          </a:extLst>
        </xdr:cNvPr>
        <xdr:cNvGrpSpPr>
          <a:grpSpLocks/>
        </xdr:cNvGrpSpPr>
      </xdr:nvGrpSpPr>
      <xdr:grpSpPr bwMode="auto">
        <a:xfrm>
          <a:off x="7581900" y="1193800"/>
          <a:ext cx="0" cy="368300"/>
          <a:chOff x="624" y="37"/>
          <a:chExt cx="552" cy="248"/>
        </a:xfrm>
      </xdr:grpSpPr>
      <xdr:sp macro="" textlink="">
        <xdr:nvSpPr>
          <xdr:cNvPr id="1207178" name="Rectangle 842">
            <a:extLst>
              <a:ext uri="{FF2B5EF4-FFF2-40B4-BE49-F238E27FC236}">
                <a16:creationId xmlns:a16="http://schemas.microsoft.com/office/drawing/2014/main" id="{00000000-0008-0000-0200-00008A6B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79" name="Rectangle 843">
            <a:extLst>
              <a:ext uri="{FF2B5EF4-FFF2-40B4-BE49-F238E27FC236}">
                <a16:creationId xmlns:a16="http://schemas.microsoft.com/office/drawing/2014/main" id="{00000000-0008-0000-0200-00008B6B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80" name="Rectangle 844">
            <a:extLst>
              <a:ext uri="{FF2B5EF4-FFF2-40B4-BE49-F238E27FC236}">
                <a16:creationId xmlns:a16="http://schemas.microsoft.com/office/drawing/2014/main" id="{00000000-0008-0000-0200-00008C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81" name="Rectangle 845">
            <a:extLst>
              <a:ext uri="{FF2B5EF4-FFF2-40B4-BE49-F238E27FC236}">
                <a16:creationId xmlns:a16="http://schemas.microsoft.com/office/drawing/2014/main" id="{00000000-0008-0000-0200-00008D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82" name="Rectangle 846">
            <a:extLst>
              <a:ext uri="{FF2B5EF4-FFF2-40B4-BE49-F238E27FC236}">
                <a16:creationId xmlns:a16="http://schemas.microsoft.com/office/drawing/2014/main" id="{00000000-0008-0000-0200-00008E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83" name="Rectangle 847">
            <a:extLst>
              <a:ext uri="{FF2B5EF4-FFF2-40B4-BE49-F238E27FC236}">
                <a16:creationId xmlns:a16="http://schemas.microsoft.com/office/drawing/2014/main" id="{00000000-0008-0000-0200-00008F6B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84" name="Rectangle 848">
            <a:extLst>
              <a:ext uri="{FF2B5EF4-FFF2-40B4-BE49-F238E27FC236}">
                <a16:creationId xmlns:a16="http://schemas.microsoft.com/office/drawing/2014/main" id="{00000000-0008-0000-0200-000090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85" name="Rectangle 849">
            <a:extLst>
              <a:ext uri="{FF2B5EF4-FFF2-40B4-BE49-F238E27FC236}">
                <a16:creationId xmlns:a16="http://schemas.microsoft.com/office/drawing/2014/main" id="{00000000-0008-0000-0200-000091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86" name="Oval 850">
            <a:extLst>
              <a:ext uri="{FF2B5EF4-FFF2-40B4-BE49-F238E27FC236}">
                <a16:creationId xmlns:a16="http://schemas.microsoft.com/office/drawing/2014/main" id="{00000000-0008-0000-0200-0000926B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87" name="Oval 851">
            <a:extLst>
              <a:ext uri="{FF2B5EF4-FFF2-40B4-BE49-F238E27FC236}">
                <a16:creationId xmlns:a16="http://schemas.microsoft.com/office/drawing/2014/main" id="{00000000-0008-0000-0200-0000936B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88" name="Oval 852">
            <a:extLst>
              <a:ext uri="{FF2B5EF4-FFF2-40B4-BE49-F238E27FC236}">
                <a16:creationId xmlns:a16="http://schemas.microsoft.com/office/drawing/2014/main" id="{00000000-0008-0000-0200-0000946B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89" name="Oval 853">
            <a:extLst>
              <a:ext uri="{FF2B5EF4-FFF2-40B4-BE49-F238E27FC236}">
                <a16:creationId xmlns:a16="http://schemas.microsoft.com/office/drawing/2014/main" id="{00000000-0008-0000-0200-0000956B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90" name="AutoShape 854">
            <a:extLst>
              <a:ext uri="{FF2B5EF4-FFF2-40B4-BE49-F238E27FC236}">
                <a16:creationId xmlns:a16="http://schemas.microsoft.com/office/drawing/2014/main" id="{00000000-0008-0000-0200-0000966B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91" name="AutoShape 855">
            <a:extLst>
              <a:ext uri="{FF2B5EF4-FFF2-40B4-BE49-F238E27FC236}">
                <a16:creationId xmlns:a16="http://schemas.microsoft.com/office/drawing/2014/main" id="{00000000-0008-0000-0200-0000976B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06601" name="Group 856">
          <a:extLst>
            <a:ext uri="{FF2B5EF4-FFF2-40B4-BE49-F238E27FC236}">
              <a16:creationId xmlns:a16="http://schemas.microsoft.com/office/drawing/2014/main" id="{00000000-0008-0000-0200-000049691200}"/>
            </a:ext>
          </a:extLst>
        </xdr:cNvPr>
        <xdr:cNvGrpSpPr>
          <a:grpSpLocks/>
        </xdr:cNvGrpSpPr>
      </xdr:nvGrpSpPr>
      <xdr:grpSpPr bwMode="auto">
        <a:xfrm>
          <a:off x="7581900" y="1181100"/>
          <a:ext cx="0" cy="381000"/>
          <a:chOff x="675" y="362"/>
          <a:chExt cx="278" cy="249"/>
        </a:xfrm>
      </xdr:grpSpPr>
      <xdr:sp macro="" textlink="">
        <xdr:nvSpPr>
          <xdr:cNvPr id="1207170" name="Rectangle 857">
            <a:extLst>
              <a:ext uri="{FF2B5EF4-FFF2-40B4-BE49-F238E27FC236}">
                <a16:creationId xmlns:a16="http://schemas.microsoft.com/office/drawing/2014/main" id="{00000000-0008-0000-0200-0000826B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71" name="Rectangle 858">
            <a:extLst>
              <a:ext uri="{FF2B5EF4-FFF2-40B4-BE49-F238E27FC236}">
                <a16:creationId xmlns:a16="http://schemas.microsoft.com/office/drawing/2014/main" id="{00000000-0008-0000-0200-0000836B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72" name="Rectangle 859">
            <a:extLst>
              <a:ext uri="{FF2B5EF4-FFF2-40B4-BE49-F238E27FC236}">
                <a16:creationId xmlns:a16="http://schemas.microsoft.com/office/drawing/2014/main" id="{00000000-0008-0000-0200-000084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73" name="Rectangle 860">
            <a:extLst>
              <a:ext uri="{FF2B5EF4-FFF2-40B4-BE49-F238E27FC236}">
                <a16:creationId xmlns:a16="http://schemas.microsoft.com/office/drawing/2014/main" id="{00000000-0008-0000-0200-000085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74" name="Rectangle 861">
            <a:extLst>
              <a:ext uri="{FF2B5EF4-FFF2-40B4-BE49-F238E27FC236}">
                <a16:creationId xmlns:a16="http://schemas.microsoft.com/office/drawing/2014/main" id="{00000000-0008-0000-0200-000086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75" name="Oval 862">
            <a:extLst>
              <a:ext uri="{FF2B5EF4-FFF2-40B4-BE49-F238E27FC236}">
                <a16:creationId xmlns:a16="http://schemas.microsoft.com/office/drawing/2014/main" id="{00000000-0008-0000-0200-0000876B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76" name="Oval 863">
            <a:extLst>
              <a:ext uri="{FF2B5EF4-FFF2-40B4-BE49-F238E27FC236}">
                <a16:creationId xmlns:a16="http://schemas.microsoft.com/office/drawing/2014/main" id="{00000000-0008-0000-0200-0000886B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77" name="AutoShape 864">
            <a:extLst>
              <a:ext uri="{FF2B5EF4-FFF2-40B4-BE49-F238E27FC236}">
                <a16:creationId xmlns:a16="http://schemas.microsoft.com/office/drawing/2014/main" id="{00000000-0008-0000-0200-0000896B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06602" name="Group 865">
          <a:extLst>
            <a:ext uri="{FF2B5EF4-FFF2-40B4-BE49-F238E27FC236}">
              <a16:creationId xmlns:a16="http://schemas.microsoft.com/office/drawing/2014/main" id="{00000000-0008-0000-0200-00004A691200}"/>
            </a:ext>
          </a:extLst>
        </xdr:cNvPr>
        <xdr:cNvGrpSpPr>
          <a:grpSpLocks/>
        </xdr:cNvGrpSpPr>
      </xdr:nvGrpSpPr>
      <xdr:grpSpPr bwMode="auto">
        <a:xfrm>
          <a:off x="7581900" y="1181100"/>
          <a:ext cx="0" cy="381000"/>
          <a:chOff x="675" y="362"/>
          <a:chExt cx="278" cy="249"/>
        </a:xfrm>
      </xdr:grpSpPr>
      <xdr:sp macro="" textlink="">
        <xdr:nvSpPr>
          <xdr:cNvPr id="1207162" name="Rectangle 866">
            <a:extLst>
              <a:ext uri="{FF2B5EF4-FFF2-40B4-BE49-F238E27FC236}">
                <a16:creationId xmlns:a16="http://schemas.microsoft.com/office/drawing/2014/main" id="{00000000-0008-0000-0200-00007A6B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63" name="Rectangle 867">
            <a:extLst>
              <a:ext uri="{FF2B5EF4-FFF2-40B4-BE49-F238E27FC236}">
                <a16:creationId xmlns:a16="http://schemas.microsoft.com/office/drawing/2014/main" id="{00000000-0008-0000-0200-00007B6B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64" name="Rectangle 868">
            <a:extLst>
              <a:ext uri="{FF2B5EF4-FFF2-40B4-BE49-F238E27FC236}">
                <a16:creationId xmlns:a16="http://schemas.microsoft.com/office/drawing/2014/main" id="{00000000-0008-0000-0200-00007C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65" name="Rectangle 869">
            <a:extLst>
              <a:ext uri="{FF2B5EF4-FFF2-40B4-BE49-F238E27FC236}">
                <a16:creationId xmlns:a16="http://schemas.microsoft.com/office/drawing/2014/main" id="{00000000-0008-0000-0200-00007D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66" name="Rectangle 870">
            <a:extLst>
              <a:ext uri="{FF2B5EF4-FFF2-40B4-BE49-F238E27FC236}">
                <a16:creationId xmlns:a16="http://schemas.microsoft.com/office/drawing/2014/main" id="{00000000-0008-0000-0200-00007E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67" name="Oval 871">
            <a:extLst>
              <a:ext uri="{FF2B5EF4-FFF2-40B4-BE49-F238E27FC236}">
                <a16:creationId xmlns:a16="http://schemas.microsoft.com/office/drawing/2014/main" id="{00000000-0008-0000-0200-00007F6B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68" name="Oval 872">
            <a:extLst>
              <a:ext uri="{FF2B5EF4-FFF2-40B4-BE49-F238E27FC236}">
                <a16:creationId xmlns:a16="http://schemas.microsoft.com/office/drawing/2014/main" id="{00000000-0008-0000-0200-0000806B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69" name="AutoShape 873">
            <a:extLst>
              <a:ext uri="{FF2B5EF4-FFF2-40B4-BE49-F238E27FC236}">
                <a16:creationId xmlns:a16="http://schemas.microsoft.com/office/drawing/2014/main" id="{00000000-0008-0000-0200-0000816B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06603" name="Group 874">
          <a:extLst>
            <a:ext uri="{FF2B5EF4-FFF2-40B4-BE49-F238E27FC236}">
              <a16:creationId xmlns:a16="http://schemas.microsoft.com/office/drawing/2014/main" id="{00000000-0008-0000-0200-00004B691200}"/>
            </a:ext>
          </a:extLst>
        </xdr:cNvPr>
        <xdr:cNvGrpSpPr>
          <a:grpSpLocks/>
        </xdr:cNvGrpSpPr>
      </xdr:nvGrpSpPr>
      <xdr:grpSpPr bwMode="auto">
        <a:xfrm>
          <a:off x="7581900" y="1181100"/>
          <a:ext cx="0" cy="381000"/>
          <a:chOff x="675" y="362"/>
          <a:chExt cx="278" cy="249"/>
        </a:xfrm>
      </xdr:grpSpPr>
      <xdr:sp macro="" textlink="">
        <xdr:nvSpPr>
          <xdr:cNvPr id="1207154" name="Rectangle 875">
            <a:extLst>
              <a:ext uri="{FF2B5EF4-FFF2-40B4-BE49-F238E27FC236}">
                <a16:creationId xmlns:a16="http://schemas.microsoft.com/office/drawing/2014/main" id="{00000000-0008-0000-0200-0000726B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55" name="Rectangle 876">
            <a:extLst>
              <a:ext uri="{FF2B5EF4-FFF2-40B4-BE49-F238E27FC236}">
                <a16:creationId xmlns:a16="http://schemas.microsoft.com/office/drawing/2014/main" id="{00000000-0008-0000-0200-0000736B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56" name="Rectangle 877">
            <a:extLst>
              <a:ext uri="{FF2B5EF4-FFF2-40B4-BE49-F238E27FC236}">
                <a16:creationId xmlns:a16="http://schemas.microsoft.com/office/drawing/2014/main" id="{00000000-0008-0000-0200-000074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57" name="Rectangle 878">
            <a:extLst>
              <a:ext uri="{FF2B5EF4-FFF2-40B4-BE49-F238E27FC236}">
                <a16:creationId xmlns:a16="http://schemas.microsoft.com/office/drawing/2014/main" id="{00000000-0008-0000-0200-000075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58" name="Rectangle 879">
            <a:extLst>
              <a:ext uri="{FF2B5EF4-FFF2-40B4-BE49-F238E27FC236}">
                <a16:creationId xmlns:a16="http://schemas.microsoft.com/office/drawing/2014/main" id="{00000000-0008-0000-0200-000076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59" name="Oval 880">
            <a:extLst>
              <a:ext uri="{FF2B5EF4-FFF2-40B4-BE49-F238E27FC236}">
                <a16:creationId xmlns:a16="http://schemas.microsoft.com/office/drawing/2014/main" id="{00000000-0008-0000-0200-0000776B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60" name="Oval 881">
            <a:extLst>
              <a:ext uri="{FF2B5EF4-FFF2-40B4-BE49-F238E27FC236}">
                <a16:creationId xmlns:a16="http://schemas.microsoft.com/office/drawing/2014/main" id="{00000000-0008-0000-0200-0000786B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61" name="AutoShape 882">
            <a:extLst>
              <a:ext uri="{FF2B5EF4-FFF2-40B4-BE49-F238E27FC236}">
                <a16:creationId xmlns:a16="http://schemas.microsoft.com/office/drawing/2014/main" id="{00000000-0008-0000-0200-0000796B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06604" name="Group 883">
          <a:extLst>
            <a:ext uri="{FF2B5EF4-FFF2-40B4-BE49-F238E27FC236}">
              <a16:creationId xmlns:a16="http://schemas.microsoft.com/office/drawing/2014/main" id="{00000000-0008-0000-0200-00004C691200}"/>
            </a:ext>
          </a:extLst>
        </xdr:cNvPr>
        <xdr:cNvGrpSpPr>
          <a:grpSpLocks/>
        </xdr:cNvGrpSpPr>
      </xdr:nvGrpSpPr>
      <xdr:grpSpPr bwMode="auto">
        <a:xfrm>
          <a:off x="7581900" y="1181100"/>
          <a:ext cx="0" cy="381000"/>
          <a:chOff x="675" y="362"/>
          <a:chExt cx="278" cy="249"/>
        </a:xfrm>
      </xdr:grpSpPr>
      <xdr:sp macro="" textlink="">
        <xdr:nvSpPr>
          <xdr:cNvPr id="1207146" name="Rectangle 884">
            <a:extLst>
              <a:ext uri="{FF2B5EF4-FFF2-40B4-BE49-F238E27FC236}">
                <a16:creationId xmlns:a16="http://schemas.microsoft.com/office/drawing/2014/main" id="{00000000-0008-0000-0200-00006A6B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47" name="Rectangle 885">
            <a:extLst>
              <a:ext uri="{FF2B5EF4-FFF2-40B4-BE49-F238E27FC236}">
                <a16:creationId xmlns:a16="http://schemas.microsoft.com/office/drawing/2014/main" id="{00000000-0008-0000-0200-00006B6B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48" name="Rectangle 886">
            <a:extLst>
              <a:ext uri="{FF2B5EF4-FFF2-40B4-BE49-F238E27FC236}">
                <a16:creationId xmlns:a16="http://schemas.microsoft.com/office/drawing/2014/main" id="{00000000-0008-0000-0200-00006C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49" name="Rectangle 887">
            <a:extLst>
              <a:ext uri="{FF2B5EF4-FFF2-40B4-BE49-F238E27FC236}">
                <a16:creationId xmlns:a16="http://schemas.microsoft.com/office/drawing/2014/main" id="{00000000-0008-0000-0200-00006D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50" name="Rectangle 888">
            <a:extLst>
              <a:ext uri="{FF2B5EF4-FFF2-40B4-BE49-F238E27FC236}">
                <a16:creationId xmlns:a16="http://schemas.microsoft.com/office/drawing/2014/main" id="{00000000-0008-0000-0200-00006E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51" name="Oval 889">
            <a:extLst>
              <a:ext uri="{FF2B5EF4-FFF2-40B4-BE49-F238E27FC236}">
                <a16:creationId xmlns:a16="http://schemas.microsoft.com/office/drawing/2014/main" id="{00000000-0008-0000-0200-00006F6B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52" name="Oval 890">
            <a:extLst>
              <a:ext uri="{FF2B5EF4-FFF2-40B4-BE49-F238E27FC236}">
                <a16:creationId xmlns:a16="http://schemas.microsoft.com/office/drawing/2014/main" id="{00000000-0008-0000-0200-0000706B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53" name="AutoShape 891">
            <a:extLst>
              <a:ext uri="{FF2B5EF4-FFF2-40B4-BE49-F238E27FC236}">
                <a16:creationId xmlns:a16="http://schemas.microsoft.com/office/drawing/2014/main" id="{00000000-0008-0000-0200-0000716B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06605" name="Group 892">
          <a:extLst>
            <a:ext uri="{FF2B5EF4-FFF2-40B4-BE49-F238E27FC236}">
              <a16:creationId xmlns:a16="http://schemas.microsoft.com/office/drawing/2014/main" id="{00000000-0008-0000-0200-00004D691200}"/>
            </a:ext>
          </a:extLst>
        </xdr:cNvPr>
        <xdr:cNvGrpSpPr>
          <a:grpSpLocks/>
        </xdr:cNvGrpSpPr>
      </xdr:nvGrpSpPr>
      <xdr:grpSpPr bwMode="auto">
        <a:xfrm>
          <a:off x="7581900" y="1181100"/>
          <a:ext cx="0" cy="381000"/>
          <a:chOff x="675" y="362"/>
          <a:chExt cx="278" cy="249"/>
        </a:xfrm>
      </xdr:grpSpPr>
      <xdr:sp macro="" textlink="">
        <xdr:nvSpPr>
          <xdr:cNvPr id="1207138" name="Rectangle 893">
            <a:extLst>
              <a:ext uri="{FF2B5EF4-FFF2-40B4-BE49-F238E27FC236}">
                <a16:creationId xmlns:a16="http://schemas.microsoft.com/office/drawing/2014/main" id="{00000000-0008-0000-0200-0000626B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39" name="Rectangle 894">
            <a:extLst>
              <a:ext uri="{FF2B5EF4-FFF2-40B4-BE49-F238E27FC236}">
                <a16:creationId xmlns:a16="http://schemas.microsoft.com/office/drawing/2014/main" id="{00000000-0008-0000-0200-0000636B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40" name="Rectangle 895">
            <a:extLst>
              <a:ext uri="{FF2B5EF4-FFF2-40B4-BE49-F238E27FC236}">
                <a16:creationId xmlns:a16="http://schemas.microsoft.com/office/drawing/2014/main" id="{00000000-0008-0000-0200-000064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41" name="Rectangle 896">
            <a:extLst>
              <a:ext uri="{FF2B5EF4-FFF2-40B4-BE49-F238E27FC236}">
                <a16:creationId xmlns:a16="http://schemas.microsoft.com/office/drawing/2014/main" id="{00000000-0008-0000-0200-000065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42" name="Rectangle 897">
            <a:extLst>
              <a:ext uri="{FF2B5EF4-FFF2-40B4-BE49-F238E27FC236}">
                <a16:creationId xmlns:a16="http://schemas.microsoft.com/office/drawing/2014/main" id="{00000000-0008-0000-0200-000066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43" name="Oval 898">
            <a:extLst>
              <a:ext uri="{FF2B5EF4-FFF2-40B4-BE49-F238E27FC236}">
                <a16:creationId xmlns:a16="http://schemas.microsoft.com/office/drawing/2014/main" id="{00000000-0008-0000-0200-0000676B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44" name="Oval 899">
            <a:extLst>
              <a:ext uri="{FF2B5EF4-FFF2-40B4-BE49-F238E27FC236}">
                <a16:creationId xmlns:a16="http://schemas.microsoft.com/office/drawing/2014/main" id="{00000000-0008-0000-0200-0000686B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45" name="AutoShape 900">
            <a:extLst>
              <a:ext uri="{FF2B5EF4-FFF2-40B4-BE49-F238E27FC236}">
                <a16:creationId xmlns:a16="http://schemas.microsoft.com/office/drawing/2014/main" id="{00000000-0008-0000-0200-0000696B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06606" name="Group 901">
          <a:extLst>
            <a:ext uri="{FF2B5EF4-FFF2-40B4-BE49-F238E27FC236}">
              <a16:creationId xmlns:a16="http://schemas.microsoft.com/office/drawing/2014/main" id="{00000000-0008-0000-0200-00004E691200}"/>
            </a:ext>
          </a:extLst>
        </xdr:cNvPr>
        <xdr:cNvGrpSpPr>
          <a:grpSpLocks/>
        </xdr:cNvGrpSpPr>
      </xdr:nvGrpSpPr>
      <xdr:grpSpPr bwMode="auto">
        <a:xfrm>
          <a:off x="7581900" y="1193800"/>
          <a:ext cx="0" cy="368300"/>
          <a:chOff x="624" y="37"/>
          <a:chExt cx="552" cy="248"/>
        </a:xfrm>
      </xdr:grpSpPr>
      <xdr:sp macro="" textlink="">
        <xdr:nvSpPr>
          <xdr:cNvPr id="1207124" name="Rectangle 902">
            <a:extLst>
              <a:ext uri="{FF2B5EF4-FFF2-40B4-BE49-F238E27FC236}">
                <a16:creationId xmlns:a16="http://schemas.microsoft.com/office/drawing/2014/main" id="{00000000-0008-0000-0200-0000546B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25" name="Rectangle 903">
            <a:extLst>
              <a:ext uri="{FF2B5EF4-FFF2-40B4-BE49-F238E27FC236}">
                <a16:creationId xmlns:a16="http://schemas.microsoft.com/office/drawing/2014/main" id="{00000000-0008-0000-0200-0000556B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26" name="Rectangle 904">
            <a:extLst>
              <a:ext uri="{FF2B5EF4-FFF2-40B4-BE49-F238E27FC236}">
                <a16:creationId xmlns:a16="http://schemas.microsoft.com/office/drawing/2014/main" id="{00000000-0008-0000-0200-000056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27" name="Rectangle 905">
            <a:extLst>
              <a:ext uri="{FF2B5EF4-FFF2-40B4-BE49-F238E27FC236}">
                <a16:creationId xmlns:a16="http://schemas.microsoft.com/office/drawing/2014/main" id="{00000000-0008-0000-0200-000057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28" name="Rectangle 906">
            <a:extLst>
              <a:ext uri="{FF2B5EF4-FFF2-40B4-BE49-F238E27FC236}">
                <a16:creationId xmlns:a16="http://schemas.microsoft.com/office/drawing/2014/main" id="{00000000-0008-0000-0200-000058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29" name="Rectangle 907">
            <a:extLst>
              <a:ext uri="{FF2B5EF4-FFF2-40B4-BE49-F238E27FC236}">
                <a16:creationId xmlns:a16="http://schemas.microsoft.com/office/drawing/2014/main" id="{00000000-0008-0000-0200-0000596B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30" name="Rectangle 908">
            <a:extLst>
              <a:ext uri="{FF2B5EF4-FFF2-40B4-BE49-F238E27FC236}">
                <a16:creationId xmlns:a16="http://schemas.microsoft.com/office/drawing/2014/main" id="{00000000-0008-0000-0200-00005A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31" name="Rectangle 909">
            <a:extLst>
              <a:ext uri="{FF2B5EF4-FFF2-40B4-BE49-F238E27FC236}">
                <a16:creationId xmlns:a16="http://schemas.microsoft.com/office/drawing/2014/main" id="{00000000-0008-0000-0200-00005B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32" name="Oval 910">
            <a:extLst>
              <a:ext uri="{FF2B5EF4-FFF2-40B4-BE49-F238E27FC236}">
                <a16:creationId xmlns:a16="http://schemas.microsoft.com/office/drawing/2014/main" id="{00000000-0008-0000-0200-00005C6B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33" name="Oval 911">
            <a:extLst>
              <a:ext uri="{FF2B5EF4-FFF2-40B4-BE49-F238E27FC236}">
                <a16:creationId xmlns:a16="http://schemas.microsoft.com/office/drawing/2014/main" id="{00000000-0008-0000-0200-00005D6B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34" name="Oval 912">
            <a:extLst>
              <a:ext uri="{FF2B5EF4-FFF2-40B4-BE49-F238E27FC236}">
                <a16:creationId xmlns:a16="http://schemas.microsoft.com/office/drawing/2014/main" id="{00000000-0008-0000-0200-00005E6B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35" name="Oval 913">
            <a:extLst>
              <a:ext uri="{FF2B5EF4-FFF2-40B4-BE49-F238E27FC236}">
                <a16:creationId xmlns:a16="http://schemas.microsoft.com/office/drawing/2014/main" id="{00000000-0008-0000-0200-00005F6B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36" name="AutoShape 914">
            <a:extLst>
              <a:ext uri="{FF2B5EF4-FFF2-40B4-BE49-F238E27FC236}">
                <a16:creationId xmlns:a16="http://schemas.microsoft.com/office/drawing/2014/main" id="{00000000-0008-0000-0200-0000606B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37" name="AutoShape 915">
            <a:extLst>
              <a:ext uri="{FF2B5EF4-FFF2-40B4-BE49-F238E27FC236}">
                <a16:creationId xmlns:a16="http://schemas.microsoft.com/office/drawing/2014/main" id="{00000000-0008-0000-0200-0000616B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06607" name="Group 916">
          <a:extLst>
            <a:ext uri="{FF2B5EF4-FFF2-40B4-BE49-F238E27FC236}">
              <a16:creationId xmlns:a16="http://schemas.microsoft.com/office/drawing/2014/main" id="{00000000-0008-0000-0200-00004F691200}"/>
            </a:ext>
          </a:extLst>
        </xdr:cNvPr>
        <xdr:cNvGrpSpPr>
          <a:grpSpLocks/>
        </xdr:cNvGrpSpPr>
      </xdr:nvGrpSpPr>
      <xdr:grpSpPr bwMode="auto">
        <a:xfrm>
          <a:off x="7581900" y="1193800"/>
          <a:ext cx="0" cy="368300"/>
          <a:chOff x="624" y="37"/>
          <a:chExt cx="552" cy="248"/>
        </a:xfrm>
      </xdr:grpSpPr>
      <xdr:sp macro="" textlink="">
        <xdr:nvSpPr>
          <xdr:cNvPr id="1207110" name="Rectangle 917">
            <a:extLst>
              <a:ext uri="{FF2B5EF4-FFF2-40B4-BE49-F238E27FC236}">
                <a16:creationId xmlns:a16="http://schemas.microsoft.com/office/drawing/2014/main" id="{00000000-0008-0000-0200-0000466B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11" name="Rectangle 918">
            <a:extLst>
              <a:ext uri="{FF2B5EF4-FFF2-40B4-BE49-F238E27FC236}">
                <a16:creationId xmlns:a16="http://schemas.microsoft.com/office/drawing/2014/main" id="{00000000-0008-0000-0200-0000476B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12" name="Rectangle 919">
            <a:extLst>
              <a:ext uri="{FF2B5EF4-FFF2-40B4-BE49-F238E27FC236}">
                <a16:creationId xmlns:a16="http://schemas.microsoft.com/office/drawing/2014/main" id="{00000000-0008-0000-0200-000048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13" name="Rectangle 920">
            <a:extLst>
              <a:ext uri="{FF2B5EF4-FFF2-40B4-BE49-F238E27FC236}">
                <a16:creationId xmlns:a16="http://schemas.microsoft.com/office/drawing/2014/main" id="{00000000-0008-0000-0200-000049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14" name="Rectangle 921">
            <a:extLst>
              <a:ext uri="{FF2B5EF4-FFF2-40B4-BE49-F238E27FC236}">
                <a16:creationId xmlns:a16="http://schemas.microsoft.com/office/drawing/2014/main" id="{00000000-0008-0000-0200-00004A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15" name="Rectangle 922">
            <a:extLst>
              <a:ext uri="{FF2B5EF4-FFF2-40B4-BE49-F238E27FC236}">
                <a16:creationId xmlns:a16="http://schemas.microsoft.com/office/drawing/2014/main" id="{00000000-0008-0000-0200-00004B6B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16" name="Rectangle 923">
            <a:extLst>
              <a:ext uri="{FF2B5EF4-FFF2-40B4-BE49-F238E27FC236}">
                <a16:creationId xmlns:a16="http://schemas.microsoft.com/office/drawing/2014/main" id="{00000000-0008-0000-0200-00004C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17" name="Rectangle 924">
            <a:extLst>
              <a:ext uri="{FF2B5EF4-FFF2-40B4-BE49-F238E27FC236}">
                <a16:creationId xmlns:a16="http://schemas.microsoft.com/office/drawing/2014/main" id="{00000000-0008-0000-0200-00004D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18" name="Oval 925">
            <a:extLst>
              <a:ext uri="{FF2B5EF4-FFF2-40B4-BE49-F238E27FC236}">
                <a16:creationId xmlns:a16="http://schemas.microsoft.com/office/drawing/2014/main" id="{00000000-0008-0000-0200-00004E6B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19" name="Oval 926">
            <a:extLst>
              <a:ext uri="{FF2B5EF4-FFF2-40B4-BE49-F238E27FC236}">
                <a16:creationId xmlns:a16="http://schemas.microsoft.com/office/drawing/2014/main" id="{00000000-0008-0000-0200-00004F6B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20" name="Oval 927">
            <a:extLst>
              <a:ext uri="{FF2B5EF4-FFF2-40B4-BE49-F238E27FC236}">
                <a16:creationId xmlns:a16="http://schemas.microsoft.com/office/drawing/2014/main" id="{00000000-0008-0000-0200-0000506B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21" name="Oval 928">
            <a:extLst>
              <a:ext uri="{FF2B5EF4-FFF2-40B4-BE49-F238E27FC236}">
                <a16:creationId xmlns:a16="http://schemas.microsoft.com/office/drawing/2014/main" id="{00000000-0008-0000-0200-0000516B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22" name="AutoShape 929">
            <a:extLst>
              <a:ext uri="{FF2B5EF4-FFF2-40B4-BE49-F238E27FC236}">
                <a16:creationId xmlns:a16="http://schemas.microsoft.com/office/drawing/2014/main" id="{00000000-0008-0000-0200-0000526B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23" name="AutoShape 930">
            <a:extLst>
              <a:ext uri="{FF2B5EF4-FFF2-40B4-BE49-F238E27FC236}">
                <a16:creationId xmlns:a16="http://schemas.microsoft.com/office/drawing/2014/main" id="{00000000-0008-0000-0200-0000536B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06608" name="Group 931">
          <a:extLst>
            <a:ext uri="{FF2B5EF4-FFF2-40B4-BE49-F238E27FC236}">
              <a16:creationId xmlns:a16="http://schemas.microsoft.com/office/drawing/2014/main" id="{00000000-0008-0000-0200-000050691200}"/>
            </a:ext>
          </a:extLst>
        </xdr:cNvPr>
        <xdr:cNvGrpSpPr>
          <a:grpSpLocks/>
        </xdr:cNvGrpSpPr>
      </xdr:nvGrpSpPr>
      <xdr:grpSpPr bwMode="auto">
        <a:xfrm>
          <a:off x="7581900" y="1193800"/>
          <a:ext cx="0" cy="368300"/>
          <a:chOff x="624" y="37"/>
          <a:chExt cx="552" cy="248"/>
        </a:xfrm>
      </xdr:grpSpPr>
      <xdr:sp macro="" textlink="">
        <xdr:nvSpPr>
          <xdr:cNvPr id="1207096" name="Rectangle 932">
            <a:extLst>
              <a:ext uri="{FF2B5EF4-FFF2-40B4-BE49-F238E27FC236}">
                <a16:creationId xmlns:a16="http://schemas.microsoft.com/office/drawing/2014/main" id="{00000000-0008-0000-0200-0000386B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97" name="Rectangle 933">
            <a:extLst>
              <a:ext uri="{FF2B5EF4-FFF2-40B4-BE49-F238E27FC236}">
                <a16:creationId xmlns:a16="http://schemas.microsoft.com/office/drawing/2014/main" id="{00000000-0008-0000-0200-0000396B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98" name="Rectangle 934">
            <a:extLst>
              <a:ext uri="{FF2B5EF4-FFF2-40B4-BE49-F238E27FC236}">
                <a16:creationId xmlns:a16="http://schemas.microsoft.com/office/drawing/2014/main" id="{00000000-0008-0000-0200-00003A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99" name="Rectangle 935">
            <a:extLst>
              <a:ext uri="{FF2B5EF4-FFF2-40B4-BE49-F238E27FC236}">
                <a16:creationId xmlns:a16="http://schemas.microsoft.com/office/drawing/2014/main" id="{00000000-0008-0000-0200-00003B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00" name="Rectangle 936">
            <a:extLst>
              <a:ext uri="{FF2B5EF4-FFF2-40B4-BE49-F238E27FC236}">
                <a16:creationId xmlns:a16="http://schemas.microsoft.com/office/drawing/2014/main" id="{00000000-0008-0000-0200-00003C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01" name="Rectangle 937">
            <a:extLst>
              <a:ext uri="{FF2B5EF4-FFF2-40B4-BE49-F238E27FC236}">
                <a16:creationId xmlns:a16="http://schemas.microsoft.com/office/drawing/2014/main" id="{00000000-0008-0000-0200-00003D6B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02" name="Rectangle 938">
            <a:extLst>
              <a:ext uri="{FF2B5EF4-FFF2-40B4-BE49-F238E27FC236}">
                <a16:creationId xmlns:a16="http://schemas.microsoft.com/office/drawing/2014/main" id="{00000000-0008-0000-0200-00003E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03" name="Rectangle 939">
            <a:extLst>
              <a:ext uri="{FF2B5EF4-FFF2-40B4-BE49-F238E27FC236}">
                <a16:creationId xmlns:a16="http://schemas.microsoft.com/office/drawing/2014/main" id="{00000000-0008-0000-0200-00003F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04" name="Oval 940">
            <a:extLst>
              <a:ext uri="{FF2B5EF4-FFF2-40B4-BE49-F238E27FC236}">
                <a16:creationId xmlns:a16="http://schemas.microsoft.com/office/drawing/2014/main" id="{00000000-0008-0000-0200-0000406B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05" name="Oval 941">
            <a:extLst>
              <a:ext uri="{FF2B5EF4-FFF2-40B4-BE49-F238E27FC236}">
                <a16:creationId xmlns:a16="http://schemas.microsoft.com/office/drawing/2014/main" id="{00000000-0008-0000-0200-0000416B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06" name="Oval 942">
            <a:extLst>
              <a:ext uri="{FF2B5EF4-FFF2-40B4-BE49-F238E27FC236}">
                <a16:creationId xmlns:a16="http://schemas.microsoft.com/office/drawing/2014/main" id="{00000000-0008-0000-0200-0000426B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07" name="Oval 943">
            <a:extLst>
              <a:ext uri="{FF2B5EF4-FFF2-40B4-BE49-F238E27FC236}">
                <a16:creationId xmlns:a16="http://schemas.microsoft.com/office/drawing/2014/main" id="{00000000-0008-0000-0200-0000436B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08" name="AutoShape 944">
            <a:extLst>
              <a:ext uri="{FF2B5EF4-FFF2-40B4-BE49-F238E27FC236}">
                <a16:creationId xmlns:a16="http://schemas.microsoft.com/office/drawing/2014/main" id="{00000000-0008-0000-0200-0000446B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09" name="AutoShape 945">
            <a:extLst>
              <a:ext uri="{FF2B5EF4-FFF2-40B4-BE49-F238E27FC236}">
                <a16:creationId xmlns:a16="http://schemas.microsoft.com/office/drawing/2014/main" id="{00000000-0008-0000-0200-0000456B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06609" name="Group 946">
          <a:extLst>
            <a:ext uri="{FF2B5EF4-FFF2-40B4-BE49-F238E27FC236}">
              <a16:creationId xmlns:a16="http://schemas.microsoft.com/office/drawing/2014/main" id="{00000000-0008-0000-0200-000051691200}"/>
            </a:ext>
          </a:extLst>
        </xdr:cNvPr>
        <xdr:cNvGrpSpPr>
          <a:grpSpLocks/>
        </xdr:cNvGrpSpPr>
      </xdr:nvGrpSpPr>
      <xdr:grpSpPr bwMode="auto">
        <a:xfrm>
          <a:off x="7581900" y="1193800"/>
          <a:ext cx="0" cy="368300"/>
          <a:chOff x="624" y="37"/>
          <a:chExt cx="552" cy="248"/>
        </a:xfrm>
      </xdr:grpSpPr>
      <xdr:sp macro="" textlink="">
        <xdr:nvSpPr>
          <xdr:cNvPr id="1207082" name="Rectangle 947">
            <a:extLst>
              <a:ext uri="{FF2B5EF4-FFF2-40B4-BE49-F238E27FC236}">
                <a16:creationId xmlns:a16="http://schemas.microsoft.com/office/drawing/2014/main" id="{00000000-0008-0000-0200-00002A6B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83" name="Rectangle 948">
            <a:extLst>
              <a:ext uri="{FF2B5EF4-FFF2-40B4-BE49-F238E27FC236}">
                <a16:creationId xmlns:a16="http://schemas.microsoft.com/office/drawing/2014/main" id="{00000000-0008-0000-0200-00002B6B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84" name="Rectangle 949">
            <a:extLst>
              <a:ext uri="{FF2B5EF4-FFF2-40B4-BE49-F238E27FC236}">
                <a16:creationId xmlns:a16="http://schemas.microsoft.com/office/drawing/2014/main" id="{00000000-0008-0000-0200-00002C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85" name="Rectangle 950">
            <a:extLst>
              <a:ext uri="{FF2B5EF4-FFF2-40B4-BE49-F238E27FC236}">
                <a16:creationId xmlns:a16="http://schemas.microsoft.com/office/drawing/2014/main" id="{00000000-0008-0000-0200-00002D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86" name="Rectangle 951">
            <a:extLst>
              <a:ext uri="{FF2B5EF4-FFF2-40B4-BE49-F238E27FC236}">
                <a16:creationId xmlns:a16="http://schemas.microsoft.com/office/drawing/2014/main" id="{00000000-0008-0000-0200-00002E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87" name="Rectangle 952">
            <a:extLst>
              <a:ext uri="{FF2B5EF4-FFF2-40B4-BE49-F238E27FC236}">
                <a16:creationId xmlns:a16="http://schemas.microsoft.com/office/drawing/2014/main" id="{00000000-0008-0000-0200-00002F6B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88" name="Rectangle 953">
            <a:extLst>
              <a:ext uri="{FF2B5EF4-FFF2-40B4-BE49-F238E27FC236}">
                <a16:creationId xmlns:a16="http://schemas.microsoft.com/office/drawing/2014/main" id="{00000000-0008-0000-0200-000030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89" name="Rectangle 954">
            <a:extLst>
              <a:ext uri="{FF2B5EF4-FFF2-40B4-BE49-F238E27FC236}">
                <a16:creationId xmlns:a16="http://schemas.microsoft.com/office/drawing/2014/main" id="{00000000-0008-0000-0200-000031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90" name="Oval 955">
            <a:extLst>
              <a:ext uri="{FF2B5EF4-FFF2-40B4-BE49-F238E27FC236}">
                <a16:creationId xmlns:a16="http://schemas.microsoft.com/office/drawing/2014/main" id="{00000000-0008-0000-0200-0000326B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91" name="Oval 956">
            <a:extLst>
              <a:ext uri="{FF2B5EF4-FFF2-40B4-BE49-F238E27FC236}">
                <a16:creationId xmlns:a16="http://schemas.microsoft.com/office/drawing/2014/main" id="{00000000-0008-0000-0200-0000336B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92" name="Oval 957">
            <a:extLst>
              <a:ext uri="{FF2B5EF4-FFF2-40B4-BE49-F238E27FC236}">
                <a16:creationId xmlns:a16="http://schemas.microsoft.com/office/drawing/2014/main" id="{00000000-0008-0000-0200-0000346B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93" name="Oval 958">
            <a:extLst>
              <a:ext uri="{FF2B5EF4-FFF2-40B4-BE49-F238E27FC236}">
                <a16:creationId xmlns:a16="http://schemas.microsoft.com/office/drawing/2014/main" id="{00000000-0008-0000-0200-0000356B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94" name="AutoShape 959">
            <a:extLst>
              <a:ext uri="{FF2B5EF4-FFF2-40B4-BE49-F238E27FC236}">
                <a16:creationId xmlns:a16="http://schemas.microsoft.com/office/drawing/2014/main" id="{00000000-0008-0000-0200-0000366B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95" name="AutoShape 960">
            <a:extLst>
              <a:ext uri="{FF2B5EF4-FFF2-40B4-BE49-F238E27FC236}">
                <a16:creationId xmlns:a16="http://schemas.microsoft.com/office/drawing/2014/main" id="{00000000-0008-0000-0200-0000376B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06610" name="Group 961">
          <a:extLst>
            <a:ext uri="{FF2B5EF4-FFF2-40B4-BE49-F238E27FC236}">
              <a16:creationId xmlns:a16="http://schemas.microsoft.com/office/drawing/2014/main" id="{00000000-0008-0000-0200-000052691200}"/>
            </a:ext>
          </a:extLst>
        </xdr:cNvPr>
        <xdr:cNvGrpSpPr>
          <a:grpSpLocks/>
        </xdr:cNvGrpSpPr>
      </xdr:nvGrpSpPr>
      <xdr:grpSpPr bwMode="auto">
        <a:xfrm>
          <a:off x="7581900" y="1193800"/>
          <a:ext cx="0" cy="368300"/>
          <a:chOff x="624" y="37"/>
          <a:chExt cx="552" cy="248"/>
        </a:xfrm>
      </xdr:grpSpPr>
      <xdr:sp macro="" textlink="">
        <xdr:nvSpPr>
          <xdr:cNvPr id="1207068" name="Rectangle 962">
            <a:extLst>
              <a:ext uri="{FF2B5EF4-FFF2-40B4-BE49-F238E27FC236}">
                <a16:creationId xmlns:a16="http://schemas.microsoft.com/office/drawing/2014/main" id="{00000000-0008-0000-0200-00001C6B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69" name="Rectangle 963">
            <a:extLst>
              <a:ext uri="{FF2B5EF4-FFF2-40B4-BE49-F238E27FC236}">
                <a16:creationId xmlns:a16="http://schemas.microsoft.com/office/drawing/2014/main" id="{00000000-0008-0000-0200-00001D6B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70" name="Rectangle 964">
            <a:extLst>
              <a:ext uri="{FF2B5EF4-FFF2-40B4-BE49-F238E27FC236}">
                <a16:creationId xmlns:a16="http://schemas.microsoft.com/office/drawing/2014/main" id="{00000000-0008-0000-0200-00001E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71" name="Rectangle 965">
            <a:extLst>
              <a:ext uri="{FF2B5EF4-FFF2-40B4-BE49-F238E27FC236}">
                <a16:creationId xmlns:a16="http://schemas.microsoft.com/office/drawing/2014/main" id="{00000000-0008-0000-0200-00001F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72" name="Rectangle 966">
            <a:extLst>
              <a:ext uri="{FF2B5EF4-FFF2-40B4-BE49-F238E27FC236}">
                <a16:creationId xmlns:a16="http://schemas.microsoft.com/office/drawing/2014/main" id="{00000000-0008-0000-0200-000020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73" name="Rectangle 967">
            <a:extLst>
              <a:ext uri="{FF2B5EF4-FFF2-40B4-BE49-F238E27FC236}">
                <a16:creationId xmlns:a16="http://schemas.microsoft.com/office/drawing/2014/main" id="{00000000-0008-0000-0200-0000216B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74" name="Rectangle 968">
            <a:extLst>
              <a:ext uri="{FF2B5EF4-FFF2-40B4-BE49-F238E27FC236}">
                <a16:creationId xmlns:a16="http://schemas.microsoft.com/office/drawing/2014/main" id="{00000000-0008-0000-0200-000022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75" name="Rectangle 969">
            <a:extLst>
              <a:ext uri="{FF2B5EF4-FFF2-40B4-BE49-F238E27FC236}">
                <a16:creationId xmlns:a16="http://schemas.microsoft.com/office/drawing/2014/main" id="{00000000-0008-0000-0200-000023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76" name="Oval 970">
            <a:extLst>
              <a:ext uri="{FF2B5EF4-FFF2-40B4-BE49-F238E27FC236}">
                <a16:creationId xmlns:a16="http://schemas.microsoft.com/office/drawing/2014/main" id="{00000000-0008-0000-0200-0000246B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77" name="Oval 971">
            <a:extLst>
              <a:ext uri="{FF2B5EF4-FFF2-40B4-BE49-F238E27FC236}">
                <a16:creationId xmlns:a16="http://schemas.microsoft.com/office/drawing/2014/main" id="{00000000-0008-0000-0200-0000256B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78" name="Oval 972">
            <a:extLst>
              <a:ext uri="{FF2B5EF4-FFF2-40B4-BE49-F238E27FC236}">
                <a16:creationId xmlns:a16="http://schemas.microsoft.com/office/drawing/2014/main" id="{00000000-0008-0000-0200-0000266B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79" name="Oval 973">
            <a:extLst>
              <a:ext uri="{FF2B5EF4-FFF2-40B4-BE49-F238E27FC236}">
                <a16:creationId xmlns:a16="http://schemas.microsoft.com/office/drawing/2014/main" id="{00000000-0008-0000-0200-0000276B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80" name="AutoShape 974">
            <a:extLst>
              <a:ext uri="{FF2B5EF4-FFF2-40B4-BE49-F238E27FC236}">
                <a16:creationId xmlns:a16="http://schemas.microsoft.com/office/drawing/2014/main" id="{00000000-0008-0000-0200-0000286B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81" name="AutoShape 975">
            <a:extLst>
              <a:ext uri="{FF2B5EF4-FFF2-40B4-BE49-F238E27FC236}">
                <a16:creationId xmlns:a16="http://schemas.microsoft.com/office/drawing/2014/main" id="{00000000-0008-0000-0200-0000296B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06611" name="Group 976">
          <a:extLst>
            <a:ext uri="{FF2B5EF4-FFF2-40B4-BE49-F238E27FC236}">
              <a16:creationId xmlns:a16="http://schemas.microsoft.com/office/drawing/2014/main" id="{00000000-0008-0000-0200-000053691200}"/>
            </a:ext>
          </a:extLst>
        </xdr:cNvPr>
        <xdr:cNvGrpSpPr>
          <a:grpSpLocks/>
        </xdr:cNvGrpSpPr>
      </xdr:nvGrpSpPr>
      <xdr:grpSpPr bwMode="auto">
        <a:xfrm>
          <a:off x="7581900" y="1193800"/>
          <a:ext cx="0" cy="368300"/>
          <a:chOff x="624" y="37"/>
          <a:chExt cx="552" cy="248"/>
        </a:xfrm>
      </xdr:grpSpPr>
      <xdr:sp macro="" textlink="">
        <xdr:nvSpPr>
          <xdr:cNvPr id="1207054" name="Rectangle 977">
            <a:extLst>
              <a:ext uri="{FF2B5EF4-FFF2-40B4-BE49-F238E27FC236}">
                <a16:creationId xmlns:a16="http://schemas.microsoft.com/office/drawing/2014/main" id="{00000000-0008-0000-0200-00000E6B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55" name="Rectangle 978">
            <a:extLst>
              <a:ext uri="{FF2B5EF4-FFF2-40B4-BE49-F238E27FC236}">
                <a16:creationId xmlns:a16="http://schemas.microsoft.com/office/drawing/2014/main" id="{00000000-0008-0000-0200-00000F6B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56" name="Rectangle 979">
            <a:extLst>
              <a:ext uri="{FF2B5EF4-FFF2-40B4-BE49-F238E27FC236}">
                <a16:creationId xmlns:a16="http://schemas.microsoft.com/office/drawing/2014/main" id="{00000000-0008-0000-0200-000010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57" name="Rectangle 980">
            <a:extLst>
              <a:ext uri="{FF2B5EF4-FFF2-40B4-BE49-F238E27FC236}">
                <a16:creationId xmlns:a16="http://schemas.microsoft.com/office/drawing/2014/main" id="{00000000-0008-0000-0200-000011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58" name="Rectangle 981">
            <a:extLst>
              <a:ext uri="{FF2B5EF4-FFF2-40B4-BE49-F238E27FC236}">
                <a16:creationId xmlns:a16="http://schemas.microsoft.com/office/drawing/2014/main" id="{00000000-0008-0000-0200-000012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59" name="Rectangle 982">
            <a:extLst>
              <a:ext uri="{FF2B5EF4-FFF2-40B4-BE49-F238E27FC236}">
                <a16:creationId xmlns:a16="http://schemas.microsoft.com/office/drawing/2014/main" id="{00000000-0008-0000-0200-0000136B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60" name="Rectangle 983">
            <a:extLst>
              <a:ext uri="{FF2B5EF4-FFF2-40B4-BE49-F238E27FC236}">
                <a16:creationId xmlns:a16="http://schemas.microsoft.com/office/drawing/2014/main" id="{00000000-0008-0000-0200-000014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61" name="Rectangle 984">
            <a:extLst>
              <a:ext uri="{FF2B5EF4-FFF2-40B4-BE49-F238E27FC236}">
                <a16:creationId xmlns:a16="http://schemas.microsoft.com/office/drawing/2014/main" id="{00000000-0008-0000-0200-000015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62" name="Oval 985">
            <a:extLst>
              <a:ext uri="{FF2B5EF4-FFF2-40B4-BE49-F238E27FC236}">
                <a16:creationId xmlns:a16="http://schemas.microsoft.com/office/drawing/2014/main" id="{00000000-0008-0000-0200-0000166B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63" name="Oval 986">
            <a:extLst>
              <a:ext uri="{FF2B5EF4-FFF2-40B4-BE49-F238E27FC236}">
                <a16:creationId xmlns:a16="http://schemas.microsoft.com/office/drawing/2014/main" id="{00000000-0008-0000-0200-0000176B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64" name="Oval 987">
            <a:extLst>
              <a:ext uri="{FF2B5EF4-FFF2-40B4-BE49-F238E27FC236}">
                <a16:creationId xmlns:a16="http://schemas.microsoft.com/office/drawing/2014/main" id="{00000000-0008-0000-0200-0000186B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65" name="Oval 988">
            <a:extLst>
              <a:ext uri="{FF2B5EF4-FFF2-40B4-BE49-F238E27FC236}">
                <a16:creationId xmlns:a16="http://schemas.microsoft.com/office/drawing/2014/main" id="{00000000-0008-0000-0200-0000196B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66" name="AutoShape 989">
            <a:extLst>
              <a:ext uri="{FF2B5EF4-FFF2-40B4-BE49-F238E27FC236}">
                <a16:creationId xmlns:a16="http://schemas.microsoft.com/office/drawing/2014/main" id="{00000000-0008-0000-0200-00001A6B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67" name="AutoShape 990">
            <a:extLst>
              <a:ext uri="{FF2B5EF4-FFF2-40B4-BE49-F238E27FC236}">
                <a16:creationId xmlns:a16="http://schemas.microsoft.com/office/drawing/2014/main" id="{00000000-0008-0000-0200-00001B6B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06612" name="Group 991">
          <a:extLst>
            <a:ext uri="{FF2B5EF4-FFF2-40B4-BE49-F238E27FC236}">
              <a16:creationId xmlns:a16="http://schemas.microsoft.com/office/drawing/2014/main" id="{00000000-0008-0000-0200-000054691200}"/>
            </a:ext>
          </a:extLst>
        </xdr:cNvPr>
        <xdr:cNvGrpSpPr>
          <a:grpSpLocks/>
        </xdr:cNvGrpSpPr>
      </xdr:nvGrpSpPr>
      <xdr:grpSpPr bwMode="auto">
        <a:xfrm>
          <a:off x="7581900" y="1193800"/>
          <a:ext cx="0" cy="368300"/>
          <a:chOff x="624" y="37"/>
          <a:chExt cx="552" cy="248"/>
        </a:xfrm>
      </xdr:grpSpPr>
      <xdr:sp macro="" textlink="">
        <xdr:nvSpPr>
          <xdr:cNvPr id="1207040" name="Rectangle 992">
            <a:extLst>
              <a:ext uri="{FF2B5EF4-FFF2-40B4-BE49-F238E27FC236}">
                <a16:creationId xmlns:a16="http://schemas.microsoft.com/office/drawing/2014/main" id="{00000000-0008-0000-0200-0000006B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41" name="Rectangle 993">
            <a:extLst>
              <a:ext uri="{FF2B5EF4-FFF2-40B4-BE49-F238E27FC236}">
                <a16:creationId xmlns:a16="http://schemas.microsoft.com/office/drawing/2014/main" id="{00000000-0008-0000-0200-0000016B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42" name="Rectangle 994">
            <a:extLst>
              <a:ext uri="{FF2B5EF4-FFF2-40B4-BE49-F238E27FC236}">
                <a16:creationId xmlns:a16="http://schemas.microsoft.com/office/drawing/2014/main" id="{00000000-0008-0000-0200-000002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43" name="Rectangle 995">
            <a:extLst>
              <a:ext uri="{FF2B5EF4-FFF2-40B4-BE49-F238E27FC236}">
                <a16:creationId xmlns:a16="http://schemas.microsoft.com/office/drawing/2014/main" id="{00000000-0008-0000-0200-000003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44" name="Rectangle 996">
            <a:extLst>
              <a:ext uri="{FF2B5EF4-FFF2-40B4-BE49-F238E27FC236}">
                <a16:creationId xmlns:a16="http://schemas.microsoft.com/office/drawing/2014/main" id="{00000000-0008-0000-0200-000004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45" name="Rectangle 997">
            <a:extLst>
              <a:ext uri="{FF2B5EF4-FFF2-40B4-BE49-F238E27FC236}">
                <a16:creationId xmlns:a16="http://schemas.microsoft.com/office/drawing/2014/main" id="{00000000-0008-0000-0200-0000056B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46" name="Rectangle 998">
            <a:extLst>
              <a:ext uri="{FF2B5EF4-FFF2-40B4-BE49-F238E27FC236}">
                <a16:creationId xmlns:a16="http://schemas.microsoft.com/office/drawing/2014/main" id="{00000000-0008-0000-0200-000006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47" name="Rectangle 999">
            <a:extLst>
              <a:ext uri="{FF2B5EF4-FFF2-40B4-BE49-F238E27FC236}">
                <a16:creationId xmlns:a16="http://schemas.microsoft.com/office/drawing/2014/main" id="{00000000-0008-0000-0200-000007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48" name="Oval 1000">
            <a:extLst>
              <a:ext uri="{FF2B5EF4-FFF2-40B4-BE49-F238E27FC236}">
                <a16:creationId xmlns:a16="http://schemas.microsoft.com/office/drawing/2014/main" id="{00000000-0008-0000-0200-0000086B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49" name="Oval 1001">
            <a:extLst>
              <a:ext uri="{FF2B5EF4-FFF2-40B4-BE49-F238E27FC236}">
                <a16:creationId xmlns:a16="http://schemas.microsoft.com/office/drawing/2014/main" id="{00000000-0008-0000-0200-0000096B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50" name="Oval 1002">
            <a:extLst>
              <a:ext uri="{FF2B5EF4-FFF2-40B4-BE49-F238E27FC236}">
                <a16:creationId xmlns:a16="http://schemas.microsoft.com/office/drawing/2014/main" id="{00000000-0008-0000-0200-00000A6B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51" name="Oval 1003">
            <a:extLst>
              <a:ext uri="{FF2B5EF4-FFF2-40B4-BE49-F238E27FC236}">
                <a16:creationId xmlns:a16="http://schemas.microsoft.com/office/drawing/2014/main" id="{00000000-0008-0000-0200-00000B6B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52" name="AutoShape 1004">
            <a:extLst>
              <a:ext uri="{FF2B5EF4-FFF2-40B4-BE49-F238E27FC236}">
                <a16:creationId xmlns:a16="http://schemas.microsoft.com/office/drawing/2014/main" id="{00000000-0008-0000-0200-00000C6B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53" name="AutoShape 1005">
            <a:extLst>
              <a:ext uri="{FF2B5EF4-FFF2-40B4-BE49-F238E27FC236}">
                <a16:creationId xmlns:a16="http://schemas.microsoft.com/office/drawing/2014/main" id="{00000000-0008-0000-0200-00000D6B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06613" name="Group 1006">
          <a:extLst>
            <a:ext uri="{FF2B5EF4-FFF2-40B4-BE49-F238E27FC236}">
              <a16:creationId xmlns:a16="http://schemas.microsoft.com/office/drawing/2014/main" id="{00000000-0008-0000-0200-000055691200}"/>
            </a:ext>
          </a:extLst>
        </xdr:cNvPr>
        <xdr:cNvGrpSpPr>
          <a:grpSpLocks/>
        </xdr:cNvGrpSpPr>
      </xdr:nvGrpSpPr>
      <xdr:grpSpPr bwMode="auto">
        <a:xfrm>
          <a:off x="7581900" y="1193800"/>
          <a:ext cx="0" cy="368300"/>
          <a:chOff x="624" y="37"/>
          <a:chExt cx="552" cy="248"/>
        </a:xfrm>
      </xdr:grpSpPr>
      <xdr:sp macro="" textlink="">
        <xdr:nvSpPr>
          <xdr:cNvPr id="1207026" name="Rectangle 1007">
            <a:extLst>
              <a:ext uri="{FF2B5EF4-FFF2-40B4-BE49-F238E27FC236}">
                <a16:creationId xmlns:a16="http://schemas.microsoft.com/office/drawing/2014/main" id="{00000000-0008-0000-0200-0000F26A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27" name="Rectangle 1008">
            <a:extLst>
              <a:ext uri="{FF2B5EF4-FFF2-40B4-BE49-F238E27FC236}">
                <a16:creationId xmlns:a16="http://schemas.microsoft.com/office/drawing/2014/main" id="{00000000-0008-0000-0200-0000F36A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28" name="Rectangle 1009">
            <a:extLst>
              <a:ext uri="{FF2B5EF4-FFF2-40B4-BE49-F238E27FC236}">
                <a16:creationId xmlns:a16="http://schemas.microsoft.com/office/drawing/2014/main" id="{00000000-0008-0000-0200-0000F46A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29" name="Rectangle 1010">
            <a:extLst>
              <a:ext uri="{FF2B5EF4-FFF2-40B4-BE49-F238E27FC236}">
                <a16:creationId xmlns:a16="http://schemas.microsoft.com/office/drawing/2014/main" id="{00000000-0008-0000-0200-0000F56A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30" name="Rectangle 1011">
            <a:extLst>
              <a:ext uri="{FF2B5EF4-FFF2-40B4-BE49-F238E27FC236}">
                <a16:creationId xmlns:a16="http://schemas.microsoft.com/office/drawing/2014/main" id="{00000000-0008-0000-0200-0000F66A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31" name="Rectangle 1012">
            <a:extLst>
              <a:ext uri="{FF2B5EF4-FFF2-40B4-BE49-F238E27FC236}">
                <a16:creationId xmlns:a16="http://schemas.microsoft.com/office/drawing/2014/main" id="{00000000-0008-0000-0200-0000F76A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32" name="Rectangle 1013">
            <a:extLst>
              <a:ext uri="{FF2B5EF4-FFF2-40B4-BE49-F238E27FC236}">
                <a16:creationId xmlns:a16="http://schemas.microsoft.com/office/drawing/2014/main" id="{00000000-0008-0000-0200-0000F86A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33" name="Rectangle 1014">
            <a:extLst>
              <a:ext uri="{FF2B5EF4-FFF2-40B4-BE49-F238E27FC236}">
                <a16:creationId xmlns:a16="http://schemas.microsoft.com/office/drawing/2014/main" id="{00000000-0008-0000-0200-0000F96A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34" name="Oval 1015">
            <a:extLst>
              <a:ext uri="{FF2B5EF4-FFF2-40B4-BE49-F238E27FC236}">
                <a16:creationId xmlns:a16="http://schemas.microsoft.com/office/drawing/2014/main" id="{00000000-0008-0000-0200-0000FA6A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35" name="Oval 1016">
            <a:extLst>
              <a:ext uri="{FF2B5EF4-FFF2-40B4-BE49-F238E27FC236}">
                <a16:creationId xmlns:a16="http://schemas.microsoft.com/office/drawing/2014/main" id="{00000000-0008-0000-0200-0000FB6A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36" name="Oval 1017">
            <a:extLst>
              <a:ext uri="{FF2B5EF4-FFF2-40B4-BE49-F238E27FC236}">
                <a16:creationId xmlns:a16="http://schemas.microsoft.com/office/drawing/2014/main" id="{00000000-0008-0000-0200-0000FC6A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37" name="Oval 1018">
            <a:extLst>
              <a:ext uri="{FF2B5EF4-FFF2-40B4-BE49-F238E27FC236}">
                <a16:creationId xmlns:a16="http://schemas.microsoft.com/office/drawing/2014/main" id="{00000000-0008-0000-0200-0000FD6A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38" name="AutoShape 1019">
            <a:extLst>
              <a:ext uri="{FF2B5EF4-FFF2-40B4-BE49-F238E27FC236}">
                <a16:creationId xmlns:a16="http://schemas.microsoft.com/office/drawing/2014/main" id="{00000000-0008-0000-0200-0000FE6A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39" name="AutoShape 1020">
            <a:extLst>
              <a:ext uri="{FF2B5EF4-FFF2-40B4-BE49-F238E27FC236}">
                <a16:creationId xmlns:a16="http://schemas.microsoft.com/office/drawing/2014/main" id="{00000000-0008-0000-0200-0000FF6A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06614" name="Group 1021">
          <a:extLst>
            <a:ext uri="{FF2B5EF4-FFF2-40B4-BE49-F238E27FC236}">
              <a16:creationId xmlns:a16="http://schemas.microsoft.com/office/drawing/2014/main" id="{00000000-0008-0000-0200-000056691200}"/>
            </a:ext>
          </a:extLst>
        </xdr:cNvPr>
        <xdr:cNvGrpSpPr>
          <a:grpSpLocks/>
        </xdr:cNvGrpSpPr>
      </xdr:nvGrpSpPr>
      <xdr:grpSpPr bwMode="auto">
        <a:xfrm>
          <a:off x="7581900" y="1193800"/>
          <a:ext cx="0" cy="368300"/>
          <a:chOff x="624" y="37"/>
          <a:chExt cx="552" cy="248"/>
        </a:xfrm>
      </xdr:grpSpPr>
      <xdr:sp macro="" textlink="">
        <xdr:nvSpPr>
          <xdr:cNvPr id="1207012" name="Rectangle 1022">
            <a:extLst>
              <a:ext uri="{FF2B5EF4-FFF2-40B4-BE49-F238E27FC236}">
                <a16:creationId xmlns:a16="http://schemas.microsoft.com/office/drawing/2014/main" id="{00000000-0008-0000-0200-0000E46A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13" name="Rectangle 1023">
            <a:extLst>
              <a:ext uri="{FF2B5EF4-FFF2-40B4-BE49-F238E27FC236}">
                <a16:creationId xmlns:a16="http://schemas.microsoft.com/office/drawing/2014/main" id="{00000000-0008-0000-0200-0000E56A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14" name="Rectangle 1024">
            <a:extLst>
              <a:ext uri="{FF2B5EF4-FFF2-40B4-BE49-F238E27FC236}">
                <a16:creationId xmlns:a16="http://schemas.microsoft.com/office/drawing/2014/main" id="{00000000-0008-0000-0200-0000E66A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15" name="Rectangle 1025">
            <a:extLst>
              <a:ext uri="{FF2B5EF4-FFF2-40B4-BE49-F238E27FC236}">
                <a16:creationId xmlns:a16="http://schemas.microsoft.com/office/drawing/2014/main" id="{00000000-0008-0000-0200-0000E76A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16" name="Rectangle 1026">
            <a:extLst>
              <a:ext uri="{FF2B5EF4-FFF2-40B4-BE49-F238E27FC236}">
                <a16:creationId xmlns:a16="http://schemas.microsoft.com/office/drawing/2014/main" id="{00000000-0008-0000-0200-0000E86A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17" name="Rectangle 1027">
            <a:extLst>
              <a:ext uri="{FF2B5EF4-FFF2-40B4-BE49-F238E27FC236}">
                <a16:creationId xmlns:a16="http://schemas.microsoft.com/office/drawing/2014/main" id="{00000000-0008-0000-0200-0000E96A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18" name="Rectangle 1028">
            <a:extLst>
              <a:ext uri="{FF2B5EF4-FFF2-40B4-BE49-F238E27FC236}">
                <a16:creationId xmlns:a16="http://schemas.microsoft.com/office/drawing/2014/main" id="{00000000-0008-0000-0200-0000EA6A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19" name="Rectangle 1029">
            <a:extLst>
              <a:ext uri="{FF2B5EF4-FFF2-40B4-BE49-F238E27FC236}">
                <a16:creationId xmlns:a16="http://schemas.microsoft.com/office/drawing/2014/main" id="{00000000-0008-0000-0200-0000EB6A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20" name="Oval 1030">
            <a:extLst>
              <a:ext uri="{FF2B5EF4-FFF2-40B4-BE49-F238E27FC236}">
                <a16:creationId xmlns:a16="http://schemas.microsoft.com/office/drawing/2014/main" id="{00000000-0008-0000-0200-0000EC6A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21" name="Oval 1031">
            <a:extLst>
              <a:ext uri="{FF2B5EF4-FFF2-40B4-BE49-F238E27FC236}">
                <a16:creationId xmlns:a16="http://schemas.microsoft.com/office/drawing/2014/main" id="{00000000-0008-0000-0200-0000ED6A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22" name="Oval 1032">
            <a:extLst>
              <a:ext uri="{FF2B5EF4-FFF2-40B4-BE49-F238E27FC236}">
                <a16:creationId xmlns:a16="http://schemas.microsoft.com/office/drawing/2014/main" id="{00000000-0008-0000-0200-0000EE6A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23" name="Oval 1033">
            <a:extLst>
              <a:ext uri="{FF2B5EF4-FFF2-40B4-BE49-F238E27FC236}">
                <a16:creationId xmlns:a16="http://schemas.microsoft.com/office/drawing/2014/main" id="{00000000-0008-0000-0200-0000EF6A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24" name="AutoShape 1034">
            <a:extLst>
              <a:ext uri="{FF2B5EF4-FFF2-40B4-BE49-F238E27FC236}">
                <a16:creationId xmlns:a16="http://schemas.microsoft.com/office/drawing/2014/main" id="{00000000-0008-0000-0200-0000F06A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25" name="AutoShape 1035">
            <a:extLst>
              <a:ext uri="{FF2B5EF4-FFF2-40B4-BE49-F238E27FC236}">
                <a16:creationId xmlns:a16="http://schemas.microsoft.com/office/drawing/2014/main" id="{00000000-0008-0000-0200-0000F16A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06615" name="Group 1036">
          <a:extLst>
            <a:ext uri="{FF2B5EF4-FFF2-40B4-BE49-F238E27FC236}">
              <a16:creationId xmlns:a16="http://schemas.microsoft.com/office/drawing/2014/main" id="{00000000-0008-0000-0200-000057691200}"/>
            </a:ext>
          </a:extLst>
        </xdr:cNvPr>
        <xdr:cNvGrpSpPr>
          <a:grpSpLocks/>
        </xdr:cNvGrpSpPr>
      </xdr:nvGrpSpPr>
      <xdr:grpSpPr bwMode="auto">
        <a:xfrm>
          <a:off x="7581900" y="1193800"/>
          <a:ext cx="0" cy="368300"/>
          <a:chOff x="624" y="37"/>
          <a:chExt cx="552" cy="248"/>
        </a:xfrm>
      </xdr:grpSpPr>
      <xdr:sp macro="" textlink="">
        <xdr:nvSpPr>
          <xdr:cNvPr id="1206998" name="Rectangle 1037">
            <a:extLst>
              <a:ext uri="{FF2B5EF4-FFF2-40B4-BE49-F238E27FC236}">
                <a16:creationId xmlns:a16="http://schemas.microsoft.com/office/drawing/2014/main" id="{00000000-0008-0000-0200-0000D66A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99" name="Rectangle 1038">
            <a:extLst>
              <a:ext uri="{FF2B5EF4-FFF2-40B4-BE49-F238E27FC236}">
                <a16:creationId xmlns:a16="http://schemas.microsoft.com/office/drawing/2014/main" id="{00000000-0008-0000-0200-0000D76A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00" name="Rectangle 1039">
            <a:extLst>
              <a:ext uri="{FF2B5EF4-FFF2-40B4-BE49-F238E27FC236}">
                <a16:creationId xmlns:a16="http://schemas.microsoft.com/office/drawing/2014/main" id="{00000000-0008-0000-0200-0000D86A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01" name="Rectangle 1040">
            <a:extLst>
              <a:ext uri="{FF2B5EF4-FFF2-40B4-BE49-F238E27FC236}">
                <a16:creationId xmlns:a16="http://schemas.microsoft.com/office/drawing/2014/main" id="{00000000-0008-0000-0200-0000D96A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02" name="Rectangle 1041">
            <a:extLst>
              <a:ext uri="{FF2B5EF4-FFF2-40B4-BE49-F238E27FC236}">
                <a16:creationId xmlns:a16="http://schemas.microsoft.com/office/drawing/2014/main" id="{00000000-0008-0000-0200-0000DA6A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03" name="Rectangle 1042">
            <a:extLst>
              <a:ext uri="{FF2B5EF4-FFF2-40B4-BE49-F238E27FC236}">
                <a16:creationId xmlns:a16="http://schemas.microsoft.com/office/drawing/2014/main" id="{00000000-0008-0000-0200-0000DB6A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04" name="Rectangle 1043">
            <a:extLst>
              <a:ext uri="{FF2B5EF4-FFF2-40B4-BE49-F238E27FC236}">
                <a16:creationId xmlns:a16="http://schemas.microsoft.com/office/drawing/2014/main" id="{00000000-0008-0000-0200-0000DC6A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05" name="Rectangle 1044">
            <a:extLst>
              <a:ext uri="{FF2B5EF4-FFF2-40B4-BE49-F238E27FC236}">
                <a16:creationId xmlns:a16="http://schemas.microsoft.com/office/drawing/2014/main" id="{00000000-0008-0000-0200-0000DD6A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06" name="Oval 1045">
            <a:extLst>
              <a:ext uri="{FF2B5EF4-FFF2-40B4-BE49-F238E27FC236}">
                <a16:creationId xmlns:a16="http://schemas.microsoft.com/office/drawing/2014/main" id="{00000000-0008-0000-0200-0000DE6A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07" name="Oval 1046">
            <a:extLst>
              <a:ext uri="{FF2B5EF4-FFF2-40B4-BE49-F238E27FC236}">
                <a16:creationId xmlns:a16="http://schemas.microsoft.com/office/drawing/2014/main" id="{00000000-0008-0000-0200-0000DF6A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08" name="Oval 1047">
            <a:extLst>
              <a:ext uri="{FF2B5EF4-FFF2-40B4-BE49-F238E27FC236}">
                <a16:creationId xmlns:a16="http://schemas.microsoft.com/office/drawing/2014/main" id="{00000000-0008-0000-0200-0000E06A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09" name="Oval 1048">
            <a:extLst>
              <a:ext uri="{FF2B5EF4-FFF2-40B4-BE49-F238E27FC236}">
                <a16:creationId xmlns:a16="http://schemas.microsoft.com/office/drawing/2014/main" id="{00000000-0008-0000-0200-0000E16A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10" name="AutoShape 1049">
            <a:extLst>
              <a:ext uri="{FF2B5EF4-FFF2-40B4-BE49-F238E27FC236}">
                <a16:creationId xmlns:a16="http://schemas.microsoft.com/office/drawing/2014/main" id="{00000000-0008-0000-0200-0000E26A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11" name="AutoShape 1050">
            <a:extLst>
              <a:ext uri="{FF2B5EF4-FFF2-40B4-BE49-F238E27FC236}">
                <a16:creationId xmlns:a16="http://schemas.microsoft.com/office/drawing/2014/main" id="{00000000-0008-0000-0200-0000E36A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06616" name="Group 1051">
          <a:extLst>
            <a:ext uri="{FF2B5EF4-FFF2-40B4-BE49-F238E27FC236}">
              <a16:creationId xmlns:a16="http://schemas.microsoft.com/office/drawing/2014/main" id="{00000000-0008-0000-0200-000058691200}"/>
            </a:ext>
          </a:extLst>
        </xdr:cNvPr>
        <xdr:cNvGrpSpPr>
          <a:grpSpLocks/>
        </xdr:cNvGrpSpPr>
      </xdr:nvGrpSpPr>
      <xdr:grpSpPr bwMode="auto">
        <a:xfrm>
          <a:off x="7581900" y="1181100"/>
          <a:ext cx="0" cy="381000"/>
          <a:chOff x="675" y="362"/>
          <a:chExt cx="278" cy="249"/>
        </a:xfrm>
      </xdr:grpSpPr>
      <xdr:sp macro="" textlink="">
        <xdr:nvSpPr>
          <xdr:cNvPr id="1206990" name="Rectangle 1052">
            <a:extLst>
              <a:ext uri="{FF2B5EF4-FFF2-40B4-BE49-F238E27FC236}">
                <a16:creationId xmlns:a16="http://schemas.microsoft.com/office/drawing/2014/main" id="{00000000-0008-0000-0200-0000CE6A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91" name="Rectangle 1053">
            <a:extLst>
              <a:ext uri="{FF2B5EF4-FFF2-40B4-BE49-F238E27FC236}">
                <a16:creationId xmlns:a16="http://schemas.microsoft.com/office/drawing/2014/main" id="{00000000-0008-0000-0200-0000CF6A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92" name="Rectangle 1054">
            <a:extLst>
              <a:ext uri="{FF2B5EF4-FFF2-40B4-BE49-F238E27FC236}">
                <a16:creationId xmlns:a16="http://schemas.microsoft.com/office/drawing/2014/main" id="{00000000-0008-0000-0200-0000D06A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93" name="Rectangle 1055">
            <a:extLst>
              <a:ext uri="{FF2B5EF4-FFF2-40B4-BE49-F238E27FC236}">
                <a16:creationId xmlns:a16="http://schemas.microsoft.com/office/drawing/2014/main" id="{00000000-0008-0000-0200-0000D16A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94" name="Rectangle 1056">
            <a:extLst>
              <a:ext uri="{FF2B5EF4-FFF2-40B4-BE49-F238E27FC236}">
                <a16:creationId xmlns:a16="http://schemas.microsoft.com/office/drawing/2014/main" id="{00000000-0008-0000-0200-0000D26A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95" name="Oval 1057">
            <a:extLst>
              <a:ext uri="{FF2B5EF4-FFF2-40B4-BE49-F238E27FC236}">
                <a16:creationId xmlns:a16="http://schemas.microsoft.com/office/drawing/2014/main" id="{00000000-0008-0000-0200-0000D36A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96" name="Oval 1058">
            <a:extLst>
              <a:ext uri="{FF2B5EF4-FFF2-40B4-BE49-F238E27FC236}">
                <a16:creationId xmlns:a16="http://schemas.microsoft.com/office/drawing/2014/main" id="{00000000-0008-0000-0200-0000D46A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97" name="AutoShape 1059">
            <a:extLst>
              <a:ext uri="{FF2B5EF4-FFF2-40B4-BE49-F238E27FC236}">
                <a16:creationId xmlns:a16="http://schemas.microsoft.com/office/drawing/2014/main" id="{00000000-0008-0000-0200-0000D56A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06617" name="Group 1060">
          <a:extLst>
            <a:ext uri="{FF2B5EF4-FFF2-40B4-BE49-F238E27FC236}">
              <a16:creationId xmlns:a16="http://schemas.microsoft.com/office/drawing/2014/main" id="{00000000-0008-0000-0200-000059691200}"/>
            </a:ext>
          </a:extLst>
        </xdr:cNvPr>
        <xdr:cNvGrpSpPr>
          <a:grpSpLocks/>
        </xdr:cNvGrpSpPr>
      </xdr:nvGrpSpPr>
      <xdr:grpSpPr bwMode="auto">
        <a:xfrm>
          <a:off x="7581900" y="1181100"/>
          <a:ext cx="0" cy="381000"/>
          <a:chOff x="675" y="362"/>
          <a:chExt cx="278" cy="249"/>
        </a:xfrm>
      </xdr:grpSpPr>
      <xdr:sp macro="" textlink="">
        <xdr:nvSpPr>
          <xdr:cNvPr id="1206982" name="Rectangle 1061">
            <a:extLst>
              <a:ext uri="{FF2B5EF4-FFF2-40B4-BE49-F238E27FC236}">
                <a16:creationId xmlns:a16="http://schemas.microsoft.com/office/drawing/2014/main" id="{00000000-0008-0000-0200-0000C66A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83" name="Rectangle 1062">
            <a:extLst>
              <a:ext uri="{FF2B5EF4-FFF2-40B4-BE49-F238E27FC236}">
                <a16:creationId xmlns:a16="http://schemas.microsoft.com/office/drawing/2014/main" id="{00000000-0008-0000-0200-0000C76A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84" name="Rectangle 1063">
            <a:extLst>
              <a:ext uri="{FF2B5EF4-FFF2-40B4-BE49-F238E27FC236}">
                <a16:creationId xmlns:a16="http://schemas.microsoft.com/office/drawing/2014/main" id="{00000000-0008-0000-0200-0000C86A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85" name="Rectangle 1064">
            <a:extLst>
              <a:ext uri="{FF2B5EF4-FFF2-40B4-BE49-F238E27FC236}">
                <a16:creationId xmlns:a16="http://schemas.microsoft.com/office/drawing/2014/main" id="{00000000-0008-0000-0200-0000C96A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86" name="Rectangle 1065">
            <a:extLst>
              <a:ext uri="{FF2B5EF4-FFF2-40B4-BE49-F238E27FC236}">
                <a16:creationId xmlns:a16="http://schemas.microsoft.com/office/drawing/2014/main" id="{00000000-0008-0000-0200-0000CA6A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87" name="Oval 1066">
            <a:extLst>
              <a:ext uri="{FF2B5EF4-FFF2-40B4-BE49-F238E27FC236}">
                <a16:creationId xmlns:a16="http://schemas.microsoft.com/office/drawing/2014/main" id="{00000000-0008-0000-0200-0000CB6A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88" name="Oval 1067">
            <a:extLst>
              <a:ext uri="{FF2B5EF4-FFF2-40B4-BE49-F238E27FC236}">
                <a16:creationId xmlns:a16="http://schemas.microsoft.com/office/drawing/2014/main" id="{00000000-0008-0000-0200-0000CC6A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89" name="AutoShape 1068">
            <a:extLst>
              <a:ext uri="{FF2B5EF4-FFF2-40B4-BE49-F238E27FC236}">
                <a16:creationId xmlns:a16="http://schemas.microsoft.com/office/drawing/2014/main" id="{00000000-0008-0000-0200-0000CD6A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06618" name="Group 1069">
          <a:extLst>
            <a:ext uri="{FF2B5EF4-FFF2-40B4-BE49-F238E27FC236}">
              <a16:creationId xmlns:a16="http://schemas.microsoft.com/office/drawing/2014/main" id="{00000000-0008-0000-0200-00005A691200}"/>
            </a:ext>
          </a:extLst>
        </xdr:cNvPr>
        <xdr:cNvGrpSpPr>
          <a:grpSpLocks/>
        </xdr:cNvGrpSpPr>
      </xdr:nvGrpSpPr>
      <xdr:grpSpPr bwMode="auto">
        <a:xfrm>
          <a:off x="7581900" y="1181100"/>
          <a:ext cx="0" cy="381000"/>
          <a:chOff x="675" y="362"/>
          <a:chExt cx="278" cy="249"/>
        </a:xfrm>
      </xdr:grpSpPr>
      <xdr:sp macro="" textlink="">
        <xdr:nvSpPr>
          <xdr:cNvPr id="1206974" name="Rectangle 1070">
            <a:extLst>
              <a:ext uri="{FF2B5EF4-FFF2-40B4-BE49-F238E27FC236}">
                <a16:creationId xmlns:a16="http://schemas.microsoft.com/office/drawing/2014/main" id="{00000000-0008-0000-0200-0000BE6A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75" name="Rectangle 1071">
            <a:extLst>
              <a:ext uri="{FF2B5EF4-FFF2-40B4-BE49-F238E27FC236}">
                <a16:creationId xmlns:a16="http://schemas.microsoft.com/office/drawing/2014/main" id="{00000000-0008-0000-0200-0000BF6A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76" name="Rectangle 1072">
            <a:extLst>
              <a:ext uri="{FF2B5EF4-FFF2-40B4-BE49-F238E27FC236}">
                <a16:creationId xmlns:a16="http://schemas.microsoft.com/office/drawing/2014/main" id="{00000000-0008-0000-0200-0000C06A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77" name="Rectangle 1073">
            <a:extLst>
              <a:ext uri="{FF2B5EF4-FFF2-40B4-BE49-F238E27FC236}">
                <a16:creationId xmlns:a16="http://schemas.microsoft.com/office/drawing/2014/main" id="{00000000-0008-0000-0200-0000C16A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78" name="Rectangle 1074">
            <a:extLst>
              <a:ext uri="{FF2B5EF4-FFF2-40B4-BE49-F238E27FC236}">
                <a16:creationId xmlns:a16="http://schemas.microsoft.com/office/drawing/2014/main" id="{00000000-0008-0000-0200-0000C26A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79" name="Oval 1075">
            <a:extLst>
              <a:ext uri="{FF2B5EF4-FFF2-40B4-BE49-F238E27FC236}">
                <a16:creationId xmlns:a16="http://schemas.microsoft.com/office/drawing/2014/main" id="{00000000-0008-0000-0200-0000C36A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80" name="Oval 1076">
            <a:extLst>
              <a:ext uri="{FF2B5EF4-FFF2-40B4-BE49-F238E27FC236}">
                <a16:creationId xmlns:a16="http://schemas.microsoft.com/office/drawing/2014/main" id="{00000000-0008-0000-0200-0000C46A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81" name="AutoShape 1077">
            <a:extLst>
              <a:ext uri="{FF2B5EF4-FFF2-40B4-BE49-F238E27FC236}">
                <a16:creationId xmlns:a16="http://schemas.microsoft.com/office/drawing/2014/main" id="{00000000-0008-0000-0200-0000C56A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406400</xdr:rowOff>
    </xdr:to>
    <xdr:grpSp>
      <xdr:nvGrpSpPr>
        <xdr:cNvPr id="1206619" name="Group 1127">
          <a:extLst>
            <a:ext uri="{FF2B5EF4-FFF2-40B4-BE49-F238E27FC236}">
              <a16:creationId xmlns:a16="http://schemas.microsoft.com/office/drawing/2014/main" id="{00000000-0008-0000-0200-00005B691200}"/>
            </a:ext>
          </a:extLst>
        </xdr:cNvPr>
        <xdr:cNvGrpSpPr>
          <a:grpSpLocks/>
        </xdr:cNvGrpSpPr>
      </xdr:nvGrpSpPr>
      <xdr:grpSpPr bwMode="auto">
        <a:xfrm>
          <a:off x="7581900" y="1181100"/>
          <a:ext cx="0" cy="355600"/>
          <a:chOff x="727" y="291"/>
          <a:chExt cx="534" cy="327"/>
        </a:xfrm>
      </xdr:grpSpPr>
      <xdr:sp macro="" textlink="">
        <xdr:nvSpPr>
          <xdr:cNvPr id="1206966" name="Rectangle 1128">
            <a:extLst>
              <a:ext uri="{FF2B5EF4-FFF2-40B4-BE49-F238E27FC236}">
                <a16:creationId xmlns:a16="http://schemas.microsoft.com/office/drawing/2014/main" id="{00000000-0008-0000-0200-0000B66A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67" name="Rectangle 1129">
            <a:extLst>
              <a:ext uri="{FF2B5EF4-FFF2-40B4-BE49-F238E27FC236}">
                <a16:creationId xmlns:a16="http://schemas.microsoft.com/office/drawing/2014/main" id="{00000000-0008-0000-0200-0000B76A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94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68" name="Rectangle 1130">
            <a:extLst>
              <a:ext uri="{FF2B5EF4-FFF2-40B4-BE49-F238E27FC236}">
                <a16:creationId xmlns:a16="http://schemas.microsoft.com/office/drawing/2014/main" id="{00000000-0008-0000-0200-0000B86A1200}"/>
              </a:ext>
            </a:extLst>
          </xdr:cNvPr>
          <xdr:cNvSpPr>
            <a:spLocks noChangeArrowheads="1"/>
          </xdr:cNvSpPr>
        </xdr:nvSpPr>
        <xdr:spPr bwMode="auto">
          <a:xfrm>
            <a:off x="727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69" name="Rectangle 1131">
            <a:extLst>
              <a:ext uri="{FF2B5EF4-FFF2-40B4-BE49-F238E27FC236}">
                <a16:creationId xmlns:a16="http://schemas.microsoft.com/office/drawing/2014/main" id="{00000000-0008-0000-0200-0000B96A1200}"/>
              </a:ext>
            </a:extLst>
          </xdr:cNvPr>
          <xdr:cNvSpPr>
            <a:spLocks noChangeArrowheads="1"/>
          </xdr:cNvSpPr>
        </xdr:nvSpPr>
        <xdr:spPr bwMode="auto">
          <a:xfrm>
            <a:off x="1128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70" name="Rectangle 1132">
            <a:extLst>
              <a:ext uri="{FF2B5EF4-FFF2-40B4-BE49-F238E27FC236}">
                <a16:creationId xmlns:a16="http://schemas.microsoft.com/office/drawing/2014/main" id="{00000000-0008-0000-0200-0000BA6A1200}"/>
              </a:ext>
            </a:extLst>
          </xdr:cNvPr>
          <xdr:cNvSpPr>
            <a:spLocks noChangeArrowheads="1"/>
          </xdr:cNvSpPr>
        </xdr:nvSpPr>
        <xdr:spPr bwMode="auto">
          <a:xfrm>
            <a:off x="727" y="613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71" name="Rectangle 1133">
            <a:extLst>
              <a:ext uri="{FF2B5EF4-FFF2-40B4-BE49-F238E27FC236}">
                <a16:creationId xmlns:a16="http://schemas.microsoft.com/office/drawing/2014/main" id="{00000000-0008-0000-0200-0000BB6A1200}"/>
              </a:ext>
            </a:extLst>
          </xdr:cNvPr>
          <xdr:cNvSpPr>
            <a:spLocks noChangeArrowheads="1"/>
          </xdr:cNvSpPr>
        </xdr:nvSpPr>
        <xdr:spPr bwMode="auto">
          <a:xfrm>
            <a:off x="729" y="291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72" name="Rectangle 1134">
            <a:extLst>
              <a:ext uri="{FF2B5EF4-FFF2-40B4-BE49-F238E27FC236}">
                <a16:creationId xmlns:a16="http://schemas.microsoft.com/office/drawing/2014/main" id="{00000000-0008-0000-0200-0000BC6A12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569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73" name="Rectangle 1135">
            <a:extLst>
              <a:ext uri="{FF2B5EF4-FFF2-40B4-BE49-F238E27FC236}">
                <a16:creationId xmlns:a16="http://schemas.microsoft.com/office/drawing/2014/main" id="{00000000-0008-0000-0200-0000BD6A12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1096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406400</xdr:rowOff>
    </xdr:to>
    <xdr:grpSp>
      <xdr:nvGrpSpPr>
        <xdr:cNvPr id="1206620" name="Group 1154">
          <a:extLst>
            <a:ext uri="{FF2B5EF4-FFF2-40B4-BE49-F238E27FC236}">
              <a16:creationId xmlns:a16="http://schemas.microsoft.com/office/drawing/2014/main" id="{00000000-0008-0000-0200-00005C691200}"/>
            </a:ext>
          </a:extLst>
        </xdr:cNvPr>
        <xdr:cNvGrpSpPr>
          <a:grpSpLocks/>
        </xdr:cNvGrpSpPr>
      </xdr:nvGrpSpPr>
      <xdr:grpSpPr bwMode="auto">
        <a:xfrm>
          <a:off x="7581900" y="1181100"/>
          <a:ext cx="0" cy="355600"/>
          <a:chOff x="727" y="291"/>
          <a:chExt cx="534" cy="327"/>
        </a:xfrm>
      </xdr:grpSpPr>
      <xdr:sp macro="" textlink="">
        <xdr:nvSpPr>
          <xdr:cNvPr id="1206958" name="Rectangle 1155">
            <a:extLst>
              <a:ext uri="{FF2B5EF4-FFF2-40B4-BE49-F238E27FC236}">
                <a16:creationId xmlns:a16="http://schemas.microsoft.com/office/drawing/2014/main" id="{00000000-0008-0000-0200-0000AE6A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59" name="Rectangle 1156">
            <a:extLst>
              <a:ext uri="{FF2B5EF4-FFF2-40B4-BE49-F238E27FC236}">
                <a16:creationId xmlns:a16="http://schemas.microsoft.com/office/drawing/2014/main" id="{00000000-0008-0000-0200-0000AF6A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94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60" name="Rectangle 1157">
            <a:extLst>
              <a:ext uri="{FF2B5EF4-FFF2-40B4-BE49-F238E27FC236}">
                <a16:creationId xmlns:a16="http://schemas.microsoft.com/office/drawing/2014/main" id="{00000000-0008-0000-0200-0000B06A1200}"/>
              </a:ext>
            </a:extLst>
          </xdr:cNvPr>
          <xdr:cNvSpPr>
            <a:spLocks noChangeArrowheads="1"/>
          </xdr:cNvSpPr>
        </xdr:nvSpPr>
        <xdr:spPr bwMode="auto">
          <a:xfrm>
            <a:off x="727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61" name="Rectangle 1158">
            <a:extLst>
              <a:ext uri="{FF2B5EF4-FFF2-40B4-BE49-F238E27FC236}">
                <a16:creationId xmlns:a16="http://schemas.microsoft.com/office/drawing/2014/main" id="{00000000-0008-0000-0200-0000B16A1200}"/>
              </a:ext>
            </a:extLst>
          </xdr:cNvPr>
          <xdr:cNvSpPr>
            <a:spLocks noChangeArrowheads="1"/>
          </xdr:cNvSpPr>
        </xdr:nvSpPr>
        <xdr:spPr bwMode="auto">
          <a:xfrm>
            <a:off x="1128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62" name="Rectangle 1159">
            <a:extLst>
              <a:ext uri="{FF2B5EF4-FFF2-40B4-BE49-F238E27FC236}">
                <a16:creationId xmlns:a16="http://schemas.microsoft.com/office/drawing/2014/main" id="{00000000-0008-0000-0200-0000B26A1200}"/>
              </a:ext>
            </a:extLst>
          </xdr:cNvPr>
          <xdr:cNvSpPr>
            <a:spLocks noChangeArrowheads="1"/>
          </xdr:cNvSpPr>
        </xdr:nvSpPr>
        <xdr:spPr bwMode="auto">
          <a:xfrm>
            <a:off x="727" y="613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63" name="Rectangle 1160">
            <a:extLst>
              <a:ext uri="{FF2B5EF4-FFF2-40B4-BE49-F238E27FC236}">
                <a16:creationId xmlns:a16="http://schemas.microsoft.com/office/drawing/2014/main" id="{00000000-0008-0000-0200-0000B36A1200}"/>
              </a:ext>
            </a:extLst>
          </xdr:cNvPr>
          <xdr:cNvSpPr>
            <a:spLocks noChangeArrowheads="1"/>
          </xdr:cNvSpPr>
        </xdr:nvSpPr>
        <xdr:spPr bwMode="auto">
          <a:xfrm>
            <a:off x="729" y="291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64" name="Rectangle 1161">
            <a:extLst>
              <a:ext uri="{FF2B5EF4-FFF2-40B4-BE49-F238E27FC236}">
                <a16:creationId xmlns:a16="http://schemas.microsoft.com/office/drawing/2014/main" id="{00000000-0008-0000-0200-0000B46A12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569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65" name="Rectangle 1162">
            <a:extLst>
              <a:ext uri="{FF2B5EF4-FFF2-40B4-BE49-F238E27FC236}">
                <a16:creationId xmlns:a16="http://schemas.microsoft.com/office/drawing/2014/main" id="{00000000-0008-0000-0200-0000B56A12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1096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 editAs="oneCell">
    <xdr:from>
      <xdr:col>0</xdr:col>
      <xdr:colOff>88900</xdr:colOff>
      <xdr:row>0</xdr:row>
      <xdr:rowOff>76200</xdr:rowOff>
    </xdr:from>
    <xdr:to>
      <xdr:col>0</xdr:col>
      <xdr:colOff>3200400</xdr:colOff>
      <xdr:row>0</xdr:row>
      <xdr:rowOff>850900</xdr:rowOff>
    </xdr:to>
    <xdr:pic>
      <xdr:nvPicPr>
        <xdr:cNvPr id="1206621" name="1034 Imagen" descr="logo masercon ultimo.jpg">
          <a:extLst>
            <a:ext uri="{FF2B5EF4-FFF2-40B4-BE49-F238E27FC236}">
              <a16:creationId xmlns:a16="http://schemas.microsoft.com/office/drawing/2014/main" id="{00000000-0008-0000-0200-00005D691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76200"/>
          <a:ext cx="349250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152400</xdr:colOff>
      <xdr:row>2</xdr:row>
      <xdr:rowOff>114300</xdr:rowOff>
    </xdr:from>
    <xdr:to>
      <xdr:col>6</xdr:col>
      <xdr:colOff>596900</xdr:colOff>
      <xdr:row>5</xdr:row>
      <xdr:rowOff>12700</xdr:rowOff>
    </xdr:to>
    <xdr:grpSp>
      <xdr:nvGrpSpPr>
        <xdr:cNvPr id="1206622" name="1103 Grupo">
          <a:extLst>
            <a:ext uri="{FF2B5EF4-FFF2-40B4-BE49-F238E27FC236}">
              <a16:creationId xmlns:a16="http://schemas.microsoft.com/office/drawing/2014/main" id="{00000000-0008-0000-0200-00005E691200}"/>
            </a:ext>
          </a:extLst>
        </xdr:cNvPr>
        <xdr:cNvGrpSpPr>
          <a:grpSpLocks/>
        </xdr:cNvGrpSpPr>
      </xdr:nvGrpSpPr>
      <xdr:grpSpPr bwMode="auto">
        <a:xfrm>
          <a:off x="5943600" y="1244600"/>
          <a:ext cx="1384300" cy="1130300"/>
          <a:chOff x="12578073" y="988919"/>
          <a:chExt cx="9678677" cy="8510681"/>
        </a:xfrm>
      </xdr:grpSpPr>
      <xdr:grpSp>
        <xdr:nvGrpSpPr>
          <xdr:cNvPr id="1206875" name="629 Grupo">
            <a:extLst>
              <a:ext uri="{FF2B5EF4-FFF2-40B4-BE49-F238E27FC236}">
                <a16:creationId xmlns:a16="http://schemas.microsoft.com/office/drawing/2014/main" id="{00000000-0008-0000-0200-00005B6A1200}"/>
              </a:ext>
            </a:extLst>
          </xdr:cNvPr>
          <xdr:cNvGrpSpPr>
            <a:grpSpLocks/>
          </xdr:cNvGrpSpPr>
        </xdr:nvGrpSpPr>
        <xdr:grpSpPr bwMode="auto">
          <a:xfrm>
            <a:off x="12578073" y="988919"/>
            <a:ext cx="9678677" cy="8510681"/>
            <a:chOff x="12578073" y="988919"/>
            <a:chExt cx="9678677" cy="8510681"/>
          </a:xfrm>
        </xdr:grpSpPr>
        <xdr:grpSp>
          <xdr:nvGrpSpPr>
            <xdr:cNvPr id="1206941" name="410 Grupo">
              <a:extLst>
                <a:ext uri="{FF2B5EF4-FFF2-40B4-BE49-F238E27FC236}">
                  <a16:creationId xmlns:a16="http://schemas.microsoft.com/office/drawing/2014/main" id="{00000000-0008-0000-0200-00009D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2578073" y="988919"/>
              <a:ext cx="9678677" cy="8510681"/>
              <a:chOff x="6659658" y="3011580"/>
              <a:chExt cx="3859213" cy="3443007"/>
            </a:xfrm>
          </xdr:grpSpPr>
          <xdr:grpSp>
            <xdr:nvGrpSpPr>
              <xdr:cNvPr id="1206946" name="Group 1078">
                <a:extLst>
                  <a:ext uri="{FF2B5EF4-FFF2-40B4-BE49-F238E27FC236}">
                    <a16:creationId xmlns:a16="http://schemas.microsoft.com/office/drawing/2014/main" id="{00000000-0008-0000-0200-0000A26A12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659658" y="3011580"/>
                <a:ext cx="3859213" cy="3443007"/>
                <a:chOff x="394" y="56"/>
                <a:chExt cx="121" cy="99"/>
              </a:xfrm>
            </xdr:grpSpPr>
            <xdr:sp macro="" textlink="">
              <xdr:nvSpPr>
                <xdr:cNvPr id="1206948" name="Rectangle 1079">
                  <a:extLst>
                    <a:ext uri="{FF2B5EF4-FFF2-40B4-BE49-F238E27FC236}">
                      <a16:creationId xmlns:a16="http://schemas.microsoft.com/office/drawing/2014/main" id="{00000000-0008-0000-0200-0000A4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4" y="56"/>
                  <a:ext cx="121" cy="99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949" name="Rectangle 1080">
                  <a:extLst>
                    <a:ext uri="{FF2B5EF4-FFF2-40B4-BE49-F238E27FC236}">
                      <a16:creationId xmlns:a16="http://schemas.microsoft.com/office/drawing/2014/main" id="{00000000-0008-0000-0200-0000A5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950" name="Rectangle 1081">
                  <a:extLst>
                    <a:ext uri="{FF2B5EF4-FFF2-40B4-BE49-F238E27FC236}">
                      <a16:creationId xmlns:a16="http://schemas.microsoft.com/office/drawing/2014/main" id="{00000000-0008-0000-0200-0000A6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951" name="Rectangle 1082">
                  <a:extLst>
                    <a:ext uri="{FF2B5EF4-FFF2-40B4-BE49-F238E27FC236}">
                      <a16:creationId xmlns:a16="http://schemas.microsoft.com/office/drawing/2014/main" id="{00000000-0008-0000-0200-0000A7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21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952" name="Rectangle 1083">
                  <a:extLst>
                    <a:ext uri="{FF2B5EF4-FFF2-40B4-BE49-F238E27FC236}">
                      <a16:creationId xmlns:a16="http://schemas.microsoft.com/office/drawing/2014/main" id="{00000000-0008-0000-0200-0000A8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45" y="59"/>
                  <a:ext cx="23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953" name="Rectangle 1086">
                  <a:extLst>
                    <a:ext uri="{FF2B5EF4-FFF2-40B4-BE49-F238E27FC236}">
                      <a16:creationId xmlns:a16="http://schemas.microsoft.com/office/drawing/2014/main" id="{00000000-0008-0000-0200-0000A9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954" name="Rectangle 1087">
                  <a:extLst>
                    <a:ext uri="{FF2B5EF4-FFF2-40B4-BE49-F238E27FC236}">
                      <a16:creationId xmlns:a16="http://schemas.microsoft.com/office/drawing/2014/main" id="{00000000-0008-0000-0200-0000AA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137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955" name="Rectangle 1088">
                  <a:extLst>
                    <a:ext uri="{FF2B5EF4-FFF2-40B4-BE49-F238E27FC236}">
                      <a16:creationId xmlns:a16="http://schemas.microsoft.com/office/drawing/2014/main" id="{00000000-0008-0000-0200-0000AB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75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956" name="Rectangle 1089">
                  <a:extLst>
                    <a:ext uri="{FF2B5EF4-FFF2-40B4-BE49-F238E27FC236}">
                      <a16:creationId xmlns:a16="http://schemas.microsoft.com/office/drawing/2014/main" id="{00000000-0008-0000-0200-0000AC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91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957" name="Rectangle 1093">
                  <a:extLst>
                    <a:ext uri="{FF2B5EF4-FFF2-40B4-BE49-F238E27FC236}">
                      <a16:creationId xmlns:a16="http://schemas.microsoft.com/office/drawing/2014/main" id="{00000000-0008-0000-0200-0000AD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91" y="59"/>
                  <a:ext cx="21" cy="94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</xdr:grpSp>
          <xdr:sp macro="" textlink="">
            <xdr:nvSpPr>
              <xdr:cNvPr id="1206947" name="Rectangle 1087">
                <a:extLst>
                  <a:ext uri="{FF2B5EF4-FFF2-40B4-BE49-F238E27FC236}">
                    <a16:creationId xmlns:a16="http://schemas.microsoft.com/office/drawing/2014/main" id="{00000000-0008-0000-0200-0000A36A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754555" y="5297606"/>
                <a:ext cx="3672128" cy="527247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</xdr:grpSp>
        <xdr:sp macro="" textlink="">
          <xdr:nvSpPr>
            <xdr:cNvPr id="1206942" name="Rectangle 1082">
              <a:extLst>
                <a:ext uri="{FF2B5EF4-FFF2-40B4-BE49-F238E27FC236}">
                  <a16:creationId xmlns:a16="http://schemas.microsoft.com/office/drawing/2014/main" id="{00000000-0008-0000-0200-00009E6A12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4603186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6943" name="Rectangle 1082">
              <a:extLst>
                <a:ext uri="{FF2B5EF4-FFF2-40B4-BE49-F238E27FC236}">
                  <a16:creationId xmlns:a16="http://schemas.microsoft.com/office/drawing/2014/main" id="{00000000-0008-0000-0200-00009F6A12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6535400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6944" name="Rectangle 1082">
              <a:extLst>
                <a:ext uri="{FF2B5EF4-FFF2-40B4-BE49-F238E27FC236}">
                  <a16:creationId xmlns:a16="http://schemas.microsoft.com/office/drawing/2014/main" id="{00000000-0008-0000-0200-0000A06A12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8356943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6945" name="Rectangle 1082">
              <a:extLst>
                <a:ext uri="{FF2B5EF4-FFF2-40B4-BE49-F238E27FC236}">
                  <a16:creationId xmlns:a16="http://schemas.microsoft.com/office/drawing/2014/main" id="{00000000-0008-0000-0200-0000A16A12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20212957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06876" name="572 Grupo">
            <a:extLst>
              <a:ext uri="{FF2B5EF4-FFF2-40B4-BE49-F238E27FC236}">
                <a16:creationId xmlns:a16="http://schemas.microsoft.com/office/drawing/2014/main" id="{00000000-0008-0000-0200-00005C6A1200}"/>
              </a:ext>
            </a:extLst>
          </xdr:cNvPr>
          <xdr:cNvGrpSpPr>
            <a:grpSpLocks/>
          </xdr:cNvGrpSpPr>
        </xdr:nvGrpSpPr>
        <xdr:grpSpPr bwMode="auto">
          <a:xfrm>
            <a:off x="14588195" y="5241471"/>
            <a:ext cx="5901863" cy="266248"/>
            <a:chOff x="14424932" y="5391150"/>
            <a:chExt cx="5829300" cy="270783"/>
          </a:xfrm>
        </xdr:grpSpPr>
        <xdr:grpSp>
          <xdr:nvGrpSpPr>
            <xdr:cNvPr id="1206929" name="562 Grupo">
              <a:extLst>
                <a:ext uri="{FF2B5EF4-FFF2-40B4-BE49-F238E27FC236}">
                  <a16:creationId xmlns:a16="http://schemas.microsoft.com/office/drawing/2014/main" id="{00000000-0008-0000-0200-000091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939" name="1168 Conector recto">
                <a:extLst>
                  <a:ext uri="{FF2B5EF4-FFF2-40B4-BE49-F238E27FC236}">
                    <a16:creationId xmlns:a16="http://schemas.microsoft.com/office/drawing/2014/main" id="{00000000-0008-0000-0200-00009B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940" name="1169 Conector recto">
                <a:extLst>
                  <a:ext uri="{FF2B5EF4-FFF2-40B4-BE49-F238E27FC236}">
                    <a16:creationId xmlns:a16="http://schemas.microsoft.com/office/drawing/2014/main" id="{00000000-0008-0000-0200-00009C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930" name="563 Grupo">
              <a:extLst>
                <a:ext uri="{FF2B5EF4-FFF2-40B4-BE49-F238E27FC236}">
                  <a16:creationId xmlns:a16="http://schemas.microsoft.com/office/drawing/2014/main" id="{00000000-0008-0000-0200-000092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937" name="1166 Conector recto">
                <a:extLst>
                  <a:ext uri="{FF2B5EF4-FFF2-40B4-BE49-F238E27FC236}">
                    <a16:creationId xmlns:a16="http://schemas.microsoft.com/office/drawing/2014/main" id="{00000000-0008-0000-0200-000099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938" name="1167 Conector recto">
                <a:extLst>
                  <a:ext uri="{FF2B5EF4-FFF2-40B4-BE49-F238E27FC236}">
                    <a16:creationId xmlns:a16="http://schemas.microsoft.com/office/drawing/2014/main" id="{00000000-0008-0000-0200-00009A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931" name="566 Grupo">
              <a:extLst>
                <a:ext uri="{FF2B5EF4-FFF2-40B4-BE49-F238E27FC236}">
                  <a16:creationId xmlns:a16="http://schemas.microsoft.com/office/drawing/2014/main" id="{00000000-0008-0000-0200-000093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935" name="1164 Conector recto">
                <a:extLst>
                  <a:ext uri="{FF2B5EF4-FFF2-40B4-BE49-F238E27FC236}">
                    <a16:creationId xmlns:a16="http://schemas.microsoft.com/office/drawing/2014/main" id="{00000000-0008-0000-0200-000097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936" name="1165 Conector recto">
                <a:extLst>
                  <a:ext uri="{FF2B5EF4-FFF2-40B4-BE49-F238E27FC236}">
                    <a16:creationId xmlns:a16="http://schemas.microsoft.com/office/drawing/2014/main" id="{00000000-0008-0000-0200-000098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932" name="569 Grupo">
              <a:extLst>
                <a:ext uri="{FF2B5EF4-FFF2-40B4-BE49-F238E27FC236}">
                  <a16:creationId xmlns:a16="http://schemas.microsoft.com/office/drawing/2014/main" id="{00000000-0008-0000-0200-000094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933" name="1162 Conector recto">
                <a:extLst>
                  <a:ext uri="{FF2B5EF4-FFF2-40B4-BE49-F238E27FC236}">
                    <a16:creationId xmlns:a16="http://schemas.microsoft.com/office/drawing/2014/main" id="{00000000-0008-0000-0200-000095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934" name="1163 Conector recto">
                <a:extLst>
                  <a:ext uri="{FF2B5EF4-FFF2-40B4-BE49-F238E27FC236}">
                    <a16:creationId xmlns:a16="http://schemas.microsoft.com/office/drawing/2014/main" id="{00000000-0008-0000-0200-000096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206877" name="573 Grupo">
            <a:extLst>
              <a:ext uri="{FF2B5EF4-FFF2-40B4-BE49-F238E27FC236}">
                <a16:creationId xmlns:a16="http://schemas.microsoft.com/office/drawing/2014/main" id="{00000000-0008-0000-0200-00005D6A1200}"/>
              </a:ext>
            </a:extLst>
          </xdr:cNvPr>
          <xdr:cNvGrpSpPr>
            <a:grpSpLocks/>
          </xdr:cNvGrpSpPr>
        </xdr:nvGrpSpPr>
        <xdr:grpSpPr bwMode="auto">
          <a:xfrm>
            <a:off x="14590917" y="6505041"/>
            <a:ext cx="5901863" cy="261708"/>
            <a:chOff x="14424932" y="5391150"/>
            <a:chExt cx="5829300" cy="270783"/>
          </a:xfrm>
        </xdr:grpSpPr>
        <xdr:grpSp>
          <xdr:nvGrpSpPr>
            <xdr:cNvPr id="1206917" name="562 Grupo">
              <a:extLst>
                <a:ext uri="{FF2B5EF4-FFF2-40B4-BE49-F238E27FC236}">
                  <a16:creationId xmlns:a16="http://schemas.microsoft.com/office/drawing/2014/main" id="{00000000-0008-0000-0200-000085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927" name="1156 Conector recto">
                <a:extLst>
                  <a:ext uri="{FF2B5EF4-FFF2-40B4-BE49-F238E27FC236}">
                    <a16:creationId xmlns:a16="http://schemas.microsoft.com/office/drawing/2014/main" id="{00000000-0008-0000-0200-00008F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928" name="1157 Conector recto">
                <a:extLst>
                  <a:ext uri="{FF2B5EF4-FFF2-40B4-BE49-F238E27FC236}">
                    <a16:creationId xmlns:a16="http://schemas.microsoft.com/office/drawing/2014/main" id="{00000000-0008-0000-0200-000090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918" name="563 Grupo">
              <a:extLst>
                <a:ext uri="{FF2B5EF4-FFF2-40B4-BE49-F238E27FC236}">
                  <a16:creationId xmlns:a16="http://schemas.microsoft.com/office/drawing/2014/main" id="{00000000-0008-0000-0200-000086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925" name="1154 Conector recto">
                <a:extLst>
                  <a:ext uri="{FF2B5EF4-FFF2-40B4-BE49-F238E27FC236}">
                    <a16:creationId xmlns:a16="http://schemas.microsoft.com/office/drawing/2014/main" id="{00000000-0008-0000-0200-00008D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926" name="1155 Conector recto">
                <a:extLst>
                  <a:ext uri="{FF2B5EF4-FFF2-40B4-BE49-F238E27FC236}">
                    <a16:creationId xmlns:a16="http://schemas.microsoft.com/office/drawing/2014/main" id="{00000000-0008-0000-0200-00008E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919" name="566 Grupo">
              <a:extLst>
                <a:ext uri="{FF2B5EF4-FFF2-40B4-BE49-F238E27FC236}">
                  <a16:creationId xmlns:a16="http://schemas.microsoft.com/office/drawing/2014/main" id="{00000000-0008-0000-0200-000087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923" name="1152 Conector recto">
                <a:extLst>
                  <a:ext uri="{FF2B5EF4-FFF2-40B4-BE49-F238E27FC236}">
                    <a16:creationId xmlns:a16="http://schemas.microsoft.com/office/drawing/2014/main" id="{00000000-0008-0000-0200-00008B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924" name="1153 Conector recto">
                <a:extLst>
                  <a:ext uri="{FF2B5EF4-FFF2-40B4-BE49-F238E27FC236}">
                    <a16:creationId xmlns:a16="http://schemas.microsoft.com/office/drawing/2014/main" id="{00000000-0008-0000-0200-00008C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920" name="569 Grupo">
              <a:extLst>
                <a:ext uri="{FF2B5EF4-FFF2-40B4-BE49-F238E27FC236}">
                  <a16:creationId xmlns:a16="http://schemas.microsoft.com/office/drawing/2014/main" id="{00000000-0008-0000-0200-000088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921" name="1150 Conector recto">
                <a:extLst>
                  <a:ext uri="{FF2B5EF4-FFF2-40B4-BE49-F238E27FC236}">
                    <a16:creationId xmlns:a16="http://schemas.microsoft.com/office/drawing/2014/main" id="{00000000-0008-0000-0200-000089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922" name="1151 Conector recto">
                <a:extLst>
                  <a:ext uri="{FF2B5EF4-FFF2-40B4-BE49-F238E27FC236}">
                    <a16:creationId xmlns:a16="http://schemas.microsoft.com/office/drawing/2014/main" id="{00000000-0008-0000-0200-00008A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206878" name="586 Grupo">
            <a:extLst>
              <a:ext uri="{FF2B5EF4-FFF2-40B4-BE49-F238E27FC236}">
                <a16:creationId xmlns:a16="http://schemas.microsoft.com/office/drawing/2014/main" id="{00000000-0008-0000-0200-00005E6A1200}"/>
              </a:ext>
            </a:extLst>
          </xdr:cNvPr>
          <xdr:cNvGrpSpPr>
            <a:grpSpLocks/>
          </xdr:cNvGrpSpPr>
        </xdr:nvGrpSpPr>
        <xdr:grpSpPr bwMode="auto">
          <a:xfrm>
            <a:off x="14586835" y="3865710"/>
            <a:ext cx="5901863" cy="261707"/>
            <a:chOff x="14424932" y="5391150"/>
            <a:chExt cx="5829300" cy="270783"/>
          </a:xfrm>
        </xdr:grpSpPr>
        <xdr:grpSp>
          <xdr:nvGrpSpPr>
            <xdr:cNvPr id="1206905" name="562 Grupo">
              <a:extLst>
                <a:ext uri="{FF2B5EF4-FFF2-40B4-BE49-F238E27FC236}">
                  <a16:creationId xmlns:a16="http://schemas.microsoft.com/office/drawing/2014/main" id="{00000000-0008-0000-0200-000079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915" name="1144 Conector recto">
                <a:extLst>
                  <a:ext uri="{FF2B5EF4-FFF2-40B4-BE49-F238E27FC236}">
                    <a16:creationId xmlns:a16="http://schemas.microsoft.com/office/drawing/2014/main" id="{00000000-0008-0000-0200-000083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916" name="1145 Conector recto">
                <a:extLst>
                  <a:ext uri="{FF2B5EF4-FFF2-40B4-BE49-F238E27FC236}">
                    <a16:creationId xmlns:a16="http://schemas.microsoft.com/office/drawing/2014/main" id="{00000000-0008-0000-0200-000084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906" name="563 Grupo">
              <a:extLst>
                <a:ext uri="{FF2B5EF4-FFF2-40B4-BE49-F238E27FC236}">
                  <a16:creationId xmlns:a16="http://schemas.microsoft.com/office/drawing/2014/main" id="{00000000-0008-0000-0200-00007A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913" name="1142 Conector recto">
                <a:extLst>
                  <a:ext uri="{FF2B5EF4-FFF2-40B4-BE49-F238E27FC236}">
                    <a16:creationId xmlns:a16="http://schemas.microsoft.com/office/drawing/2014/main" id="{00000000-0008-0000-0200-000081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914" name="1143 Conector recto">
                <a:extLst>
                  <a:ext uri="{FF2B5EF4-FFF2-40B4-BE49-F238E27FC236}">
                    <a16:creationId xmlns:a16="http://schemas.microsoft.com/office/drawing/2014/main" id="{00000000-0008-0000-0200-000082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907" name="566 Grupo">
              <a:extLst>
                <a:ext uri="{FF2B5EF4-FFF2-40B4-BE49-F238E27FC236}">
                  <a16:creationId xmlns:a16="http://schemas.microsoft.com/office/drawing/2014/main" id="{00000000-0008-0000-0200-00007B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911" name="1140 Conector recto">
                <a:extLst>
                  <a:ext uri="{FF2B5EF4-FFF2-40B4-BE49-F238E27FC236}">
                    <a16:creationId xmlns:a16="http://schemas.microsoft.com/office/drawing/2014/main" id="{00000000-0008-0000-0200-00007F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912" name="1141 Conector recto">
                <a:extLst>
                  <a:ext uri="{FF2B5EF4-FFF2-40B4-BE49-F238E27FC236}">
                    <a16:creationId xmlns:a16="http://schemas.microsoft.com/office/drawing/2014/main" id="{00000000-0008-0000-0200-000080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908" name="569 Grupo">
              <a:extLst>
                <a:ext uri="{FF2B5EF4-FFF2-40B4-BE49-F238E27FC236}">
                  <a16:creationId xmlns:a16="http://schemas.microsoft.com/office/drawing/2014/main" id="{00000000-0008-0000-0200-00007C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909" name="1138 Conector recto">
                <a:extLst>
                  <a:ext uri="{FF2B5EF4-FFF2-40B4-BE49-F238E27FC236}">
                    <a16:creationId xmlns:a16="http://schemas.microsoft.com/office/drawing/2014/main" id="{00000000-0008-0000-0200-00007D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910" name="1139 Conector recto">
                <a:extLst>
                  <a:ext uri="{FF2B5EF4-FFF2-40B4-BE49-F238E27FC236}">
                    <a16:creationId xmlns:a16="http://schemas.microsoft.com/office/drawing/2014/main" id="{00000000-0008-0000-0200-00007E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206879" name="599 Grupo">
            <a:extLst>
              <a:ext uri="{FF2B5EF4-FFF2-40B4-BE49-F238E27FC236}">
                <a16:creationId xmlns:a16="http://schemas.microsoft.com/office/drawing/2014/main" id="{00000000-0008-0000-0200-00005F6A1200}"/>
              </a:ext>
            </a:extLst>
          </xdr:cNvPr>
          <xdr:cNvGrpSpPr>
            <a:grpSpLocks/>
          </xdr:cNvGrpSpPr>
        </xdr:nvGrpSpPr>
        <xdr:grpSpPr bwMode="auto">
          <a:xfrm>
            <a:off x="14596360" y="2494110"/>
            <a:ext cx="5901863" cy="261708"/>
            <a:chOff x="14424932" y="5391150"/>
            <a:chExt cx="5829300" cy="270783"/>
          </a:xfrm>
        </xdr:grpSpPr>
        <xdr:grpSp>
          <xdr:nvGrpSpPr>
            <xdr:cNvPr id="1206893" name="562 Grupo">
              <a:extLst>
                <a:ext uri="{FF2B5EF4-FFF2-40B4-BE49-F238E27FC236}">
                  <a16:creationId xmlns:a16="http://schemas.microsoft.com/office/drawing/2014/main" id="{00000000-0008-0000-0200-00006D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903" name="1132 Conector recto">
                <a:extLst>
                  <a:ext uri="{FF2B5EF4-FFF2-40B4-BE49-F238E27FC236}">
                    <a16:creationId xmlns:a16="http://schemas.microsoft.com/office/drawing/2014/main" id="{00000000-0008-0000-0200-000077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904" name="1133 Conector recto">
                <a:extLst>
                  <a:ext uri="{FF2B5EF4-FFF2-40B4-BE49-F238E27FC236}">
                    <a16:creationId xmlns:a16="http://schemas.microsoft.com/office/drawing/2014/main" id="{00000000-0008-0000-0200-000078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94" name="563 Grupo">
              <a:extLst>
                <a:ext uri="{FF2B5EF4-FFF2-40B4-BE49-F238E27FC236}">
                  <a16:creationId xmlns:a16="http://schemas.microsoft.com/office/drawing/2014/main" id="{00000000-0008-0000-0200-00006E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901" name="1130 Conector recto">
                <a:extLst>
                  <a:ext uri="{FF2B5EF4-FFF2-40B4-BE49-F238E27FC236}">
                    <a16:creationId xmlns:a16="http://schemas.microsoft.com/office/drawing/2014/main" id="{00000000-0008-0000-0200-000075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902" name="1131 Conector recto">
                <a:extLst>
                  <a:ext uri="{FF2B5EF4-FFF2-40B4-BE49-F238E27FC236}">
                    <a16:creationId xmlns:a16="http://schemas.microsoft.com/office/drawing/2014/main" id="{00000000-0008-0000-0200-000076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95" name="566 Grupo">
              <a:extLst>
                <a:ext uri="{FF2B5EF4-FFF2-40B4-BE49-F238E27FC236}">
                  <a16:creationId xmlns:a16="http://schemas.microsoft.com/office/drawing/2014/main" id="{00000000-0008-0000-0200-00006F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99" name="1128 Conector recto">
                <a:extLst>
                  <a:ext uri="{FF2B5EF4-FFF2-40B4-BE49-F238E27FC236}">
                    <a16:creationId xmlns:a16="http://schemas.microsoft.com/office/drawing/2014/main" id="{00000000-0008-0000-0200-000073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900" name="1129 Conector recto">
                <a:extLst>
                  <a:ext uri="{FF2B5EF4-FFF2-40B4-BE49-F238E27FC236}">
                    <a16:creationId xmlns:a16="http://schemas.microsoft.com/office/drawing/2014/main" id="{00000000-0008-0000-0200-000074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96" name="569 Grupo">
              <a:extLst>
                <a:ext uri="{FF2B5EF4-FFF2-40B4-BE49-F238E27FC236}">
                  <a16:creationId xmlns:a16="http://schemas.microsoft.com/office/drawing/2014/main" id="{00000000-0008-0000-0200-000070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97" name="1126 Conector recto">
                <a:extLst>
                  <a:ext uri="{FF2B5EF4-FFF2-40B4-BE49-F238E27FC236}">
                    <a16:creationId xmlns:a16="http://schemas.microsoft.com/office/drawing/2014/main" id="{00000000-0008-0000-0200-000071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98" name="1127 Conector recto">
                <a:extLst>
                  <a:ext uri="{FF2B5EF4-FFF2-40B4-BE49-F238E27FC236}">
                    <a16:creationId xmlns:a16="http://schemas.microsoft.com/office/drawing/2014/main" id="{00000000-0008-0000-0200-000072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206880" name="612 Grupo">
            <a:extLst>
              <a:ext uri="{FF2B5EF4-FFF2-40B4-BE49-F238E27FC236}">
                <a16:creationId xmlns:a16="http://schemas.microsoft.com/office/drawing/2014/main" id="{00000000-0008-0000-0200-0000606A1200}"/>
              </a:ext>
            </a:extLst>
          </xdr:cNvPr>
          <xdr:cNvGrpSpPr>
            <a:grpSpLocks/>
          </xdr:cNvGrpSpPr>
        </xdr:nvGrpSpPr>
        <xdr:grpSpPr bwMode="auto">
          <a:xfrm>
            <a:off x="14585474" y="7805965"/>
            <a:ext cx="5901863" cy="266247"/>
            <a:chOff x="14424932" y="5391150"/>
            <a:chExt cx="5829300" cy="270783"/>
          </a:xfrm>
        </xdr:grpSpPr>
        <xdr:grpSp>
          <xdr:nvGrpSpPr>
            <xdr:cNvPr id="1206881" name="562 Grupo">
              <a:extLst>
                <a:ext uri="{FF2B5EF4-FFF2-40B4-BE49-F238E27FC236}">
                  <a16:creationId xmlns:a16="http://schemas.microsoft.com/office/drawing/2014/main" id="{00000000-0008-0000-0200-000061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91" name="1120 Conector recto">
                <a:extLst>
                  <a:ext uri="{FF2B5EF4-FFF2-40B4-BE49-F238E27FC236}">
                    <a16:creationId xmlns:a16="http://schemas.microsoft.com/office/drawing/2014/main" id="{00000000-0008-0000-0200-00006B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92" name="1121 Conector recto">
                <a:extLst>
                  <a:ext uri="{FF2B5EF4-FFF2-40B4-BE49-F238E27FC236}">
                    <a16:creationId xmlns:a16="http://schemas.microsoft.com/office/drawing/2014/main" id="{00000000-0008-0000-0200-00006C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82" name="563 Grupo">
              <a:extLst>
                <a:ext uri="{FF2B5EF4-FFF2-40B4-BE49-F238E27FC236}">
                  <a16:creationId xmlns:a16="http://schemas.microsoft.com/office/drawing/2014/main" id="{00000000-0008-0000-0200-000062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89" name="1118 Conector recto">
                <a:extLst>
                  <a:ext uri="{FF2B5EF4-FFF2-40B4-BE49-F238E27FC236}">
                    <a16:creationId xmlns:a16="http://schemas.microsoft.com/office/drawing/2014/main" id="{00000000-0008-0000-0200-000069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90" name="1119 Conector recto">
                <a:extLst>
                  <a:ext uri="{FF2B5EF4-FFF2-40B4-BE49-F238E27FC236}">
                    <a16:creationId xmlns:a16="http://schemas.microsoft.com/office/drawing/2014/main" id="{00000000-0008-0000-0200-00006A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83" name="566 Grupo">
              <a:extLst>
                <a:ext uri="{FF2B5EF4-FFF2-40B4-BE49-F238E27FC236}">
                  <a16:creationId xmlns:a16="http://schemas.microsoft.com/office/drawing/2014/main" id="{00000000-0008-0000-0200-000063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87" name="1116 Conector recto">
                <a:extLst>
                  <a:ext uri="{FF2B5EF4-FFF2-40B4-BE49-F238E27FC236}">
                    <a16:creationId xmlns:a16="http://schemas.microsoft.com/office/drawing/2014/main" id="{00000000-0008-0000-0200-000067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88" name="1117 Conector recto">
                <a:extLst>
                  <a:ext uri="{FF2B5EF4-FFF2-40B4-BE49-F238E27FC236}">
                    <a16:creationId xmlns:a16="http://schemas.microsoft.com/office/drawing/2014/main" id="{00000000-0008-0000-0200-000068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84" name="569 Grupo">
              <a:extLst>
                <a:ext uri="{FF2B5EF4-FFF2-40B4-BE49-F238E27FC236}">
                  <a16:creationId xmlns:a16="http://schemas.microsoft.com/office/drawing/2014/main" id="{00000000-0008-0000-0200-000064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85" name="1114 Conector recto">
                <a:extLst>
                  <a:ext uri="{FF2B5EF4-FFF2-40B4-BE49-F238E27FC236}">
                    <a16:creationId xmlns:a16="http://schemas.microsoft.com/office/drawing/2014/main" id="{00000000-0008-0000-0200-000065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86" name="1115 Conector recto">
                <a:extLst>
                  <a:ext uri="{FF2B5EF4-FFF2-40B4-BE49-F238E27FC236}">
                    <a16:creationId xmlns:a16="http://schemas.microsoft.com/office/drawing/2014/main" id="{00000000-0008-0000-0200-000066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</xdr:grpSp>
    <xdr:clientData/>
  </xdr:twoCellAnchor>
  <xdr:twoCellAnchor>
    <xdr:from>
      <xdr:col>3</xdr:col>
      <xdr:colOff>152400</xdr:colOff>
      <xdr:row>2</xdr:row>
      <xdr:rowOff>76200</xdr:rowOff>
    </xdr:from>
    <xdr:to>
      <xdr:col>3</xdr:col>
      <xdr:colOff>774700</xdr:colOff>
      <xdr:row>2</xdr:row>
      <xdr:rowOff>609600</xdr:rowOff>
    </xdr:to>
    <xdr:grpSp>
      <xdr:nvGrpSpPr>
        <xdr:cNvPr id="1206623" name="1187 Grupo">
          <a:extLst>
            <a:ext uri="{FF2B5EF4-FFF2-40B4-BE49-F238E27FC236}">
              <a16:creationId xmlns:a16="http://schemas.microsoft.com/office/drawing/2014/main" id="{00000000-0008-0000-0200-00005F691200}"/>
            </a:ext>
          </a:extLst>
        </xdr:cNvPr>
        <xdr:cNvGrpSpPr>
          <a:grpSpLocks/>
        </xdr:cNvGrpSpPr>
      </xdr:nvGrpSpPr>
      <xdr:grpSpPr bwMode="auto">
        <a:xfrm>
          <a:off x="4699000" y="1206500"/>
          <a:ext cx="622300" cy="533400"/>
          <a:chOff x="12578073" y="988919"/>
          <a:chExt cx="9678677" cy="8510681"/>
        </a:xfrm>
      </xdr:grpSpPr>
      <xdr:grpSp>
        <xdr:nvGrpSpPr>
          <xdr:cNvPr id="1206792" name="629 Grupo">
            <a:extLst>
              <a:ext uri="{FF2B5EF4-FFF2-40B4-BE49-F238E27FC236}">
                <a16:creationId xmlns:a16="http://schemas.microsoft.com/office/drawing/2014/main" id="{00000000-0008-0000-0200-0000086A1200}"/>
              </a:ext>
            </a:extLst>
          </xdr:cNvPr>
          <xdr:cNvGrpSpPr>
            <a:grpSpLocks/>
          </xdr:cNvGrpSpPr>
        </xdr:nvGrpSpPr>
        <xdr:grpSpPr bwMode="auto">
          <a:xfrm>
            <a:off x="12578073" y="988919"/>
            <a:ext cx="9678677" cy="8510681"/>
            <a:chOff x="12578073" y="988919"/>
            <a:chExt cx="9678677" cy="8510681"/>
          </a:xfrm>
        </xdr:grpSpPr>
        <xdr:grpSp>
          <xdr:nvGrpSpPr>
            <xdr:cNvPr id="1206858" name="410 Grupo">
              <a:extLst>
                <a:ext uri="{FF2B5EF4-FFF2-40B4-BE49-F238E27FC236}">
                  <a16:creationId xmlns:a16="http://schemas.microsoft.com/office/drawing/2014/main" id="{00000000-0008-0000-0200-00004A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2578073" y="988919"/>
              <a:ext cx="9678677" cy="8510681"/>
              <a:chOff x="6659658" y="3011580"/>
              <a:chExt cx="3859213" cy="3443007"/>
            </a:xfrm>
          </xdr:grpSpPr>
          <xdr:grpSp>
            <xdr:nvGrpSpPr>
              <xdr:cNvPr id="1206863" name="Group 1078">
                <a:extLst>
                  <a:ext uri="{FF2B5EF4-FFF2-40B4-BE49-F238E27FC236}">
                    <a16:creationId xmlns:a16="http://schemas.microsoft.com/office/drawing/2014/main" id="{00000000-0008-0000-0200-00004F6A12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659658" y="3011580"/>
                <a:ext cx="3859213" cy="3443007"/>
                <a:chOff x="394" y="56"/>
                <a:chExt cx="121" cy="99"/>
              </a:xfrm>
            </xdr:grpSpPr>
            <xdr:sp macro="" textlink="">
              <xdr:nvSpPr>
                <xdr:cNvPr id="1206865" name="Rectangle 1079">
                  <a:extLst>
                    <a:ext uri="{FF2B5EF4-FFF2-40B4-BE49-F238E27FC236}">
                      <a16:creationId xmlns:a16="http://schemas.microsoft.com/office/drawing/2014/main" id="{00000000-0008-0000-0200-000051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4" y="56"/>
                  <a:ext cx="121" cy="99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866" name="Rectangle 1080">
                  <a:extLst>
                    <a:ext uri="{FF2B5EF4-FFF2-40B4-BE49-F238E27FC236}">
                      <a16:creationId xmlns:a16="http://schemas.microsoft.com/office/drawing/2014/main" id="{00000000-0008-0000-0200-000052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867" name="Rectangle 1081">
                  <a:extLst>
                    <a:ext uri="{FF2B5EF4-FFF2-40B4-BE49-F238E27FC236}">
                      <a16:creationId xmlns:a16="http://schemas.microsoft.com/office/drawing/2014/main" id="{00000000-0008-0000-0200-000053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868" name="Rectangle 1082">
                  <a:extLst>
                    <a:ext uri="{FF2B5EF4-FFF2-40B4-BE49-F238E27FC236}">
                      <a16:creationId xmlns:a16="http://schemas.microsoft.com/office/drawing/2014/main" id="{00000000-0008-0000-0200-000054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21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869" name="Rectangle 1083">
                  <a:extLst>
                    <a:ext uri="{FF2B5EF4-FFF2-40B4-BE49-F238E27FC236}">
                      <a16:creationId xmlns:a16="http://schemas.microsoft.com/office/drawing/2014/main" id="{00000000-0008-0000-0200-000055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45" y="59"/>
                  <a:ext cx="23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870" name="Rectangle 1086">
                  <a:extLst>
                    <a:ext uri="{FF2B5EF4-FFF2-40B4-BE49-F238E27FC236}">
                      <a16:creationId xmlns:a16="http://schemas.microsoft.com/office/drawing/2014/main" id="{00000000-0008-0000-0200-000056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871" name="Rectangle 1087">
                  <a:extLst>
                    <a:ext uri="{FF2B5EF4-FFF2-40B4-BE49-F238E27FC236}">
                      <a16:creationId xmlns:a16="http://schemas.microsoft.com/office/drawing/2014/main" id="{00000000-0008-0000-0200-000057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137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872" name="Rectangle 1088">
                  <a:extLst>
                    <a:ext uri="{FF2B5EF4-FFF2-40B4-BE49-F238E27FC236}">
                      <a16:creationId xmlns:a16="http://schemas.microsoft.com/office/drawing/2014/main" id="{00000000-0008-0000-0200-000058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75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873" name="Rectangle 1089">
                  <a:extLst>
                    <a:ext uri="{FF2B5EF4-FFF2-40B4-BE49-F238E27FC236}">
                      <a16:creationId xmlns:a16="http://schemas.microsoft.com/office/drawing/2014/main" id="{00000000-0008-0000-0200-000059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91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874" name="Rectangle 1093">
                  <a:extLst>
                    <a:ext uri="{FF2B5EF4-FFF2-40B4-BE49-F238E27FC236}">
                      <a16:creationId xmlns:a16="http://schemas.microsoft.com/office/drawing/2014/main" id="{00000000-0008-0000-0200-00005A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91" y="59"/>
                  <a:ext cx="21" cy="94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</xdr:grpSp>
          <xdr:sp macro="" textlink="">
            <xdr:nvSpPr>
              <xdr:cNvPr id="1206864" name="Rectangle 1087">
                <a:extLst>
                  <a:ext uri="{FF2B5EF4-FFF2-40B4-BE49-F238E27FC236}">
                    <a16:creationId xmlns:a16="http://schemas.microsoft.com/office/drawing/2014/main" id="{00000000-0008-0000-0200-0000506A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754555" y="5297606"/>
                <a:ext cx="3672128" cy="527247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</xdr:grpSp>
        <xdr:sp macro="" textlink="">
          <xdr:nvSpPr>
            <xdr:cNvPr id="1206859" name="Rectangle 1082">
              <a:extLst>
                <a:ext uri="{FF2B5EF4-FFF2-40B4-BE49-F238E27FC236}">
                  <a16:creationId xmlns:a16="http://schemas.microsoft.com/office/drawing/2014/main" id="{00000000-0008-0000-0200-00004B6A12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4603186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6860" name="Rectangle 1082">
              <a:extLst>
                <a:ext uri="{FF2B5EF4-FFF2-40B4-BE49-F238E27FC236}">
                  <a16:creationId xmlns:a16="http://schemas.microsoft.com/office/drawing/2014/main" id="{00000000-0008-0000-0200-00004C6A12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6535400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6861" name="Rectangle 1082">
              <a:extLst>
                <a:ext uri="{FF2B5EF4-FFF2-40B4-BE49-F238E27FC236}">
                  <a16:creationId xmlns:a16="http://schemas.microsoft.com/office/drawing/2014/main" id="{00000000-0008-0000-0200-00004D6A12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8356943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6862" name="Rectangle 1082">
              <a:extLst>
                <a:ext uri="{FF2B5EF4-FFF2-40B4-BE49-F238E27FC236}">
                  <a16:creationId xmlns:a16="http://schemas.microsoft.com/office/drawing/2014/main" id="{00000000-0008-0000-0200-00004E6A12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20212957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06793" name="572 Grupo">
            <a:extLst>
              <a:ext uri="{FF2B5EF4-FFF2-40B4-BE49-F238E27FC236}">
                <a16:creationId xmlns:a16="http://schemas.microsoft.com/office/drawing/2014/main" id="{00000000-0008-0000-0200-0000096A1200}"/>
              </a:ext>
            </a:extLst>
          </xdr:cNvPr>
          <xdr:cNvGrpSpPr>
            <a:grpSpLocks/>
          </xdr:cNvGrpSpPr>
        </xdr:nvGrpSpPr>
        <xdr:grpSpPr bwMode="auto">
          <a:xfrm>
            <a:off x="14588193" y="5241471"/>
            <a:ext cx="5901863" cy="266248"/>
            <a:chOff x="14424932" y="5391150"/>
            <a:chExt cx="5829300" cy="270783"/>
          </a:xfrm>
        </xdr:grpSpPr>
        <xdr:grpSp>
          <xdr:nvGrpSpPr>
            <xdr:cNvPr id="1206846" name="562 Grupo">
              <a:extLst>
                <a:ext uri="{FF2B5EF4-FFF2-40B4-BE49-F238E27FC236}">
                  <a16:creationId xmlns:a16="http://schemas.microsoft.com/office/drawing/2014/main" id="{00000000-0008-0000-0200-00003E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56" name="1252 Conector recto">
                <a:extLst>
                  <a:ext uri="{FF2B5EF4-FFF2-40B4-BE49-F238E27FC236}">
                    <a16:creationId xmlns:a16="http://schemas.microsoft.com/office/drawing/2014/main" id="{00000000-0008-0000-0200-000048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57" name="1253 Conector recto">
                <a:extLst>
                  <a:ext uri="{FF2B5EF4-FFF2-40B4-BE49-F238E27FC236}">
                    <a16:creationId xmlns:a16="http://schemas.microsoft.com/office/drawing/2014/main" id="{00000000-0008-0000-0200-000049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47" name="563 Grupo">
              <a:extLst>
                <a:ext uri="{FF2B5EF4-FFF2-40B4-BE49-F238E27FC236}">
                  <a16:creationId xmlns:a16="http://schemas.microsoft.com/office/drawing/2014/main" id="{00000000-0008-0000-0200-00003F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54" name="1250 Conector recto">
                <a:extLst>
                  <a:ext uri="{FF2B5EF4-FFF2-40B4-BE49-F238E27FC236}">
                    <a16:creationId xmlns:a16="http://schemas.microsoft.com/office/drawing/2014/main" id="{00000000-0008-0000-0200-000046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55" name="1251 Conector recto">
                <a:extLst>
                  <a:ext uri="{FF2B5EF4-FFF2-40B4-BE49-F238E27FC236}">
                    <a16:creationId xmlns:a16="http://schemas.microsoft.com/office/drawing/2014/main" id="{00000000-0008-0000-0200-000047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48" name="566 Grupo">
              <a:extLst>
                <a:ext uri="{FF2B5EF4-FFF2-40B4-BE49-F238E27FC236}">
                  <a16:creationId xmlns:a16="http://schemas.microsoft.com/office/drawing/2014/main" id="{00000000-0008-0000-0200-000040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52" name="1248 Conector recto">
                <a:extLst>
                  <a:ext uri="{FF2B5EF4-FFF2-40B4-BE49-F238E27FC236}">
                    <a16:creationId xmlns:a16="http://schemas.microsoft.com/office/drawing/2014/main" id="{00000000-0008-0000-0200-000044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53" name="1249 Conector recto">
                <a:extLst>
                  <a:ext uri="{FF2B5EF4-FFF2-40B4-BE49-F238E27FC236}">
                    <a16:creationId xmlns:a16="http://schemas.microsoft.com/office/drawing/2014/main" id="{00000000-0008-0000-0200-000045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49" name="569 Grupo">
              <a:extLst>
                <a:ext uri="{FF2B5EF4-FFF2-40B4-BE49-F238E27FC236}">
                  <a16:creationId xmlns:a16="http://schemas.microsoft.com/office/drawing/2014/main" id="{00000000-0008-0000-0200-000041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50" name="1246 Conector recto">
                <a:extLst>
                  <a:ext uri="{FF2B5EF4-FFF2-40B4-BE49-F238E27FC236}">
                    <a16:creationId xmlns:a16="http://schemas.microsoft.com/office/drawing/2014/main" id="{00000000-0008-0000-0200-000042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51" name="1247 Conector recto">
                <a:extLst>
                  <a:ext uri="{FF2B5EF4-FFF2-40B4-BE49-F238E27FC236}">
                    <a16:creationId xmlns:a16="http://schemas.microsoft.com/office/drawing/2014/main" id="{00000000-0008-0000-0200-000043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206794" name="573 Grupo">
            <a:extLst>
              <a:ext uri="{FF2B5EF4-FFF2-40B4-BE49-F238E27FC236}">
                <a16:creationId xmlns:a16="http://schemas.microsoft.com/office/drawing/2014/main" id="{00000000-0008-0000-0200-00000A6A1200}"/>
              </a:ext>
            </a:extLst>
          </xdr:cNvPr>
          <xdr:cNvGrpSpPr>
            <a:grpSpLocks/>
          </xdr:cNvGrpSpPr>
        </xdr:nvGrpSpPr>
        <xdr:grpSpPr bwMode="auto">
          <a:xfrm>
            <a:off x="14590915" y="6505000"/>
            <a:ext cx="5901863" cy="261706"/>
            <a:chOff x="14424932" y="5391150"/>
            <a:chExt cx="5829300" cy="270783"/>
          </a:xfrm>
        </xdr:grpSpPr>
        <xdr:grpSp>
          <xdr:nvGrpSpPr>
            <xdr:cNvPr id="1206834" name="562 Grupo">
              <a:extLst>
                <a:ext uri="{FF2B5EF4-FFF2-40B4-BE49-F238E27FC236}">
                  <a16:creationId xmlns:a16="http://schemas.microsoft.com/office/drawing/2014/main" id="{00000000-0008-0000-0200-000032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44" name="1240 Conector recto">
                <a:extLst>
                  <a:ext uri="{FF2B5EF4-FFF2-40B4-BE49-F238E27FC236}">
                    <a16:creationId xmlns:a16="http://schemas.microsoft.com/office/drawing/2014/main" id="{00000000-0008-0000-0200-00003C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45" name="1241 Conector recto">
                <a:extLst>
                  <a:ext uri="{FF2B5EF4-FFF2-40B4-BE49-F238E27FC236}">
                    <a16:creationId xmlns:a16="http://schemas.microsoft.com/office/drawing/2014/main" id="{00000000-0008-0000-0200-00003D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35" name="563 Grupo">
              <a:extLst>
                <a:ext uri="{FF2B5EF4-FFF2-40B4-BE49-F238E27FC236}">
                  <a16:creationId xmlns:a16="http://schemas.microsoft.com/office/drawing/2014/main" id="{00000000-0008-0000-0200-000033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42" name="1238 Conector recto">
                <a:extLst>
                  <a:ext uri="{FF2B5EF4-FFF2-40B4-BE49-F238E27FC236}">
                    <a16:creationId xmlns:a16="http://schemas.microsoft.com/office/drawing/2014/main" id="{00000000-0008-0000-0200-00003A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43" name="1239 Conector recto">
                <a:extLst>
                  <a:ext uri="{FF2B5EF4-FFF2-40B4-BE49-F238E27FC236}">
                    <a16:creationId xmlns:a16="http://schemas.microsoft.com/office/drawing/2014/main" id="{00000000-0008-0000-0200-00003B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36" name="566 Grupo">
              <a:extLst>
                <a:ext uri="{FF2B5EF4-FFF2-40B4-BE49-F238E27FC236}">
                  <a16:creationId xmlns:a16="http://schemas.microsoft.com/office/drawing/2014/main" id="{00000000-0008-0000-0200-000034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40" name="1236 Conector recto">
                <a:extLst>
                  <a:ext uri="{FF2B5EF4-FFF2-40B4-BE49-F238E27FC236}">
                    <a16:creationId xmlns:a16="http://schemas.microsoft.com/office/drawing/2014/main" id="{00000000-0008-0000-0200-000038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41" name="1237 Conector recto">
                <a:extLst>
                  <a:ext uri="{FF2B5EF4-FFF2-40B4-BE49-F238E27FC236}">
                    <a16:creationId xmlns:a16="http://schemas.microsoft.com/office/drawing/2014/main" id="{00000000-0008-0000-0200-000039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37" name="569 Grupo">
              <a:extLst>
                <a:ext uri="{FF2B5EF4-FFF2-40B4-BE49-F238E27FC236}">
                  <a16:creationId xmlns:a16="http://schemas.microsoft.com/office/drawing/2014/main" id="{00000000-0008-0000-0200-000035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38" name="1234 Conector recto">
                <a:extLst>
                  <a:ext uri="{FF2B5EF4-FFF2-40B4-BE49-F238E27FC236}">
                    <a16:creationId xmlns:a16="http://schemas.microsoft.com/office/drawing/2014/main" id="{00000000-0008-0000-0200-000036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39" name="1235 Conector recto">
                <a:extLst>
                  <a:ext uri="{FF2B5EF4-FFF2-40B4-BE49-F238E27FC236}">
                    <a16:creationId xmlns:a16="http://schemas.microsoft.com/office/drawing/2014/main" id="{00000000-0008-0000-0200-000037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206795" name="586 Grupo">
            <a:extLst>
              <a:ext uri="{FF2B5EF4-FFF2-40B4-BE49-F238E27FC236}">
                <a16:creationId xmlns:a16="http://schemas.microsoft.com/office/drawing/2014/main" id="{00000000-0008-0000-0200-00000B6A1200}"/>
              </a:ext>
            </a:extLst>
          </xdr:cNvPr>
          <xdr:cNvGrpSpPr>
            <a:grpSpLocks/>
          </xdr:cNvGrpSpPr>
        </xdr:nvGrpSpPr>
        <xdr:grpSpPr bwMode="auto">
          <a:xfrm>
            <a:off x="14586833" y="3865670"/>
            <a:ext cx="5901863" cy="261705"/>
            <a:chOff x="14424932" y="5391150"/>
            <a:chExt cx="5829300" cy="270783"/>
          </a:xfrm>
        </xdr:grpSpPr>
        <xdr:grpSp>
          <xdr:nvGrpSpPr>
            <xdr:cNvPr id="1206822" name="562 Grupo">
              <a:extLst>
                <a:ext uri="{FF2B5EF4-FFF2-40B4-BE49-F238E27FC236}">
                  <a16:creationId xmlns:a16="http://schemas.microsoft.com/office/drawing/2014/main" id="{00000000-0008-0000-0200-000026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32" name="1228 Conector recto">
                <a:extLst>
                  <a:ext uri="{FF2B5EF4-FFF2-40B4-BE49-F238E27FC236}">
                    <a16:creationId xmlns:a16="http://schemas.microsoft.com/office/drawing/2014/main" id="{00000000-0008-0000-0200-000030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33" name="1229 Conector recto">
                <a:extLst>
                  <a:ext uri="{FF2B5EF4-FFF2-40B4-BE49-F238E27FC236}">
                    <a16:creationId xmlns:a16="http://schemas.microsoft.com/office/drawing/2014/main" id="{00000000-0008-0000-0200-000031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23" name="563 Grupo">
              <a:extLst>
                <a:ext uri="{FF2B5EF4-FFF2-40B4-BE49-F238E27FC236}">
                  <a16:creationId xmlns:a16="http://schemas.microsoft.com/office/drawing/2014/main" id="{00000000-0008-0000-0200-000027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30" name="1226 Conector recto">
                <a:extLst>
                  <a:ext uri="{FF2B5EF4-FFF2-40B4-BE49-F238E27FC236}">
                    <a16:creationId xmlns:a16="http://schemas.microsoft.com/office/drawing/2014/main" id="{00000000-0008-0000-0200-00002E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31" name="1227 Conector recto">
                <a:extLst>
                  <a:ext uri="{FF2B5EF4-FFF2-40B4-BE49-F238E27FC236}">
                    <a16:creationId xmlns:a16="http://schemas.microsoft.com/office/drawing/2014/main" id="{00000000-0008-0000-0200-00002F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24" name="566 Grupo">
              <a:extLst>
                <a:ext uri="{FF2B5EF4-FFF2-40B4-BE49-F238E27FC236}">
                  <a16:creationId xmlns:a16="http://schemas.microsoft.com/office/drawing/2014/main" id="{00000000-0008-0000-0200-000028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28" name="1224 Conector recto">
                <a:extLst>
                  <a:ext uri="{FF2B5EF4-FFF2-40B4-BE49-F238E27FC236}">
                    <a16:creationId xmlns:a16="http://schemas.microsoft.com/office/drawing/2014/main" id="{00000000-0008-0000-0200-00002C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29" name="1225 Conector recto">
                <a:extLst>
                  <a:ext uri="{FF2B5EF4-FFF2-40B4-BE49-F238E27FC236}">
                    <a16:creationId xmlns:a16="http://schemas.microsoft.com/office/drawing/2014/main" id="{00000000-0008-0000-0200-00002D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25" name="569 Grupo">
              <a:extLst>
                <a:ext uri="{FF2B5EF4-FFF2-40B4-BE49-F238E27FC236}">
                  <a16:creationId xmlns:a16="http://schemas.microsoft.com/office/drawing/2014/main" id="{00000000-0008-0000-0200-000029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26" name="1222 Conector recto">
                <a:extLst>
                  <a:ext uri="{FF2B5EF4-FFF2-40B4-BE49-F238E27FC236}">
                    <a16:creationId xmlns:a16="http://schemas.microsoft.com/office/drawing/2014/main" id="{00000000-0008-0000-0200-00002A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27" name="1223 Conector recto">
                <a:extLst>
                  <a:ext uri="{FF2B5EF4-FFF2-40B4-BE49-F238E27FC236}">
                    <a16:creationId xmlns:a16="http://schemas.microsoft.com/office/drawing/2014/main" id="{00000000-0008-0000-0200-00002B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206796" name="599 Grupo">
            <a:extLst>
              <a:ext uri="{FF2B5EF4-FFF2-40B4-BE49-F238E27FC236}">
                <a16:creationId xmlns:a16="http://schemas.microsoft.com/office/drawing/2014/main" id="{00000000-0008-0000-0200-00000C6A1200}"/>
              </a:ext>
            </a:extLst>
          </xdr:cNvPr>
          <xdr:cNvGrpSpPr>
            <a:grpSpLocks/>
          </xdr:cNvGrpSpPr>
        </xdr:nvGrpSpPr>
        <xdr:grpSpPr bwMode="auto">
          <a:xfrm>
            <a:off x="14596358" y="2494069"/>
            <a:ext cx="5901863" cy="261706"/>
            <a:chOff x="14424932" y="5391150"/>
            <a:chExt cx="5829300" cy="270783"/>
          </a:xfrm>
        </xdr:grpSpPr>
        <xdr:grpSp>
          <xdr:nvGrpSpPr>
            <xdr:cNvPr id="1206810" name="562 Grupo">
              <a:extLst>
                <a:ext uri="{FF2B5EF4-FFF2-40B4-BE49-F238E27FC236}">
                  <a16:creationId xmlns:a16="http://schemas.microsoft.com/office/drawing/2014/main" id="{00000000-0008-0000-0200-00001A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20" name="1216 Conector recto">
                <a:extLst>
                  <a:ext uri="{FF2B5EF4-FFF2-40B4-BE49-F238E27FC236}">
                    <a16:creationId xmlns:a16="http://schemas.microsoft.com/office/drawing/2014/main" id="{00000000-0008-0000-0200-000024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21" name="1217 Conector recto">
                <a:extLst>
                  <a:ext uri="{FF2B5EF4-FFF2-40B4-BE49-F238E27FC236}">
                    <a16:creationId xmlns:a16="http://schemas.microsoft.com/office/drawing/2014/main" id="{00000000-0008-0000-0200-000025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11" name="563 Grupo">
              <a:extLst>
                <a:ext uri="{FF2B5EF4-FFF2-40B4-BE49-F238E27FC236}">
                  <a16:creationId xmlns:a16="http://schemas.microsoft.com/office/drawing/2014/main" id="{00000000-0008-0000-0200-00001B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18" name="1214 Conector recto">
                <a:extLst>
                  <a:ext uri="{FF2B5EF4-FFF2-40B4-BE49-F238E27FC236}">
                    <a16:creationId xmlns:a16="http://schemas.microsoft.com/office/drawing/2014/main" id="{00000000-0008-0000-0200-000022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19" name="1215 Conector recto">
                <a:extLst>
                  <a:ext uri="{FF2B5EF4-FFF2-40B4-BE49-F238E27FC236}">
                    <a16:creationId xmlns:a16="http://schemas.microsoft.com/office/drawing/2014/main" id="{00000000-0008-0000-0200-000023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12" name="566 Grupo">
              <a:extLst>
                <a:ext uri="{FF2B5EF4-FFF2-40B4-BE49-F238E27FC236}">
                  <a16:creationId xmlns:a16="http://schemas.microsoft.com/office/drawing/2014/main" id="{00000000-0008-0000-0200-00001C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16" name="1212 Conector recto">
                <a:extLst>
                  <a:ext uri="{FF2B5EF4-FFF2-40B4-BE49-F238E27FC236}">
                    <a16:creationId xmlns:a16="http://schemas.microsoft.com/office/drawing/2014/main" id="{00000000-0008-0000-0200-000020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17" name="1213 Conector recto">
                <a:extLst>
                  <a:ext uri="{FF2B5EF4-FFF2-40B4-BE49-F238E27FC236}">
                    <a16:creationId xmlns:a16="http://schemas.microsoft.com/office/drawing/2014/main" id="{00000000-0008-0000-0200-000021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13" name="569 Grupo">
              <a:extLst>
                <a:ext uri="{FF2B5EF4-FFF2-40B4-BE49-F238E27FC236}">
                  <a16:creationId xmlns:a16="http://schemas.microsoft.com/office/drawing/2014/main" id="{00000000-0008-0000-0200-00001D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14" name="1210 Conector recto">
                <a:extLst>
                  <a:ext uri="{FF2B5EF4-FFF2-40B4-BE49-F238E27FC236}">
                    <a16:creationId xmlns:a16="http://schemas.microsoft.com/office/drawing/2014/main" id="{00000000-0008-0000-0200-00001E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15" name="1211 Conector recto">
                <a:extLst>
                  <a:ext uri="{FF2B5EF4-FFF2-40B4-BE49-F238E27FC236}">
                    <a16:creationId xmlns:a16="http://schemas.microsoft.com/office/drawing/2014/main" id="{00000000-0008-0000-0200-00001F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206797" name="612 Grupo">
            <a:extLst>
              <a:ext uri="{FF2B5EF4-FFF2-40B4-BE49-F238E27FC236}">
                <a16:creationId xmlns:a16="http://schemas.microsoft.com/office/drawing/2014/main" id="{00000000-0008-0000-0200-00000D6A1200}"/>
              </a:ext>
            </a:extLst>
          </xdr:cNvPr>
          <xdr:cNvGrpSpPr>
            <a:grpSpLocks/>
          </xdr:cNvGrpSpPr>
        </xdr:nvGrpSpPr>
        <xdr:grpSpPr bwMode="auto">
          <a:xfrm>
            <a:off x="14585472" y="7805965"/>
            <a:ext cx="5901863" cy="266247"/>
            <a:chOff x="14424932" y="5391150"/>
            <a:chExt cx="5829300" cy="270783"/>
          </a:xfrm>
        </xdr:grpSpPr>
        <xdr:grpSp>
          <xdr:nvGrpSpPr>
            <xdr:cNvPr id="1206798" name="562 Grupo">
              <a:extLst>
                <a:ext uri="{FF2B5EF4-FFF2-40B4-BE49-F238E27FC236}">
                  <a16:creationId xmlns:a16="http://schemas.microsoft.com/office/drawing/2014/main" id="{00000000-0008-0000-0200-00000E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08" name="1204 Conector recto">
                <a:extLst>
                  <a:ext uri="{FF2B5EF4-FFF2-40B4-BE49-F238E27FC236}">
                    <a16:creationId xmlns:a16="http://schemas.microsoft.com/office/drawing/2014/main" id="{00000000-0008-0000-0200-000018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09" name="1205 Conector recto">
                <a:extLst>
                  <a:ext uri="{FF2B5EF4-FFF2-40B4-BE49-F238E27FC236}">
                    <a16:creationId xmlns:a16="http://schemas.microsoft.com/office/drawing/2014/main" id="{00000000-0008-0000-0200-000019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799" name="563 Grupo">
              <a:extLst>
                <a:ext uri="{FF2B5EF4-FFF2-40B4-BE49-F238E27FC236}">
                  <a16:creationId xmlns:a16="http://schemas.microsoft.com/office/drawing/2014/main" id="{00000000-0008-0000-0200-00000F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06" name="1202 Conector recto">
                <a:extLst>
                  <a:ext uri="{FF2B5EF4-FFF2-40B4-BE49-F238E27FC236}">
                    <a16:creationId xmlns:a16="http://schemas.microsoft.com/office/drawing/2014/main" id="{00000000-0008-0000-0200-000016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07" name="1203 Conector recto">
                <a:extLst>
                  <a:ext uri="{FF2B5EF4-FFF2-40B4-BE49-F238E27FC236}">
                    <a16:creationId xmlns:a16="http://schemas.microsoft.com/office/drawing/2014/main" id="{00000000-0008-0000-0200-000017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00" name="566 Grupo">
              <a:extLst>
                <a:ext uri="{FF2B5EF4-FFF2-40B4-BE49-F238E27FC236}">
                  <a16:creationId xmlns:a16="http://schemas.microsoft.com/office/drawing/2014/main" id="{00000000-0008-0000-0200-000010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04" name="1200 Conector recto">
                <a:extLst>
                  <a:ext uri="{FF2B5EF4-FFF2-40B4-BE49-F238E27FC236}">
                    <a16:creationId xmlns:a16="http://schemas.microsoft.com/office/drawing/2014/main" id="{00000000-0008-0000-0200-000014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05" name="1201 Conector recto">
                <a:extLst>
                  <a:ext uri="{FF2B5EF4-FFF2-40B4-BE49-F238E27FC236}">
                    <a16:creationId xmlns:a16="http://schemas.microsoft.com/office/drawing/2014/main" id="{00000000-0008-0000-0200-000015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01" name="569 Grupo">
              <a:extLst>
                <a:ext uri="{FF2B5EF4-FFF2-40B4-BE49-F238E27FC236}">
                  <a16:creationId xmlns:a16="http://schemas.microsoft.com/office/drawing/2014/main" id="{00000000-0008-0000-0200-000011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02" name="1198 Conector recto">
                <a:extLst>
                  <a:ext uri="{FF2B5EF4-FFF2-40B4-BE49-F238E27FC236}">
                    <a16:creationId xmlns:a16="http://schemas.microsoft.com/office/drawing/2014/main" id="{00000000-0008-0000-0200-000012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03" name="1199 Conector recto">
                <a:extLst>
                  <a:ext uri="{FF2B5EF4-FFF2-40B4-BE49-F238E27FC236}">
                    <a16:creationId xmlns:a16="http://schemas.microsoft.com/office/drawing/2014/main" id="{00000000-0008-0000-0200-000013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</xdr:grpSp>
    <xdr:clientData/>
  </xdr:twoCellAnchor>
  <xdr:twoCellAnchor>
    <xdr:from>
      <xdr:col>7</xdr:col>
      <xdr:colOff>152400</xdr:colOff>
      <xdr:row>2</xdr:row>
      <xdr:rowOff>76200</xdr:rowOff>
    </xdr:from>
    <xdr:to>
      <xdr:col>7</xdr:col>
      <xdr:colOff>774700</xdr:colOff>
      <xdr:row>2</xdr:row>
      <xdr:rowOff>609600</xdr:rowOff>
    </xdr:to>
    <xdr:grpSp>
      <xdr:nvGrpSpPr>
        <xdr:cNvPr id="1206624" name="1187 Grupo">
          <a:extLst>
            <a:ext uri="{FF2B5EF4-FFF2-40B4-BE49-F238E27FC236}">
              <a16:creationId xmlns:a16="http://schemas.microsoft.com/office/drawing/2014/main" id="{00000000-0008-0000-0200-000060691200}"/>
            </a:ext>
          </a:extLst>
        </xdr:cNvPr>
        <xdr:cNvGrpSpPr>
          <a:grpSpLocks/>
        </xdr:cNvGrpSpPr>
      </xdr:nvGrpSpPr>
      <xdr:grpSpPr bwMode="auto">
        <a:xfrm>
          <a:off x="7734300" y="1206500"/>
          <a:ext cx="622300" cy="533400"/>
          <a:chOff x="12578073" y="988919"/>
          <a:chExt cx="9678677" cy="8510681"/>
        </a:xfrm>
      </xdr:grpSpPr>
      <xdr:grpSp>
        <xdr:nvGrpSpPr>
          <xdr:cNvPr id="1206709" name="629 Grupo">
            <a:extLst>
              <a:ext uri="{FF2B5EF4-FFF2-40B4-BE49-F238E27FC236}">
                <a16:creationId xmlns:a16="http://schemas.microsoft.com/office/drawing/2014/main" id="{00000000-0008-0000-0200-0000B5691200}"/>
              </a:ext>
            </a:extLst>
          </xdr:cNvPr>
          <xdr:cNvGrpSpPr>
            <a:grpSpLocks/>
          </xdr:cNvGrpSpPr>
        </xdr:nvGrpSpPr>
        <xdr:grpSpPr bwMode="auto">
          <a:xfrm>
            <a:off x="12578073" y="988919"/>
            <a:ext cx="9678677" cy="8510681"/>
            <a:chOff x="12578073" y="988919"/>
            <a:chExt cx="9678677" cy="8510681"/>
          </a:xfrm>
        </xdr:grpSpPr>
        <xdr:grpSp>
          <xdr:nvGrpSpPr>
            <xdr:cNvPr id="1206775" name="410 Grupo">
              <a:extLst>
                <a:ext uri="{FF2B5EF4-FFF2-40B4-BE49-F238E27FC236}">
                  <a16:creationId xmlns:a16="http://schemas.microsoft.com/office/drawing/2014/main" id="{00000000-0008-0000-0200-0000F7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2578073" y="988919"/>
              <a:ext cx="9678677" cy="8510681"/>
              <a:chOff x="6659658" y="3011580"/>
              <a:chExt cx="3859213" cy="3443007"/>
            </a:xfrm>
          </xdr:grpSpPr>
          <xdr:grpSp>
            <xdr:nvGrpSpPr>
              <xdr:cNvPr id="1206780" name="Group 1078">
                <a:extLst>
                  <a:ext uri="{FF2B5EF4-FFF2-40B4-BE49-F238E27FC236}">
                    <a16:creationId xmlns:a16="http://schemas.microsoft.com/office/drawing/2014/main" id="{00000000-0008-0000-0200-0000FC6912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659658" y="3011580"/>
                <a:ext cx="3859213" cy="3443007"/>
                <a:chOff x="394" y="56"/>
                <a:chExt cx="121" cy="99"/>
              </a:xfrm>
            </xdr:grpSpPr>
            <xdr:sp macro="" textlink="">
              <xdr:nvSpPr>
                <xdr:cNvPr id="1206782" name="Rectangle 1079">
                  <a:extLst>
                    <a:ext uri="{FF2B5EF4-FFF2-40B4-BE49-F238E27FC236}">
                      <a16:creationId xmlns:a16="http://schemas.microsoft.com/office/drawing/2014/main" id="{00000000-0008-0000-0200-0000FE69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4" y="56"/>
                  <a:ext cx="121" cy="99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783" name="Rectangle 1080">
                  <a:extLst>
                    <a:ext uri="{FF2B5EF4-FFF2-40B4-BE49-F238E27FC236}">
                      <a16:creationId xmlns:a16="http://schemas.microsoft.com/office/drawing/2014/main" id="{00000000-0008-0000-0200-0000FF69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784" name="Rectangle 1081">
                  <a:extLst>
                    <a:ext uri="{FF2B5EF4-FFF2-40B4-BE49-F238E27FC236}">
                      <a16:creationId xmlns:a16="http://schemas.microsoft.com/office/drawing/2014/main" id="{00000000-0008-0000-0200-000000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785" name="Rectangle 1082">
                  <a:extLst>
                    <a:ext uri="{FF2B5EF4-FFF2-40B4-BE49-F238E27FC236}">
                      <a16:creationId xmlns:a16="http://schemas.microsoft.com/office/drawing/2014/main" id="{00000000-0008-0000-0200-000001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21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786" name="Rectangle 1083">
                  <a:extLst>
                    <a:ext uri="{FF2B5EF4-FFF2-40B4-BE49-F238E27FC236}">
                      <a16:creationId xmlns:a16="http://schemas.microsoft.com/office/drawing/2014/main" id="{00000000-0008-0000-0200-000002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45" y="59"/>
                  <a:ext cx="23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787" name="Rectangle 1086">
                  <a:extLst>
                    <a:ext uri="{FF2B5EF4-FFF2-40B4-BE49-F238E27FC236}">
                      <a16:creationId xmlns:a16="http://schemas.microsoft.com/office/drawing/2014/main" id="{00000000-0008-0000-0200-000003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788" name="Rectangle 1087">
                  <a:extLst>
                    <a:ext uri="{FF2B5EF4-FFF2-40B4-BE49-F238E27FC236}">
                      <a16:creationId xmlns:a16="http://schemas.microsoft.com/office/drawing/2014/main" id="{00000000-0008-0000-0200-000004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137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789" name="Rectangle 1088">
                  <a:extLst>
                    <a:ext uri="{FF2B5EF4-FFF2-40B4-BE49-F238E27FC236}">
                      <a16:creationId xmlns:a16="http://schemas.microsoft.com/office/drawing/2014/main" id="{00000000-0008-0000-0200-000005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75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790" name="Rectangle 1089">
                  <a:extLst>
                    <a:ext uri="{FF2B5EF4-FFF2-40B4-BE49-F238E27FC236}">
                      <a16:creationId xmlns:a16="http://schemas.microsoft.com/office/drawing/2014/main" id="{00000000-0008-0000-0200-000006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91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791" name="Rectangle 1093">
                  <a:extLst>
                    <a:ext uri="{FF2B5EF4-FFF2-40B4-BE49-F238E27FC236}">
                      <a16:creationId xmlns:a16="http://schemas.microsoft.com/office/drawing/2014/main" id="{00000000-0008-0000-0200-000007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91" y="59"/>
                  <a:ext cx="21" cy="94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</xdr:grpSp>
          <xdr:sp macro="" textlink="">
            <xdr:nvSpPr>
              <xdr:cNvPr id="1206781" name="Rectangle 1087">
                <a:extLst>
                  <a:ext uri="{FF2B5EF4-FFF2-40B4-BE49-F238E27FC236}">
                    <a16:creationId xmlns:a16="http://schemas.microsoft.com/office/drawing/2014/main" id="{00000000-0008-0000-0200-0000FD69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754555" y="5297606"/>
                <a:ext cx="3672128" cy="527247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</xdr:grpSp>
        <xdr:sp macro="" textlink="">
          <xdr:nvSpPr>
            <xdr:cNvPr id="1206776" name="Rectangle 1082">
              <a:extLst>
                <a:ext uri="{FF2B5EF4-FFF2-40B4-BE49-F238E27FC236}">
                  <a16:creationId xmlns:a16="http://schemas.microsoft.com/office/drawing/2014/main" id="{00000000-0008-0000-0200-0000F86912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4603186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6777" name="Rectangle 1082">
              <a:extLst>
                <a:ext uri="{FF2B5EF4-FFF2-40B4-BE49-F238E27FC236}">
                  <a16:creationId xmlns:a16="http://schemas.microsoft.com/office/drawing/2014/main" id="{00000000-0008-0000-0200-0000F96912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6535400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6778" name="Rectangle 1082">
              <a:extLst>
                <a:ext uri="{FF2B5EF4-FFF2-40B4-BE49-F238E27FC236}">
                  <a16:creationId xmlns:a16="http://schemas.microsoft.com/office/drawing/2014/main" id="{00000000-0008-0000-0200-0000FA6912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8356943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6779" name="Rectangle 1082">
              <a:extLst>
                <a:ext uri="{FF2B5EF4-FFF2-40B4-BE49-F238E27FC236}">
                  <a16:creationId xmlns:a16="http://schemas.microsoft.com/office/drawing/2014/main" id="{00000000-0008-0000-0200-0000FB6912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20212957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06710" name="572 Grupo">
            <a:extLst>
              <a:ext uri="{FF2B5EF4-FFF2-40B4-BE49-F238E27FC236}">
                <a16:creationId xmlns:a16="http://schemas.microsoft.com/office/drawing/2014/main" id="{00000000-0008-0000-0200-0000B6691200}"/>
              </a:ext>
            </a:extLst>
          </xdr:cNvPr>
          <xdr:cNvGrpSpPr>
            <a:grpSpLocks/>
          </xdr:cNvGrpSpPr>
        </xdr:nvGrpSpPr>
        <xdr:grpSpPr bwMode="auto">
          <a:xfrm>
            <a:off x="14588193" y="5241471"/>
            <a:ext cx="5901863" cy="266248"/>
            <a:chOff x="14424932" y="5391150"/>
            <a:chExt cx="5829300" cy="270783"/>
          </a:xfrm>
        </xdr:grpSpPr>
        <xdr:grpSp>
          <xdr:nvGrpSpPr>
            <xdr:cNvPr id="1206763" name="562 Grupo">
              <a:extLst>
                <a:ext uri="{FF2B5EF4-FFF2-40B4-BE49-F238E27FC236}">
                  <a16:creationId xmlns:a16="http://schemas.microsoft.com/office/drawing/2014/main" id="{00000000-0008-0000-0200-0000EB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73" name="1252 Conector recto">
                <a:extLst>
                  <a:ext uri="{FF2B5EF4-FFF2-40B4-BE49-F238E27FC236}">
                    <a16:creationId xmlns:a16="http://schemas.microsoft.com/office/drawing/2014/main" id="{00000000-0008-0000-0200-0000F5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74" name="1253 Conector recto">
                <a:extLst>
                  <a:ext uri="{FF2B5EF4-FFF2-40B4-BE49-F238E27FC236}">
                    <a16:creationId xmlns:a16="http://schemas.microsoft.com/office/drawing/2014/main" id="{00000000-0008-0000-0200-0000F6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764" name="563 Grupo">
              <a:extLst>
                <a:ext uri="{FF2B5EF4-FFF2-40B4-BE49-F238E27FC236}">
                  <a16:creationId xmlns:a16="http://schemas.microsoft.com/office/drawing/2014/main" id="{00000000-0008-0000-0200-0000EC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71" name="1250 Conector recto">
                <a:extLst>
                  <a:ext uri="{FF2B5EF4-FFF2-40B4-BE49-F238E27FC236}">
                    <a16:creationId xmlns:a16="http://schemas.microsoft.com/office/drawing/2014/main" id="{00000000-0008-0000-0200-0000F3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72" name="1251 Conector recto">
                <a:extLst>
                  <a:ext uri="{FF2B5EF4-FFF2-40B4-BE49-F238E27FC236}">
                    <a16:creationId xmlns:a16="http://schemas.microsoft.com/office/drawing/2014/main" id="{00000000-0008-0000-0200-0000F4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765" name="566 Grupo">
              <a:extLst>
                <a:ext uri="{FF2B5EF4-FFF2-40B4-BE49-F238E27FC236}">
                  <a16:creationId xmlns:a16="http://schemas.microsoft.com/office/drawing/2014/main" id="{00000000-0008-0000-0200-0000ED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69" name="1248 Conector recto">
                <a:extLst>
                  <a:ext uri="{FF2B5EF4-FFF2-40B4-BE49-F238E27FC236}">
                    <a16:creationId xmlns:a16="http://schemas.microsoft.com/office/drawing/2014/main" id="{00000000-0008-0000-0200-0000F1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70" name="1249 Conector recto">
                <a:extLst>
                  <a:ext uri="{FF2B5EF4-FFF2-40B4-BE49-F238E27FC236}">
                    <a16:creationId xmlns:a16="http://schemas.microsoft.com/office/drawing/2014/main" id="{00000000-0008-0000-0200-0000F2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766" name="569 Grupo">
              <a:extLst>
                <a:ext uri="{FF2B5EF4-FFF2-40B4-BE49-F238E27FC236}">
                  <a16:creationId xmlns:a16="http://schemas.microsoft.com/office/drawing/2014/main" id="{00000000-0008-0000-0200-0000EE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67" name="1246 Conector recto">
                <a:extLst>
                  <a:ext uri="{FF2B5EF4-FFF2-40B4-BE49-F238E27FC236}">
                    <a16:creationId xmlns:a16="http://schemas.microsoft.com/office/drawing/2014/main" id="{00000000-0008-0000-0200-0000EF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68" name="1247 Conector recto">
                <a:extLst>
                  <a:ext uri="{FF2B5EF4-FFF2-40B4-BE49-F238E27FC236}">
                    <a16:creationId xmlns:a16="http://schemas.microsoft.com/office/drawing/2014/main" id="{00000000-0008-0000-0200-0000F0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206711" name="573 Grupo">
            <a:extLst>
              <a:ext uri="{FF2B5EF4-FFF2-40B4-BE49-F238E27FC236}">
                <a16:creationId xmlns:a16="http://schemas.microsoft.com/office/drawing/2014/main" id="{00000000-0008-0000-0200-0000B7691200}"/>
              </a:ext>
            </a:extLst>
          </xdr:cNvPr>
          <xdr:cNvGrpSpPr>
            <a:grpSpLocks/>
          </xdr:cNvGrpSpPr>
        </xdr:nvGrpSpPr>
        <xdr:grpSpPr bwMode="auto">
          <a:xfrm>
            <a:off x="14590915" y="6505000"/>
            <a:ext cx="5901863" cy="261706"/>
            <a:chOff x="14424932" y="5391150"/>
            <a:chExt cx="5829300" cy="270783"/>
          </a:xfrm>
        </xdr:grpSpPr>
        <xdr:grpSp>
          <xdr:nvGrpSpPr>
            <xdr:cNvPr id="1206751" name="562 Grupo">
              <a:extLst>
                <a:ext uri="{FF2B5EF4-FFF2-40B4-BE49-F238E27FC236}">
                  <a16:creationId xmlns:a16="http://schemas.microsoft.com/office/drawing/2014/main" id="{00000000-0008-0000-0200-0000DF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61" name="1240 Conector recto">
                <a:extLst>
                  <a:ext uri="{FF2B5EF4-FFF2-40B4-BE49-F238E27FC236}">
                    <a16:creationId xmlns:a16="http://schemas.microsoft.com/office/drawing/2014/main" id="{00000000-0008-0000-0200-0000E9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62" name="1241 Conector recto">
                <a:extLst>
                  <a:ext uri="{FF2B5EF4-FFF2-40B4-BE49-F238E27FC236}">
                    <a16:creationId xmlns:a16="http://schemas.microsoft.com/office/drawing/2014/main" id="{00000000-0008-0000-0200-0000EA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752" name="563 Grupo">
              <a:extLst>
                <a:ext uri="{FF2B5EF4-FFF2-40B4-BE49-F238E27FC236}">
                  <a16:creationId xmlns:a16="http://schemas.microsoft.com/office/drawing/2014/main" id="{00000000-0008-0000-0200-0000E0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59" name="1238 Conector recto">
                <a:extLst>
                  <a:ext uri="{FF2B5EF4-FFF2-40B4-BE49-F238E27FC236}">
                    <a16:creationId xmlns:a16="http://schemas.microsoft.com/office/drawing/2014/main" id="{00000000-0008-0000-0200-0000E7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60" name="1239 Conector recto">
                <a:extLst>
                  <a:ext uri="{FF2B5EF4-FFF2-40B4-BE49-F238E27FC236}">
                    <a16:creationId xmlns:a16="http://schemas.microsoft.com/office/drawing/2014/main" id="{00000000-0008-0000-0200-0000E8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753" name="566 Grupo">
              <a:extLst>
                <a:ext uri="{FF2B5EF4-FFF2-40B4-BE49-F238E27FC236}">
                  <a16:creationId xmlns:a16="http://schemas.microsoft.com/office/drawing/2014/main" id="{00000000-0008-0000-0200-0000E1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57" name="1236 Conector recto">
                <a:extLst>
                  <a:ext uri="{FF2B5EF4-FFF2-40B4-BE49-F238E27FC236}">
                    <a16:creationId xmlns:a16="http://schemas.microsoft.com/office/drawing/2014/main" id="{00000000-0008-0000-0200-0000E5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58" name="1237 Conector recto">
                <a:extLst>
                  <a:ext uri="{FF2B5EF4-FFF2-40B4-BE49-F238E27FC236}">
                    <a16:creationId xmlns:a16="http://schemas.microsoft.com/office/drawing/2014/main" id="{00000000-0008-0000-0200-0000E6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754" name="569 Grupo">
              <a:extLst>
                <a:ext uri="{FF2B5EF4-FFF2-40B4-BE49-F238E27FC236}">
                  <a16:creationId xmlns:a16="http://schemas.microsoft.com/office/drawing/2014/main" id="{00000000-0008-0000-0200-0000E2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55" name="1234 Conector recto">
                <a:extLst>
                  <a:ext uri="{FF2B5EF4-FFF2-40B4-BE49-F238E27FC236}">
                    <a16:creationId xmlns:a16="http://schemas.microsoft.com/office/drawing/2014/main" id="{00000000-0008-0000-0200-0000E3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56" name="1235 Conector recto">
                <a:extLst>
                  <a:ext uri="{FF2B5EF4-FFF2-40B4-BE49-F238E27FC236}">
                    <a16:creationId xmlns:a16="http://schemas.microsoft.com/office/drawing/2014/main" id="{00000000-0008-0000-0200-0000E4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206712" name="586 Grupo">
            <a:extLst>
              <a:ext uri="{FF2B5EF4-FFF2-40B4-BE49-F238E27FC236}">
                <a16:creationId xmlns:a16="http://schemas.microsoft.com/office/drawing/2014/main" id="{00000000-0008-0000-0200-0000B8691200}"/>
              </a:ext>
            </a:extLst>
          </xdr:cNvPr>
          <xdr:cNvGrpSpPr>
            <a:grpSpLocks/>
          </xdr:cNvGrpSpPr>
        </xdr:nvGrpSpPr>
        <xdr:grpSpPr bwMode="auto">
          <a:xfrm>
            <a:off x="14586833" y="3865670"/>
            <a:ext cx="5901863" cy="261705"/>
            <a:chOff x="14424932" y="5391150"/>
            <a:chExt cx="5829300" cy="270783"/>
          </a:xfrm>
        </xdr:grpSpPr>
        <xdr:grpSp>
          <xdr:nvGrpSpPr>
            <xdr:cNvPr id="1206739" name="562 Grupo">
              <a:extLst>
                <a:ext uri="{FF2B5EF4-FFF2-40B4-BE49-F238E27FC236}">
                  <a16:creationId xmlns:a16="http://schemas.microsoft.com/office/drawing/2014/main" id="{00000000-0008-0000-0200-0000D3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49" name="1228 Conector recto">
                <a:extLst>
                  <a:ext uri="{FF2B5EF4-FFF2-40B4-BE49-F238E27FC236}">
                    <a16:creationId xmlns:a16="http://schemas.microsoft.com/office/drawing/2014/main" id="{00000000-0008-0000-0200-0000DD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50" name="1229 Conector recto">
                <a:extLst>
                  <a:ext uri="{FF2B5EF4-FFF2-40B4-BE49-F238E27FC236}">
                    <a16:creationId xmlns:a16="http://schemas.microsoft.com/office/drawing/2014/main" id="{00000000-0008-0000-0200-0000DE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740" name="563 Grupo">
              <a:extLst>
                <a:ext uri="{FF2B5EF4-FFF2-40B4-BE49-F238E27FC236}">
                  <a16:creationId xmlns:a16="http://schemas.microsoft.com/office/drawing/2014/main" id="{00000000-0008-0000-0200-0000D4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47" name="1226 Conector recto">
                <a:extLst>
                  <a:ext uri="{FF2B5EF4-FFF2-40B4-BE49-F238E27FC236}">
                    <a16:creationId xmlns:a16="http://schemas.microsoft.com/office/drawing/2014/main" id="{00000000-0008-0000-0200-0000DB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48" name="1227 Conector recto">
                <a:extLst>
                  <a:ext uri="{FF2B5EF4-FFF2-40B4-BE49-F238E27FC236}">
                    <a16:creationId xmlns:a16="http://schemas.microsoft.com/office/drawing/2014/main" id="{00000000-0008-0000-0200-0000DC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741" name="566 Grupo">
              <a:extLst>
                <a:ext uri="{FF2B5EF4-FFF2-40B4-BE49-F238E27FC236}">
                  <a16:creationId xmlns:a16="http://schemas.microsoft.com/office/drawing/2014/main" id="{00000000-0008-0000-0200-0000D5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45" name="1224 Conector recto">
                <a:extLst>
                  <a:ext uri="{FF2B5EF4-FFF2-40B4-BE49-F238E27FC236}">
                    <a16:creationId xmlns:a16="http://schemas.microsoft.com/office/drawing/2014/main" id="{00000000-0008-0000-0200-0000D9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46" name="1225 Conector recto">
                <a:extLst>
                  <a:ext uri="{FF2B5EF4-FFF2-40B4-BE49-F238E27FC236}">
                    <a16:creationId xmlns:a16="http://schemas.microsoft.com/office/drawing/2014/main" id="{00000000-0008-0000-0200-0000DA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742" name="569 Grupo">
              <a:extLst>
                <a:ext uri="{FF2B5EF4-FFF2-40B4-BE49-F238E27FC236}">
                  <a16:creationId xmlns:a16="http://schemas.microsoft.com/office/drawing/2014/main" id="{00000000-0008-0000-0200-0000D6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43" name="1222 Conector recto">
                <a:extLst>
                  <a:ext uri="{FF2B5EF4-FFF2-40B4-BE49-F238E27FC236}">
                    <a16:creationId xmlns:a16="http://schemas.microsoft.com/office/drawing/2014/main" id="{00000000-0008-0000-0200-0000D7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44" name="1223 Conector recto">
                <a:extLst>
                  <a:ext uri="{FF2B5EF4-FFF2-40B4-BE49-F238E27FC236}">
                    <a16:creationId xmlns:a16="http://schemas.microsoft.com/office/drawing/2014/main" id="{00000000-0008-0000-0200-0000D8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206713" name="599 Grupo">
            <a:extLst>
              <a:ext uri="{FF2B5EF4-FFF2-40B4-BE49-F238E27FC236}">
                <a16:creationId xmlns:a16="http://schemas.microsoft.com/office/drawing/2014/main" id="{00000000-0008-0000-0200-0000B9691200}"/>
              </a:ext>
            </a:extLst>
          </xdr:cNvPr>
          <xdr:cNvGrpSpPr>
            <a:grpSpLocks/>
          </xdr:cNvGrpSpPr>
        </xdr:nvGrpSpPr>
        <xdr:grpSpPr bwMode="auto">
          <a:xfrm>
            <a:off x="14596358" y="2494069"/>
            <a:ext cx="5901863" cy="261706"/>
            <a:chOff x="14424932" y="5391150"/>
            <a:chExt cx="5829300" cy="270783"/>
          </a:xfrm>
        </xdr:grpSpPr>
        <xdr:grpSp>
          <xdr:nvGrpSpPr>
            <xdr:cNvPr id="1206727" name="562 Grupo">
              <a:extLst>
                <a:ext uri="{FF2B5EF4-FFF2-40B4-BE49-F238E27FC236}">
                  <a16:creationId xmlns:a16="http://schemas.microsoft.com/office/drawing/2014/main" id="{00000000-0008-0000-0200-0000C7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37" name="1216 Conector recto">
                <a:extLst>
                  <a:ext uri="{FF2B5EF4-FFF2-40B4-BE49-F238E27FC236}">
                    <a16:creationId xmlns:a16="http://schemas.microsoft.com/office/drawing/2014/main" id="{00000000-0008-0000-0200-0000D1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38" name="1217 Conector recto">
                <a:extLst>
                  <a:ext uri="{FF2B5EF4-FFF2-40B4-BE49-F238E27FC236}">
                    <a16:creationId xmlns:a16="http://schemas.microsoft.com/office/drawing/2014/main" id="{00000000-0008-0000-0200-0000D2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728" name="563 Grupo">
              <a:extLst>
                <a:ext uri="{FF2B5EF4-FFF2-40B4-BE49-F238E27FC236}">
                  <a16:creationId xmlns:a16="http://schemas.microsoft.com/office/drawing/2014/main" id="{00000000-0008-0000-0200-0000C8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35" name="1214 Conector recto">
                <a:extLst>
                  <a:ext uri="{FF2B5EF4-FFF2-40B4-BE49-F238E27FC236}">
                    <a16:creationId xmlns:a16="http://schemas.microsoft.com/office/drawing/2014/main" id="{00000000-0008-0000-0200-0000CF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36" name="1215 Conector recto">
                <a:extLst>
                  <a:ext uri="{FF2B5EF4-FFF2-40B4-BE49-F238E27FC236}">
                    <a16:creationId xmlns:a16="http://schemas.microsoft.com/office/drawing/2014/main" id="{00000000-0008-0000-0200-0000D0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729" name="566 Grupo">
              <a:extLst>
                <a:ext uri="{FF2B5EF4-FFF2-40B4-BE49-F238E27FC236}">
                  <a16:creationId xmlns:a16="http://schemas.microsoft.com/office/drawing/2014/main" id="{00000000-0008-0000-0200-0000C9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33" name="1212 Conector recto">
                <a:extLst>
                  <a:ext uri="{FF2B5EF4-FFF2-40B4-BE49-F238E27FC236}">
                    <a16:creationId xmlns:a16="http://schemas.microsoft.com/office/drawing/2014/main" id="{00000000-0008-0000-0200-0000CD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34" name="1213 Conector recto">
                <a:extLst>
                  <a:ext uri="{FF2B5EF4-FFF2-40B4-BE49-F238E27FC236}">
                    <a16:creationId xmlns:a16="http://schemas.microsoft.com/office/drawing/2014/main" id="{00000000-0008-0000-0200-0000CE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730" name="569 Grupo">
              <a:extLst>
                <a:ext uri="{FF2B5EF4-FFF2-40B4-BE49-F238E27FC236}">
                  <a16:creationId xmlns:a16="http://schemas.microsoft.com/office/drawing/2014/main" id="{00000000-0008-0000-0200-0000CA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31" name="1210 Conector recto">
                <a:extLst>
                  <a:ext uri="{FF2B5EF4-FFF2-40B4-BE49-F238E27FC236}">
                    <a16:creationId xmlns:a16="http://schemas.microsoft.com/office/drawing/2014/main" id="{00000000-0008-0000-0200-0000CB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32" name="1211 Conector recto">
                <a:extLst>
                  <a:ext uri="{FF2B5EF4-FFF2-40B4-BE49-F238E27FC236}">
                    <a16:creationId xmlns:a16="http://schemas.microsoft.com/office/drawing/2014/main" id="{00000000-0008-0000-0200-0000CC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206714" name="612 Grupo">
            <a:extLst>
              <a:ext uri="{FF2B5EF4-FFF2-40B4-BE49-F238E27FC236}">
                <a16:creationId xmlns:a16="http://schemas.microsoft.com/office/drawing/2014/main" id="{00000000-0008-0000-0200-0000BA691200}"/>
              </a:ext>
            </a:extLst>
          </xdr:cNvPr>
          <xdr:cNvGrpSpPr>
            <a:grpSpLocks/>
          </xdr:cNvGrpSpPr>
        </xdr:nvGrpSpPr>
        <xdr:grpSpPr bwMode="auto">
          <a:xfrm>
            <a:off x="14585472" y="7805965"/>
            <a:ext cx="5901863" cy="266247"/>
            <a:chOff x="14424932" y="5391150"/>
            <a:chExt cx="5829300" cy="270783"/>
          </a:xfrm>
        </xdr:grpSpPr>
        <xdr:grpSp>
          <xdr:nvGrpSpPr>
            <xdr:cNvPr id="1206715" name="562 Grupo">
              <a:extLst>
                <a:ext uri="{FF2B5EF4-FFF2-40B4-BE49-F238E27FC236}">
                  <a16:creationId xmlns:a16="http://schemas.microsoft.com/office/drawing/2014/main" id="{00000000-0008-0000-0200-0000BB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25" name="1204 Conector recto">
                <a:extLst>
                  <a:ext uri="{FF2B5EF4-FFF2-40B4-BE49-F238E27FC236}">
                    <a16:creationId xmlns:a16="http://schemas.microsoft.com/office/drawing/2014/main" id="{00000000-0008-0000-0200-0000C5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26" name="1205 Conector recto">
                <a:extLst>
                  <a:ext uri="{FF2B5EF4-FFF2-40B4-BE49-F238E27FC236}">
                    <a16:creationId xmlns:a16="http://schemas.microsoft.com/office/drawing/2014/main" id="{00000000-0008-0000-0200-0000C6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716" name="563 Grupo">
              <a:extLst>
                <a:ext uri="{FF2B5EF4-FFF2-40B4-BE49-F238E27FC236}">
                  <a16:creationId xmlns:a16="http://schemas.microsoft.com/office/drawing/2014/main" id="{00000000-0008-0000-0200-0000BC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23" name="1202 Conector recto">
                <a:extLst>
                  <a:ext uri="{FF2B5EF4-FFF2-40B4-BE49-F238E27FC236}">
                    <a16:creationId xmlns:a16="http://schemas.microsoft.com/office/drawing/2014/main" id="{00000000-0008-0000-0200-0000C3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24" name="1203 Conector recto">
                <a:extLst>
                  <a:ext uri="{FF2B5EF4-FFF2-40B4-BE49-F238E27FC236}">
                    <a16:creationId xmlns:a16="http://schemas.microsoft.com/office/drawing/2014/main" id="{00000000-0008-0000-0200-0000C4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717" name="566 Grupo">
              <a:extLst>
                <a:ext uri="{FF2B5EF4-FFF2-40B4-BE49-F238E27FC236}">
                  <a16:creationId xmlns:a16="http://schemas.microsoft.com/office/drawing/2014/main" id="{00000000-0008-0000-0200-0000BD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21" name="1200 Conector recto">
                <a:extLst>
                  <a:ext uri="{FF2B5EF4-FFF2-40B4-BE49-F238E27FC236}">
                    <a16:creationId xmlns:a16="http://schemas.microsoft.com/office/drawing/2014/main" id="{00000000-0008-0000-0200-0000C1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22" name="1201 Conector recto">
                <a:extLst>
                  <a:ext uri="{FF2B5EF4-FFF2-40B4-BE49-F238E27FC236}">
                    <a16:creationId xmlns:a16="http://schemas.microsoft.com/office/drawing/2014/main" id="{00000000-0008-0000-0200-0000C2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718" name="569 Grupo">
              <a:extLst>
                <a:ext uri="{FF2B5EF4-FFF2-40B4-BE49-F238E27FC236}">
                  <a16:creationId xmlns:a16="http://schemas.microsoft.com/office/drawing/2014/main" id="{00000000-0008-0000-0200-0000BE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19" name="1198 Conector recto">
                <a:extLst>
                  <a:ext uri="{FF2B5EF4-FFF2-40B4-BE49-F238E27FC236}">
                    <a16:creationId xmlns:a16="http://schemas.microsoft.com/office/drawing/2014/main" id="{00000000-0008-0000-0200-0000BF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20" name="1199 Conector recto">
                <a:extLst>
                  <a:ext uri="{FF2B5EF4-FFF2-40B4-BE49-F238E27FC236}">
                    <a16:creationId xmlns:a16="http://schemas.microsoft.com/office/drawing/2014/main" id="{00000000-0008-0000-0200-0000C0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</xdr:grpSp>
    <xdr:clientData/>
  </xdr:twoCellAnchor>
  <xdr:twoCellAnchor>
    <xdr:from>
      <xdr:col>8</xdr:col>
      <xdr:colOff>152400</xdr:colOff>
      <xdr:row>2</xdr:row>
      <xdr:rowOff>76200</xdr:rowOff>
    </xdr:from>
    <xdr:to>
      <xdr:col>8</xdr:col>
      <xdr:colOff>774700</xdr:colOff>
      <xdr:row>2</xdr:row>
      <xdr:rowOff>609600</xdr:rowOff>
    </xdr:to>
    <xdr:grpSp>
      <xdr:nvGrpSpPr>
        <xdr:cNvPr id="1206625" name="1187 Grupo">
          <a:extLst>
            <a:ext uri="{FF2B5EF4-FFF2-40B4-BE49-F238E27FC236}">
              <a16:creationId xmlns:a16="http://schemas.microsoft.com/office/drawing/2014/main" id="{00000000-0008-0000-0200-000061691200}"/>
            </a:ext>
          </a:extLst>
        </xdr:cNvPr>
        <xdr:cNvGrpSpPr>
          <a:grpSpLocks/>
        </xdr:cNvGrpSpPr>
      </xdr:nvGrpSpPr>
      <xdr:grpSpPr bwMode="auto">
        <a:xfrm>
          <a:off x="8585200" y="1206500"/>
          <a:ext cx="622300" cy="533400"/>
          <a:chOff x="12578073" y="988919"/>
          <a:chExt cx="9678677" cy="8510681"/>
        </a:xfrm>
      </xdr:grpSpPr>
      <xdr:grpSp>
        <xdr:nvGrpSpPr>
          <xdr:cNvPr id="1206626" name="629 Grupo">
            <a:extLst>
              <a:ext uri="{FF2B5EF4-FFF2-40B4-BE49-F238E27FC236}">
                <a16:creationId xmlns:a16="http://schemas.microsoft.com/office/drawing/2014/main" id="{00000000-0008-0000-0200-000062691200}"/>
              </a:ext>
            </a:extLst>
          </xdr:cNvPr>
          <xdr:cNvGrpSpPr>
            <a:grpSpLocks/>
          </xdr:cNvGrpSpPr>
        </xdr:nvGrpSpPr>
        <xdr:grpSpPr bwMode="auto">
          <a:xfrm>
            <a:off x="12578073" y="988919"/>
            <a:ext cx="9678677" cy="8510681"/>
            <a:chOff x="12578073" y="988919"/>
            <a:chExt cx="9678677" cy="8510681"/>
          </a:xfrm>
        </xdr:grpSpPr>
        <xdr:grpSp>
          <xdr:nvGrpSpPr>
            <xdr:cNvPr id="1206692" name="410 Grupo">
              <a:extLst>
                <a:ext uri="{FF2B5EF4-FFF2-40B4-BE49-F238E27FC236}">
                  <a16:creationId xmlns:a16="http://schemas.microsoft.com/office/drawing/2014/main" id="{00000000-0008-0000-0200-0000A4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2578073" y="988919"/>
              <a:ext cx="9678677" cy="8510681"/>
              <a:chOff x="6659658" y="3011580"/>
              <a:chExt cx="3859213" cy="3443007"/>
            </a:xfrm>
          </xdr:grpSpPr>
          <xdr:grpSp>
            <xdr:nvGrpSpPr>
              <xdr:cNvPr id="1206697" name="Group 1078">
                <a:extLst>
                  <a:ext uri="{FF2B5EF4-FFF2-40B4-BE49-F238E27FC236}">
                    <a16:creationId xmlns:a16="http://schemas.microsoft.com/office/drawing/2014/main" id="{00000000-0008-0000-0200-0000A96912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659658" y="3011580"/>
                <a:ext cx="3859213" cy="3443007"/>
                <a:chOff x="394" y="56"/>
                <a:chExt cx="121" cy="99"/>
              </a:xfrm>
            </xdr:grpSpPr>
            <xdr:sp macro="" textlink="">
              <xdr:nvSpPr>
                <xdr:cNvPr id="1206699" name="Rectangle 1079">
                  <a:extLst>
                    <a:ext uri="{FF2B5EF4-FFF2-40B4-BE49-F238E27FC236}">
                      <a16:creationId xmlns:a16="http://schemas.microsoft.com/office/drawing/2014/main" id="{00000000-0008-0000-0200-0000AB69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4" y="56"/>
                  <a:ext cx="121" cy="99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700" name="Rectangle 1080">
                  <a:extLst>
                    <a:ext uri="{FF2B5EF4-FFF2-40B4-BE49-F238E27FC236}">
                      <a16:creationId xmlns:a16="http://schemas.microsoft.com/office/drawing/2014/main" id="{00000000-0008-0000-0200-0000AC69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701" name="Rectangle 1081">
                  <a:extLst>
                    <a:ext uri="{FF2B5EF4-FFF2-40B4-BE49-F238E27FC236}">
                      <a16:creationId xmlns:a16="http://schemas.microsoft.com/office/drawing/2014/main" id="{00000000-0008-0000-0200-0000AD69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702" name="Rectangle 1082">
                  <a:extLst>
                    <a:ext uri="{FF2B5EF4-FFF2-40B4-BE49-F238E27FC236}">
                      <a16:creationId xmlns:a16="http://schemas.microsoft.com/office/drawing/2014/main" id="{00000000-0008-0000-0200-0000AE69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21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703" name="Rectangle 1083">
                  <a:extLst>
                    <a:ext uri="{FF2B5EF4-FFF2-40B4-BE49-F238E27FC236}">
                      <a16:creationId xmlns:a16="http://schemas.microsoft.com/office/drawing/2014/main" id="{00000000-0008-0000-0200-0000AF69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45" y="59"/>
                  <a:ext cx="23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704" name="Rectangle 1086">
                  <a:extLst>
                    <a:ext uri="{FF2B5EF4-FFF2-40B4-BE49-F238E27FC236}">
                      <a16:creationId xmlns:a16="http://schemas.microsoft.com/office/drawing/2014/main" id="{00000000-0008-0000-0200-0000B069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705" name="Rectangle 1087">
                  <a:extLst>
                    <a:ext uri="{FF2B5EF4-FFF2-40B4-BE49-F238E27FC236}">
                      <a16:creationId xmlns:a16="http://schemas.microsoft.com/office/drawing/2014/main" id="{00000000-0008-0000-0200-0000B169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137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706" name="Rectangle 1088">
                  <a:extLst>
                    <a:ext uri="{FF2B5EF4-FFF2-40B4-BE49-F238E27FC236}">
                      <a16:creationId xmlns:a16="http://schemas.microsoft.com/office/drawing/2014/main" id="{00000000-0008-0000-0200-0000B269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75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707" name="Rectangle 1089">
                  <a:extLst>
                    <a:ext uri="{FF2B5EF4-FFF2-40B4-BE49-F238E27FC236}">
                      <a16:creationId xmlns:a16="http://schemas.microsoft.com/office/drawing/2014/main" id="{00000000-0008-0000-0200-0000B369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91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708" name="Rectangle 1093">
                  <a:extLst>
                    <a:ext uri="{FF2B5EF4-FFF2-40B4-BE49-F238E27FC236}">
                      <a16:creationId xmlns:a16="http://schemas.microsoft.com/office/drawing/2014/main" id="{00000000-0008-0000-0200-0000B469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91" y="59"/>
                  <a:ext cx="21" cy="94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</xdr:grpSp>
          <xdr:sp macro="" textlink="">
            <xdr:nvSpPr>
              <xdr:cNvPr id="1206698" name="Rectangle 1087">
                <a:extLst>
                  <a:ext uri="{FF2B5EF4-FFF2-40B4-BE49-F238E27FC236}">
                    <a16:creationId xmlns:a16="http://schemas.microsoft.com/office/drawing/2014/main" id="{00000000-0008-0000-0200-0000AA69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754555" y="5297606"/>
                <a:ext cx="3672128" cy="527247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</xdr:grpSp>
        <xdr:sp macro="" textlink="">
          <xdr:nvSpPr>
            <xdr:cNvPr id="1206693" name="Rectangle 1082">
              <a:extLst>
                <a:ext uri="{FF2B5EF4-FFF2-40B4-BE49-F238E27FC236}">
                  <a16:creationId xmlns:a16="http://schemas.microsoft.com/office/drawing/2014/main" id="{00000000-0008-0000-0200-0000A56912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4603186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6694" name="Rectangle 1082">
              <a:extLst>
                <a:ext uri="{FF2B5EF4-FFF2-40B4-BE49-F238E27FC236}">
                  <a16:creationId xmlns:a16="http://schemas.microsoft.com/office/drawing/2014/main" id="{00000000-0008-0000-0200-0000A66912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6535400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6695" name="Rectangle 1082">
              <a:extLst>
                <a:ext uri="{FF2B5EF4-FFF2-40B4-BE49-F238E27FC236}">
                  <a16:creationId xmlns:a16="http://schemas.microsoft.com/office/drawing/2014/main" id="{00000000-0008-0000-0200-0000A76912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8356943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6696" name="Rectangle 1082">
              <a:extLst>
                <a:ext uri="{FF2B5EF4-FFF2-40B4-BE49-F238E27FC236}">
                  <a16:creationId xmlns:a16="http://schemas.microsoft.com/office/drawing/2014/main" id="{00000000-0008-0000-0200-0000A86912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20212957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06627" name="572 Grupo">
            <a:extLst>
              <a:ext uri="{FF2B5EF4-FFF2-40B4-BE49-F238E27FC236}">
                <a16:creationId xmlns:a16="http://schemas.microsoft.com/office/drawing/2014/main" id="{00000000-0008-0000-0200-000063691200}"/>
              </a:ext>
            </a:extLst>
          </xdr:cNvPr>
          <xdr:cNvGrpSpPr>
            <a:grpSpLocks/>
          </xdr:cNvGrpSpPr>
        </xdr:nvGrpSpPr>
        <xdr:grpSpPr bwMode="auto">
          <a:xfrm>
            <a:off x="14588193" y="5241471"/>
            <a:ext cx="5901863" cy="266248"/>
            <a:chOff x="14424932" y="5391150"/>
            <a:chExt cx="5829300" cy="270783"/>
          </a:xfrm>
        </xdr:grpSpPr>
        <xdr:grpSp>
          <xdr:nvGrpSpPr>
            <xdr:cNvPr id="1206680" name="562 Grupo">
              <a:extLst>
                <a:ext uri="{FF2B5EF4-FFF2-40B4-BE49-F238E27FC236}">
                  <a16:creationId xmlns:a16="http://schemas.microsoft.com/office/drawing/2014/main" id="{00000000-0008-0000-0200-000098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90" name="1252 Conector recto">
                <a:extLst>
                  <a:ext uri="{FF2B5EF4-FFF2-40B4-BE49-F238E27FC236}">
                    <a16:creationId xmlns:a16="http://schemas.microsoft.com/office/drawing/2014/main" id="{00000000-0008-0000-0200-0000A2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91" name="1253 Conector recto">
                <a:extLst>
                  <a:ext uri="{FF2B5EF4-FFF2-40B4-BE49-F238E27FC236}">
                    <a16:creationId xmlns:a16="http://schemas.microsoft.com/office/drawing/2014/main" id="{00000000-0008-0000-0200-0000A3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681" name="563 Grupo">
              <a:extLst>
                <a:ext uri="{FF2B5EF4-FFF2-40B4-BE49-F238E27FC236}">
                  <a16:creationId xmlns:a16="http://schemas.microsoft.com/office/drawing/2014/main" id="{00000000-0008-0000-0200-000099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88" name="1250 Conector recto">
                <a:extLst>
                  <a:ext uri="{FF2B5EF4-FFF2-40B4-BE49-F238E27FC236}">
                    <a16:creationId xmlns:a16="http://schemas.microsoft.com/office/drawing/2014/main" id="{00000000-0008-0000-0200-0000A0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89" name="1251 Conector recto">
                <a:extLst>
                  <a:ext uri="{FF2B5EF4-FFF2-40B4-BE49-F238E27FC236}">
                    <a16:creationId xmlns:a16="http://schemas.microsoft.com/office/drawing/2014/main" id="{00000000-0008-0000-0200-0000A1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682" name="566 Grupo">
              <a:extLst>
                <a:ext uri="{FF2B5EF4-FFF2-40B4-BE49-F238E27FC236}">
                  <a16:creationId xmlns:a16="http://schemas.microsoft.com/office/drawing/2014/main" id="{00000000-0008-0000-0200-00009A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86" name="1248 Conector recto">
                <a:extLst>
                  <a:ext uri="{FF2B5EF4-FFF2-40B4-BE49-F238E27FC236}">
                    <a16:creationId xmlns:a16="http://schemas.microsoft.com/office/drawing/2014/main" id="{00000000-0008-0000-0200-00009E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87" name="1249 Conector recto">
                <a:extLst>
                  <a:ext uri="{FF2B5EF4-FFF2-40B4-BE49-F238E27FC236}">
                    <a16:creationId xmlns:a16="http://schemas.microsoft.com/office/drawing/2014/main" id="{00000000-0008-0000-0200-00009F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683" name="569 Grupo">
              <a:extLst>
                <a:ext uri="{FF2B5EF4-FFF2-40B4-BE49-F238E27FC236}">
                  <a16:creationId xmlns:a16="http://schemas.microsoft.com/office/drawing/2014/main" id="{00000000-0008-0000-0200-00009B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84" name="1246 Conector recto">
                <a:extLst>
                  <a:ext uri="{FF2B5EF4-FFF2-40B4-BE49-F238E27FC236}">
                    <a16:creationId xmlns:a16="http://schemas.microsoft.com/office/drawing/2014/main" id="{00000000-0008-0000-0200-00009C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85" name="1247 Conector recto">
                <a:extLst>
                  <a:ext uri="{FF2B5EF4-FFF2-40B4-BE49-F238E27FC236}">
                    <a16:creationId xmlns:a16="http://schemas.microsoft.com/office/drawing/2014/main" id="{00000000-0008-0000-0200-00009D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206628" name="573 Grupo">
            <a:extLst>
              <a:ext uri="{FF2B5EF4-FFF2-40B4-BE49-F238E27FC236}">
                <a16:creationId xmlns:a16="http://schemas.microsoft.com/office/drawing/2014/main" id="{00000000-0008-0000-0200-000064691200}"/>
              </a:ext>
            </a:extLst>
          </xdr:cNvPr>
          <xdr:cNvGrpSpPr>
            <a:grpSpLocks/>
          </xdr:cNvGrpSpPr>
        </xdr:nvGrpSpPr>
        <xdr:grpSpPr bwMode="auto">
          <a:xfrm>
            <a:off x="14590915" y="6505000"/>
            <a:ext cx="5901863" cy="261706"/>
            <a:chOff x="14424932" y="5391150"/>
            <a:chExt cx="5829300" cy="270783"/>
          </a:xfrm>
        </xdr:grpSpPr>
        <xdr:grpSp>
          <xdr:nvGrpSpPr>
            <xdr:cNvPr id="1206668" name="562 Grupo">
              <a:extLst>
                <a:ext uri="{FF2B5EF4-FFF2-40B4-BE49-F238E27FC236}">
                  <a16:creationId xmlns:a16="http://schemas.microsoft.com/office/drawing/2014/main" id="{00000000-0008-0000-0200-00008C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78" name="1240 Conector recto">
                <a:extLst>
                  <a:ext uri="{FF2B5EF4-FFF2-40B4-BE49-F238E27FC236}">
                    <a16:creationId xmlns:a16="http://schemas.microsoft.com/office/drawing/2014/main" id="{00000000-0008-0000-0200-000096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79" name="1241 Conector recto">
                <a:extLst>
                  <a:ext uri="{FF2B5EF4-FFF2-40B4-BE49-F238E27FC236}">
                    <a16:creationId xmlns:a16="http://schemas.microsoft.com/office/drawing/2014/main" id="{00000000-0008-0000-0200-000097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669" name="563 Grupo">
              <a:extLst>
                <a:ext uri="{FF2B5EF4-FFF2-40B4-BE49-F238E27FC236}">
                  <a16:creationId xmlns:a16="http://schemas.microsoft.com/office/drawing/2014/main" id="{00000000-0008-0000-0200-00008D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76" name="1238 Conector recto">
                <a:extLst>
                  <a:ext uri="{FF2B5EF4-FFF2-40B4-BE49-F238E27FC236}">
                    <a16:creationId xmlns:a16="http://schemas.microsoft.com/office/drawing/2014/main" id="{00000000-0008-0000-0200-000094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77" name="1239 Conector recto">
                <a:extLst>
                  <a:ext uri="{FF2B5EF4-FFF2-40B4-BE49-F238E27FC236}">
                    <a16:creationId xmlns:a16="http://schemas.microsoft.com/office/drawing/2014/main" id="{00000000-0008-0000-0200-000095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670" name="566 Grupo">
              <a:extLst>
                <a:ext uri="{FF2B5EF4-FFF2-40B4-BE49-F238E27FC236}">
                  <a16:creationId xmlns:a16="http://schemas.microsoft.com/office/drawing/2014/main" id="{00000000-0008-0000-0200-00008E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74" name="1236 Conector recto">
                <a:extLst>
                  <a:ext uri="{FF2B5EF4-FFF2-40B4-BE49-F238E27FC236}">
                    <a16:creationId xmlns:a16="http://schemas.microsoft.com/office/drawing/2014/main" id="{00000000-0008-0000-0200-000092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75" name="1237 Conector recto">
                <a:extLst>
                  <a:ext uri="{FF2B5EF4-FFF2-40B4-BE49-F238E27FC236}">
                    <a16:creationId xmlns:a16="http://schemas.microsoft.com/office/drawing/2014/main" id="{00000000-0008-0000-0200-000093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671" name="569 Grupo">
              <a:extLst>
                <a:ext uri="{FF2B5EF4-FFF2-40B4-BE49-F238E27FC236}">
                  <a16:creationId xmlns:a16="http://schemas.microsoft.com/office/drawing/2014/main" id="{00000000-0008-0000-0200-00008F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72" name="1234 Conector recto">
                <a:extLst>
                  <a:ext uri="{FF2B5EF4-FFF2-40B4-BE49-F238E27FC236}">
                    <a16:creationId xmlns:a16="http://schemas.microsoft.com/office/drawing/2014/main" id="{00000000-0008-0000-0200-000090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73" name="1235 Conector recto">
                <a:extLst>
                  <a:ext uri="{FF2B5EF4-FFF2-40B4-BE49-F238E27FC236}">
                    <a16:creationId xmlns:a16="http://schemas.microsoft.com/office/drawing/2014/main" id="{00000000-0008-0000-0200-000091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206629" name="586 Grupo">
            <a:extLst>
              <a:ext uri="{FF2B5EF4-FFF2-40B4-BE49-F238E27FC236}">
                <a16:creationId xmlns:a16="http://schemas.microsoft.com/office/drawing/2014/main" id="{00000000-0008-0000-0200-000065691200}"/>
              </a:ext>
            </a:extLst>
          </xdr:cNvPr>
          <xdr:cNvGrpSpPr>
            <a:grpSpLocks/>
          </xdr:cNvGrpSpPr>
        </xdr:nvGrpSpPr>
        <xdr:grpSpPr bwMode="auto">
          <a:xfrm>
            <a:off x="14586833" y="3865670"/>
            <a:ext cx="5901863" cy="261705"/>
            <a:chOff x="14424932" y="5391150"/>
            <a:chExt cx="5829300" cy="270783"/>
          </a:xfrm>
        </xdr:grpSpPr>
        <xdr:grpSp>
          <xdr:nvGrpSpPr>
            <xdr:cNvPr id="1206656" name="562 Grupo">
              <a:extLst>
                <a:ext uri="{FF2B5EF4-FFF2-40B4-BE49-F238E27FC236}">
                  <a16:creationId xmlns:a16="http://schemas.microsoft.com/office/drawing/2014/main" id="{00000000-0008-0000-0200-000080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66" name="1228 Conector recto">
                <a:extLst>
                  <a:ext uri="{FF2B5EF4-FFF2-40B4-BE49-F238E27FC236}">
                    <a16:creationId xmlns:a16="http://schemas.microsoft.com/office/drawing/2014/main" id="{00000000-0008-0000-0200-00008A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67" name="1229 Conector recto">
                <a:extLst>
                  <a:ext uri="{FF2B5EF4-FFF2-40B4-BE49-F238E27FC236}">
                    <a16:creationId xmlns:a16="http://schemas.microsoft.com/office/drawing/2014/main" id="{00000000-0008-0000-0200-00008B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657" name="563 Grupo">
              <a:extLst>
                <a:ext uri="{FF2B5EF4-FFF2-40B4-BE49-F238E27FC236}">
                  <a16:creationId xmlns:a16="http://schemas.microsoft.com/office/drawing/2014/main" id="{00000000-0008-0000-0200-000081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64" name="1226 Conector recto">
                <a:extLst>
                  <a:ext uri="{FF2B5EF4-FFF2-40B4-BE49-F238E27FC236}">
                    <a16:creationId xmlns:a16="http://schemas.microsoft.com/office/drawing/2014/main" id="{00000000-0008-0000-0200-000088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65" name="1227 Conector recto">
                <a:extLst>
                  <a:ext uri="{FF2B5EF4-FFF2-40B4-BE49-F238E27FC236}">
                    <a16:creationId xmlns:a16="http://schemas.microsoft.com/office/drawing/2014/main" id="{00000000-0008-0000-0200-000089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658" name="566 Grupo">
              <a:extLst>
                <a:ext uri="{FF2B5EF4-FFF2-40B4-BE49-F238E27FC236}">
                  <a16:creationId xmlns:a16="http://schemas.microsoft.com/office/drawing/2014/main" id="{00000000-0008-0000-0200-000082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62" name="1224 Conector recto">
                <a:extLst>
                  <a:ext uri="{FF2B5EF4-FFF2-40B4-BE49-F238E27FC236}">
                    <a16:creationId xmlns:a16="http://schemas.microsoft.com/office/drawing/2014/main" id="{00000000-0008-0000-0200-000086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63" name="1225 Conector recto">
                <a:extLst>
                  <a:ext uri="{FF2B5EF4-FFF2-40B4-BE49-F238E27FC236}">
                    <a16:creationId xmlns:a16="http://schemas.microsoft.com/office/drawing/2014/main" id="{00000000-0008-0000-0200-000087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659" name="569 Grupo">
              <a:extLst>
                <a:ext uri="{FF2B5EF4-FFF2-40B4-BE49-F238E27FC236}">
                  <a16:creationId xmlns:a16="http://schemas.microsoft.com/office/drawing/2014/main" id="{00000000-0008-0000-0200-000083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60" name="1222 Conector recto">
                <a:extLst>
                  <a:ext uri="{FF2B5EF4-FFF2-40B4-BE49-F238E27FC236}">
                    <a16:creationId xmlns:a16="http://schemas.microsoft.com/office/drawing/2014/main" id="{00000000-0008-0000-0200-000084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61" name="1223 Conector recto">
                <a:extLst>
                  <a:ext uri="{FF2B5EF4-FFF2-40B4-BE49-F238E27FC236}">
                    <a16:creationId xmlns:a16="http://schemas.microsoft.com/office/drawing/2014/main" id="{00000000-0008-0000-0200-000085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206630" name="599 Grupo">
            <a:extLst>
              <a:ext uri="{FF2B5EF4-FFF2-40B4-BE49-F238E27FC236}">
                <a16:creationId xmlns:a16="http://schemas.microsoft.com/office/drawing/2014/main" id="{00000000-0008-0000-0200-000066691200}"/>
              </a:ext>
            </a:extLst>
          </xdr:cNvPr>
          <xdr:cNvGrpSpPr>
            <a:grpSpLocks/>
          </xdr:cNvGrpSpPr>
        </xdr:nvGrpSpPr>
        <xdr:grpSpPr bwMode="auto">
          <a:xfrm>
            <a:off x="14596358" y="2494069"/>
            <a:ext cx="5901863" cy="261706"/>
            <a:chOff x="14424932" y="5391150"/>
            <a:chExt cx="5829300" cy="270783"/>
          </a:xfrm>
        </xdr:grpSpPr>
        <xdr:grpSp>
          <xdr:nvGrpSpPr>
            <xdr:cNvPr id="1206644" name="562 Grupo">
              <a:extLst>
                <a:ext uri="{FF2B5EF4-FFF2-40B4-BE49-F238E27FC236}">
                  <a16:creationId xmlns:a16="http://schemas.microsoft.com/office/drawing/2014/main" id="{00000000-0008-0000-0200-000074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54" name="1216 Conector recto">
                <a:extLst>
                  <a:ext uri="{FF2B5EF4-FFF2-40B4-BE49-F238E27FC236}">
                    <a16:creationId xmlns:a16="http://schemas.microsoft.com/office/drawing/2014/main" id="{00000000-0008-0000-0200-00007E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55" name="1217 Conector recto">
                <a:extLst>
                  <a:ext uri="{FF2B5EF4-FFF2-40B4-BE49-F238E27FC236}">
                    <a16:creationId xmlns:a16="http://schemas.microsoft.com/office/drawing/2014/main" id="{00000000-0008-0000-0200-00007F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645" name="563 Grupo">
              <a:extLst>
                <a:ext uri="{FF2B5EF4-FFF2-40B4-BE49-F238E27FC236}">
                  <a16:creationId xmlns:a16="http://schemas.microsoft.com/office/drawing/2014/main" id="{00000000-0008-0000-0200-000075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52" name="1214 Conector recto">
                <a:extLst>
                  <a:ext uri="{FF2B5EF4-FFF2-40B4-BE49-F238E27FC236}">
                    <a16:creationId xmlns:a16="http://schemas.microsoft.com/office/drawing/2014/main" id="{00000000-0008-0000-0200-00007C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53" name="1215 Conector recto">
                <a:extLst>
                  <a:ext uri="{FF2B5EF4-FFF2-40B4-BE49-F238E27FC236}">
                    <a16:creationId xmlns:a16="http://schemas.microsoft.com/office/drawing/2014/main" id="{00000000-0008-0000-0200-00007D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646" name="566 Grupo">
              <a:extLst>
                <a:ext uri="{FF2B5EF4-FFF2-40B4-BE49-F238E27FC236}">
                  <a16:creationId xmlns:a16="http://schemas.microsoft.com/office/drawing/2014/main" id="{00000000-0008-0000-0200-000076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50" name="1212 Conector recto">
                <a:extLst>
                  <a:ext uri="{FF2B5EF4-FFF2-40B4-BE49-F238E27FC236}">
                    <a16:creationId xmlns:a16="http://schemas.microsoft.com/office/drawing/2014/main" id="{00000000-0008-0000-0200-00007A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51" name="1213 Conector recto">
                <a:extLst>
                  <a:ext uri="{FF2B5EF4-FFF2-40B4-BE49-F238E27FC236}">
                    <a16:creationId xmlns:a16="http://schemas.microsoft.com/office/drawing/2014/main" id="{00000000-0008-0000-0200-00007B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647" name="569 Grupo">
              <a:extLst>
                <a:ext uri="{FF2B5EF4-FFF2-40B4-BE49-F238E27FC236}">
                  <a16:creationId xmlns:a16="http://schemas.microsoft.com/office/drawing/2014/main" id="{00000000-0008-0000-0200-000077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48" name="1210 Conector recto">
                <a:extLst>
                  <a:ext uri="{FF2B5EF4-FFF2-40B4-BE49-F238E27FC236}">
                    <a16:creationId xmlns:a16="http://schemas.microsoft.com/office/drawing/2014/main" id="{00000000-0008-0000-0200-000078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49" name="1211 Conector recto">
                <a:extLst>
                  <a:ext uri="{FF2B5EF4-FFF2-40B4-BE49-F238E27FC236}">
                    <a16:creationId xmlns:a16="http://schemas.microsoft.com/office/drawing/2014/main" id="{00000000-0008-0000-0200-000079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206631" name="612 Grupo">
            <a:extLst>
              <a:ext uri="{FF2B5EF4-FFF2-40B4-BE49-F238E27FC236}">
                <a16:creationId xmlns:a16="http://schemas.microsoft.com/office/drawing/2014/main" id="{00000000-0008-0000-0200-000067691200}"/>
              </a:ext>
            </a:extLst>
          </xdr:cNvPr>
          <xdr:cNvGrpSpPr>
            <a:grpSpLocks/>
          </xdr:cNvGrpSpPr>
        </xdr:nvGrpSpPr>
        <xdr:grpSpPr bwMode="auto">
          <a:xfrm>
            <a:off x="14585472" y="7805965"/>
            <a:ext cx="5901863" cy="266247"/>
            <a:chOff x="14424932" y="5391150"/>
            <a:chExt cx="5829300" cy="270783"/>
          </a:xfrm>
        </xdr:grpSpPr>
        <xdr:grpSp>
          <xdr:nvGrpSpPr>
            <xdr:cNvPr id="1206632" name="562 Grupo">
              <a:extLst>
                <a:ext uri="{FF2B5EF4-FFF2-40B4-BE49-F238E27FC236}">
                  <a16:creationId xmlns:a16="http://schemas.microsoft.com/office/drawing/2014/main" id="{00000000-0008-0000-0200-000068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42" name="1204 Conector recto">
                <a:extLst>
                  <a:ext uri="{FF2B5EF4-FFF2-40B4-BE49-F238E27FC236}">
                    <a16:creationId xmlns:a16="http://schemas.microsoft.com/office/drawing/2014/main" id="{00000000-0008-0000-0200-000072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43" name="1205 Conector recto">
                <a:extLst>
                  <a:ext uri="{FF2B5EF4-FFF2-40B4-BE49-F238E27FC236}">
                    <a16:creationId xmlns:a16="http://schemas.microsoft.com/office/drawing/2014/main" id="{00000000-0008-0000-0200-000073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633" name="563 Grupo">
              <a:extLst>
                <a:ext uri="{FF2B5EF4-FFF2-40B4-BE49-F238E27FC236}">
                  <a16:creationId xmlns:a16="http://schemas.microsoft.com/office/drawing/2014/main" id="{00000000-0008-0000-0200-000069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40" name="1202 Conector recto">
                <a:extLst>
                  <a:ext uri="{FF2B5EF4-FFF2-40B4-BE49-F238E27FC236}">
                    <a16:creationId xmlns:a16="http://schemas.microsoft.com/office/drawing/2014/main" id="{00000000-0008-0000-0200-000070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41" name="1203 Conector recto">
                <a:extLst>
                  <a:ext uri="{FF2B5EF4-FFF2-40B4-BE49-F238E27FC236}">
                    <a16:creationId xmlns:a16="http://schemas.microsoft.com/office/drawing/2014/main" id="{00000000-0008-0000-0200-000071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634" name="566 Grupo">
              <a:extLst>
                <a:ext uri="{FF2B5EF4-FFF2-40B4-BE49-F238E27FC236}">
                  <a16:creationId xmlns:a16="http://schemas.microsoft.com/office/drawing/2014/main" id="{00000000-0008-0000-0200-00006A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38" name="1200 Conector recto">
                <a:extLst>
                  <a:ext uri="{FF2B5EF4-FFF2-40B4-BE49-F238E27FC236}">
                    <a16:creationId xmlns:a16="http://schemas.microsoft.com/office/drawing/2014/main" id="{00000000-0008-0000-0200-00006E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39" name="1201 Conector recto">
                <a:extLst>
                  <a:ext uri="{FF2B5EF4-FFF2-40B4-BE49-F238E27FC236}">
                    <a16:creationId xmlns:a16="http://schemas.microsoft.com/office/drawing/2014/main" id="{00000000-0008-0000-0200-00006F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635" name="569 Grupo">
              <a:extLst>
                <a:ext uri="{FF2B5EF4-FFF2-40B4-BE49-F238E27FC236}">
                  <a16:creationId xmlns:a16="http://schemas.microsoft.com/office/drawing/2014/main" id="{00000000-0008-0000-0200-00006B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36" name="1198 Conector recto">
                <a:extLst>
                  <a:ext uri="{FF2B5EF4-FFF2-40B4-BE49-F238E27FC236}">
                    <a16:creationId xmlns:a16="http://schemas.microsoft.com/office/drawing/2014/main" id="{00000000-0008-0000-0200-00006C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37" name="1199 Conector recto">
                <a:extLst>
                  <a:ext uri="{FF2B5EF4-FFF2-40B4-BE49-F238E27FC236}">
                    <a16:creationId xmlns:a16="http://schemas.microsoft.com/office/drawing/2014/main" id="{00000000-0008-0000-0200-00006D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</xdr:grpSp>
    <xdr:clientData/>
  </xdr:twoCellAnchor>
  <xdr:twoCellAnchor>
    <xdr:from>
      <xdr:col>7</xdr:col>
      <xdr:colOff>152400</xdr:colOff>
      <xdr:row>2</xdr:row>
      <xdr:rowOff>76200</xdr:rowOff>
    </xdr:from>
    <xdr:to>
      <xdr:col>7</xdr:col>
      <xdr:colOff>774700</xdr:colOff>
      <xdr:row>2</xdr:row>
      <xdr:rowOff>609600</xdr:rowOff>
    </xdr:to>
    <xdr:grpSp>
      <xdr:nvGrpSpPr>
        <xdr:cNvPr id="1386" name="1187 Grupo">
          <a:extLst>
            <a:ext uri="{FF2B5EF4-FFF2-40B4-BE49-F238E27FC236}">
              <a16:creationId xmlns:a16="http://schemas.microsoft.com/office/drawing/2014/main" id="{00000000-0008-0000-0200-00006A050000}"/>
            </a:ext>
          </a:extLst>
        </xdr:cNvPr>
        <xdr:cNvGrpSpPr>
          <a:grpSpLocks/>
        </xdr:cNvGrpSpPr>
      </xdr:nvGrpSpPr>
      <xdr:grpSpPr bwMode="auto">
        <a:xfrm>
          <a:off x="7734300" y="1206500"/>
          <a:ext cx="622300" cy="533400"/>
          <a:chOff x="12578073" y="988919"/>
          <a:chExt cx="9678677" cy="8510681"/>
        </a:xfrm>
      </xdr:grpSpPr>
      <xdr:grpSp>
        <xdr:nvGrpSpPr>
          <xdr:cNvPr id="1387" name="629 Grupo">
            <a:extLst>
              <a:ext uri="{FF2B5EF4-FFF2-40B4-BE49-F238E27FC236}">
                <a16:creationId xmlns:a16="http://schemas.microsoft.com/office/drawing/2014/main" id="{00000000-0008-0000-0200-00006B050000}"/>
              </a:ext>
            </a:extLst>
          </xdr:cNvPr>
          <xdr:cNvGrpSpPr>
            <a:grpSpLocks/>
          </xdr:cNvGrpSpPr>
        </xdr:nvGrpSpPr>
        <xdr:grpSpPr bwMode="auto">
          <a:xfrm>
            <a:off x="12578073" y="988919"/>
            <a:ext cx="9678677" cy="8510681"/>
            <a:chOff x="12578073" y="988919"/>
            <a:chExt cx="9678677" cy="8510681"/>
          </a:xfrm>
        </xdr:grpSpPr>
        <xdr:grpSp>
          <xdr:nvGrpSpPr>
            <xdr:cNvPr id="1453" name="410 Grupo">
              <a:extLst>
                <a:ext uri="{FF2B5EF4-FFF2-40B4-BE49-F238E27FC236}">
                  <a16:creationId xmlns:a16="http://schemas.microsoft.com/office/drawing/2014/main" id="{00000000-0008-0000-0200-0000AD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2578073" y="988919"/>
              <a:ext cx="9678677" cy="8510681"/>
              <a:chOff x="6659658" y="3011580"/>
              <a:chExt cx="3859213" cy="3443007"/>
            </a:xfrm>
          </xdr:grpSpPr>
          <xdr:grpSp>
            <xdr:nvGrpSpPr>
              <xdr:cNvPr id="1458" name="Group 1078">
                <a:extLst>
                  <a:ext uri="{FF2B5EF4-FFF2-40B4-BE49-F238E27FC236}">
                    <a16:creationId xmlns:a16="http://schemas.microsoft.com/office/drawing/2014/main" id="{00000000-0008-0000-0200-0000B205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659658" y="3011580"/>
                <a:ext cx="3859213" cy="3443007"/>
                <a:chOff x="394" y="56"/>
                <a:chExt cx="121" cy="99"/>
              </a:xfrm>
            </xdr:grpSpPr>
            <xdr:sp macro="" textlink="">
              <xdr:nvSpPr>
                <xdr:cNvPr id="1460" name="Rectangle 1079">
                  <a:extLst>
                    <a:ext uri="{FF2B5EF4-FFF2-40B4-BE49-F238E27FC236}">
                      <a16:creationId xmlns:a16="http://schemas.microsoft.com/office/drawing/2014/main" id="{00000000-0008-0000-0200-0000B4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4" y="56"/>
                  <a:ext cx="121" cy="99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61" name="Rectangle 1080">
                  <a:extLst>
                    <a:ext uri="{FF2B5EF4-FFF2-40B4-BE49-F238E27FC236}">
                      <a16:creationId xmlns:a16="http://schemas.microsoft.com/office/drawing/2014/main" id="{00000000-0008-0000-0200-0000B5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62" name="Rectangle 1081">
                  <a:extLst>
                    <a:ext uri="{FF2B5EF4-FFF2-40B4-BE49-F238E27FC236}">
                      <a16:creationId xmlns:a16="http://schemas.microsoft.com/office/drawing/2014/main" id="{00000000-0008-0000-0200-0000B6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63" name="Rectangle 1082">
                  <a:extLst>
                    <a:ext uri="{FF2B5EF4-FFF2-40B4-BE49-F238E27FC236}">
                      <a16:creationId xmlns:a16="http://schemas.microsoft.com/office/drawing/2014/main" id="{00000000-0008-0000-0200-0000B7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21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64" name="Rectangle 1083">
                  <a:extLst>
                    <a:ext uri="{FF2B5EF4-FFF2-40B4-BE49-F238E27FC236}">
                      <a16:creationId xmlns:a16="http://schemas.microsoft.com/office/drawing/2014/main" id="{00000000-0008-0000-0200-0000B8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45" y="59"/>
                  <a:ext cx="23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65" name="Rectangle 1086">
                  <a:extLst>
                    <a:ext uri="{FF2B5EF4-FFF2-40B4-BE49-F238E27FC236}">
                      <a16:creationId xmlns:a16="http://schemas.microsoft.com/office/drawing/2014/main" id="{00000000-0008-0000-0200-0000B9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66" name="Rectangle 1087">
                  <a:extLst>
                    <a:ext uri="{FF2B5EF4-FFF2-40B4-BE49-F238E27FC236}">
                      <a16:creationId xmlns:a16="http://schemas.microsoft.com/office/drawing/2014/main" id="{00000000-0008-0000-0200-0000BA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137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67" name="Rectangle 1088">
                  <a:extLst>
                    <a:ext uri="{FF2B5EF4-FFF2-40B4-BE49-F238E27FC236}">
                      <a16:creationId xmlns:a16="http://schemas.microsoft.com/office/drawing/2014/main" id="{00000000-0008-0000-0200-0000BB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75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68" name="Rectangle 1089">
                  <a:extLst>
                    <a:ext uri="{FF2B5EF4-FFF2-40B4-BE49-F238E27FC236}">
                      <a16:creationId xmlns:a16="http://schemas.microsoft.com/office/drawing/2014/main" id="{00000000-0008-0000-0200-0000BC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91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69" name="Rectangle 1093">
                  <a:extLst>
                    <a:ext uri="{FF2B5EF4-FFF2-40B4-BE49-F238E27FC236}">
                      <a16:creationId xmlns:a16="http://schemas.microsoft.com/office/drawing/2014/main" id="{00000000-0008-0000-0200-0000BD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91" y="59"/>
                  <a:ext cx="21" cy="94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</xdr:grpSp>
          <xdr:sp macro="" textlink="">
            <xdr:nvSpPr>
              <xdr:cNvPr id="1459" name="Rectangle 1087">
                <a:extLst>
                  <a:ext uri="{FF2B5EF4-FFF2-40B4-BE49-F238E27FC236}">
                    <a16:creationId xmlns:a16="http://schemas.microsoft.com/office/drawing/2014/main" id="{00000000-0008-0000-0200-0000B305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754555" y="5297606"/>
                <a:ext cx="3672128" cy="527247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</xdr:grpSp>
        <xdr:sp macro="" textlink="">
          <xdr:nvSpPr>
            <xdr:cNvPr id="1454" name="Rectangle 1082">
              <a:extLst>
                <a:ext uri="{FF2B5EF4-FFF2-40B4-BE49-F238E27FC236}">
                  <a16:creationId xmlns:a16="http://schemas.microsoft.com/office/drawing/2014/main" id="{00000000-0008-0000-0200-0000AE0500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4603186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455" name="Rectangle 1082">
              <a:extLst>
                <a:ext uri="{FF2B5EF4-FFF2-40B4-BE49-F238E27FC236}">
                  <a16:creationId xmlns:a16="http://schemas.microsoft.com/office/drawing/2014/main" id="{00000000-0008-0000-0200-0000AF0500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6535400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456" name="Rectangle 1082">
              <a:extLst>
                <a:ext uri="{FF2B5EF4-FFF2-40B4-BE49-F238E27FC236}">
                  <a16:creationId xmlns:a16="http://schemas.microsoft.com/office/drawing/2014/main" id="{00000000-0008-0000-0200-0000B00500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8356943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457" name="Rectangle 1082">
              <a:extLst>
                <a:ext uri="{FF2B5EF4-FFF2-40B4-BE49-F238E27FC236}">
                  <a16:creationId xmlns:a16="http://schemas.microsoft.com/office/drawing/2014/main" id="{00000000-0008-0000-0200-0000B10500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20212957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388" name="572 Grupo">
            <a:extLst>
              <a:ext uri="{FF2B5EF4-FFF2-40B4-BE49-F238E27FC236}">
                <a16:creationId xmlns:a16="http://schemas.microsoft.com/office/drawing/2014/main" id="{00000000-0008-0000-0200-00006C050000}"/>
              </a:ext>
            </a:extLst>
          </xdr:cNvPr>
          <xdr:cNvGrpSpPr>
            <a:grpSpLocks/>
          </xdr:cNvGrpSpPr>
        </xdr:nvGrpSpPr>
        <xdr:grpSpPr bwMode="auto">
          <a:xfrm>
            <a:off x="14588193" y="5241471"/>
            <a:ext cx="5901863" cy="266248"/>
            <a:chOff x="14424932" y="5391150"/>
            <a:chExt cx="5829300" cy="270783"/>
          </a:xfrm>
        </xdr:grpSpPr>
        <xdr:grpSp>
          <xdr:nvGrpSpPr>
            <xdr:cNvPr id="1441" name="562 Grupo">
              <a:extLst>
                <a:ext uri="{FF2B5EF4-FFF2-40B4-BE49-F238E27FC236}">
                  <a16:creationId xmlns:a16="http://schemas.microsoft.com/office/drawing/2014/main" id="{00000000-0008-0000-0200-0000A1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51" name="1252 Conector recto">
                <a:extLst>
                  <a:ext uri="{FF2B5EF4-FFF2-40B4-BE49-F238E27FC236}">
                    <a16:creationId xmlns:a16="http://schemas.microsoft.com/office/drawing/2014/main" id="{00000000-0008-0000-0200-0000AB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52" name="1253 Conector recto">
                <a:extLst>
                  <a:ext uri="{FF2B5EF4-FFF2-40B4-BE49-F238E27FC236}">
                    <a16:creationId xmlns:a16="http://schemas.microsoft.com/office/drawing/2014/main" id="{00000000-0008-0000-0200-0000AC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442" name="563 Grupo">
              <a:extLst>
                <a:ext uri="{FF2B5EF4-FFF2-40B4-BE49-F238E27FC236}">
                  <a16:creationId xmlns:a16="http://schemas.microsoft.com/office/drawing/2014/main" id="{00000000-0008-0000-0200-0000A2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49" name="1250 Conector recto">
                <a:extLst>
                  <a:ext uri="{FF2B5EF4-FFF2-40B4-BE49-F238E27FC236}">
                    <a16:creationId xmlns:a16="http://schemas.microsoft.com/office/drawing/2014/main" id="{00000000-0008-0000-0200-0000A9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50" name="1251 Conector recto">
                <a:extLst>
                  <a:ext uri="{FF2B5EF4-FFF2-40B4-BE49-F238E27FC236}">
                    <a16:creationId xmlns:a16="http://schemas.microsoft.com/office/drawing/2014/main" id="{00000000-0008-0000-0200-0000AA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443" name="566 Grupo">
              <a:extLst>
                <a:ext uri="{FF2B5EF4-FFF2-40B4-BE49-F238E27FC236}">
                  <a16:creationId xmlns:a16="http://schemas.microsoft.com/office/drawing/2014/main" id="{00000000-0008-0000-0200-0000A3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47" name="1248 Conector recto">
                <a:extLst>
                  <a:ext uri="{FF2B5EF4-FFF2-40B4-BE49-F238E27FC236}">
                    <a16:creationId xmlns:a16="http://schemas.microsoft.com/office/drawing/2014/main" id="{00000000-0008-0000-0200-0000A7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48" name="1249 Conector recto">
                <a:extLst>
                  <a:ext uri="{FF2B5EF4-FFF2-40B4-BE49-F238E27FC236}">
                    <a16:creationId xmlns:a16="http://schemas.microsoft.com/office/drawing/2014/main" id="{00000000-0008-0000-0200-0000A8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444" name="569 Grupo">
              <a:extLst>
                <a:ext uri="{FF2B5EF4-FFF2-40B4-BE49-F238E27FC236}">
                  <a16:creationId xmlns:a16="http://schemas.microsoft.com/office/drawing/2014/main" id="{00000000-0008-0000-0200-0000A4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45" name="1246 Conector recto">
                <a:extLst>
                  <a:ext uri="{FF2B5EF4-FFF2-40B4-BE49-F238E27FC236}">
                    <a16:creationId xmlns:a16="http://schemas.microsoft.com/office/drawing/2014/main" id="{00000000-0008-0000-0200-0000A5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46" name="1247 Conector recto">
                <a:extLst>
                  <a:ext uri="{FF2B5EF4-FFF2-40B4-BE49-F238E27FC236}">
                    <a16:creationId xmlns:a16="http://schemas.microsoft.com/office/drawing/2014/main" id="{00000000-0008-0000-0200-0000A6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389" name="573 Grupo">
            <a:extLst>
              <a:ext uri="{FF2B5EF4-FFF2-40B4-BE49-F238E27FC236}">
                <a16:creationId xmlns:a16="http://schemas.microsoft.com/office/drawing/2014/main" id="{00000000-0008-0000-0200-00006D050000}"/>
              </a:ext>
            </a:extLst>
          </xdr:cNvPr>
          <xdr:cNvGrpSpPr>
            <a:grpSpLocks/>
          </xdr:cNvGrpSpPr>
        </xdr:nvGrpSpPr>
        <xdr:grpSpPr bwMode="auto">
          <a:xfrm>
            <a:off x="14590915" y="6505000"/>
            <a:ext cx="5901863" cy="261706"/>
            <a:chOff x="14424932" y="5391150"/>
            <a:chExt cx="5829300" cy="270783"/>
          </a:xfrm>
        </xdr:grpSpPr>
        <xdr:grpSp>
          <xdr:nvGrpSpPr>
            <xdr:cNvPr id="1429" name="562 Grupo">
              <a:extLst>
                <a:ext uri="{FF2B5EF4-FFF2-40B4-BE49-F238E27FC236}">
                  <a16:creationId xmlns:a16="http://schemas.microsoft.com/office/drawing/2014/main" id="{00000000-0008-0000-0200-000095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39" name="1240 Conector recto">
                <a:extLst>
                  <a:ext uri="{FF2B5EF4-FFF2-40B4-BE49-F238E27FC236}">
                    <a16:creationId xmlns:a16="http://schemas.microsoft.com/office/drawing/2014/main" id="{00000000-0008-0000-0200-00009F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40" name="1241 Conector recto">
                <a:extLst>
                  <a:ext uri="{FF2B5EF4-FFF2-40B4-BE49-F238E27FC236}">
                    <a16:creationId xmlns:a16="http://schemas.microsoft.com/office/drawing/2014/main" id="{00000000-0008-0000-0200-0000A0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430" name="563 Grupo">
              <a:extLst>
                <a:ext uri="{FF2B5EF4-FFF2-40B4-BE49-F238E27FC236}">
                  <a16:creationId xmlns:a16="http://schemas.microsoft.com/office/drawing/2014/main" id="{00000000-0008-0000-0200-000096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37" name="1238 Conector recto">
                <a:extLst>
                  <a:ext uri="{FF2B5EF4-FFF2-40B4-BE49-F238E27FC236}">
                    <a16:creationId xmlns:a16="http://schemas.microsoft.com/office/drawing/2014/main" id="{00000000-0008-0000-0200-00009D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38" name="1239 Conector recto">
                <a:extLst>
                  <a:ext uri="{FF2B5EF4-FFF2-40B4-BE49-F238E27FC236}">
                    <a16:creationId xmlns:a16="http://schemas.microsoft.com/office/drawing/2014/main" id="{00000000-0008-0000-0200-00009E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431" name="566 Grupo">
              <a:extLst>
                <a:ext uri="{FF2B5EF4-FFF2-40B4-BE49-F238E27FC236}">
                  <a16:creationId xmlns:a16="http://schemas.microsoft.com/office/drawing/2014/main" id="{00000000-0008-0000-0200-000097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35" name="1236 Conector recto">
                <a:extLst>
                  <a:ext uri="{FF2B5EF4-FFF2-40B4-BE49-F238E27FC236}">
                    <a16:creationId xmlns:a16="http://schemas.microsoft.com/office/drawing/2014/main" id="{00000000-0008-0000-0200-00009B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36" name="1237 Conector recto">
                <a:extLst>
                  <a:ext uri="{FF2B5EF4-FFF2-40B4-BE49-F238E27FC236}">
                    <a16:creationId xmlns:a16="http://schemas.microsoft.com/office/drawing/2014/main" id="{00000000-0008-0000-0200-00009C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432" name="569 Grupo">
              <a:extLst>
                <a:ext uri="{FF2B5EF4-FFF2-40B4-BE49-F238E27FC236}">
                  <a16:creationId xmlns:a16="http://schemas.microsoft.com/office/drawing/2014/main" id="{00000000-0008-0000-0200-000098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33" name="1234 Conector recto">
                <a:extLst>
                  <a:ext uri="{FF2B5EF4-FFF2-40B4-BE49-F238E27FC236}">
                    <a16:creationId xmlns:a16="http://schemas.microsoft.com/office/drawing/2014/main" id="{00000000-0008-0000-0200-000099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34" name="1235 Conector recto">
                <a:extLst>
                  <a:ext uri="{FF2B5EF4-FFF2-40B4-BE49-F238E27FC236}">
                    <a16:creationId xmlns:a16="http://schemas.microsoft.com/office/drawing/2014/main" id="{00000000-0008-0000-0200-00009A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390" name="586 Grupo">
            <a:extLst>
              <a:ext uri="{FF2B5EF4-FFF2-40B4-BE49-F238E27FC236}">
                <a16:creationId xmlns:a16="http://schemas.microsoft.com/office/drawing/2014/main" id="{00000000-0008-0000-0200-00006E050000}"/>
              </a:ext>
            </a:extLst>
          </xdr:cNvPr>
          <xdr:cNvGrpSpPr>
            <a:grpSpLocks/>
          </xdr:cNvGrpSpPr>
        </xdr:nvGrpSpPr>
        <xdr:grpSpPr bwMode="auto">
          <a:xfrm>
            <a:off x="14586833" y="3865670"/>
            <a:ext cx="5901863" cy="261705"/>
            <a:chOff x="14424932" y="5391150"/>
            <a:chExt cx="5829300" cy="270783"/>
          </a:xfrm>
        </xdr:grpSpPr>
        <xdr:grpSp>
          <xdr:nvGrpSpPr>
            <xdr:cNvPr id="1417" name="562 Grupo">
              <a:extLst>
                <a:ext uri="{FF2B5EF4-FFF2-40B4-BE49-F238E27FC236}">
                  <a16:creationId xmlns:a16="http://schemas.microsoft.com/office/drawing/2014/main" id="{00000000-0008-0000-0200-000089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27" name="1228 Conector recto">
                <a:extLst>
                  <a:ext uri="{FF2B5EF4-FFF2-40B4-BE49-F238E27FC236}">
                    <a16:creationId xmlns:a16="http://schemas.microsoft.com/office/drawing/2014/main" id="{00000000-0008-0000-0200-000093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28" name="1229 Conector recto">
                <a:extLst>
                  <a:ext uri="{FF2B5EF4-FFF2-40B4-BE49-F238E27FC236}">
                    <a16:creationId xmlns:a16="http://schemas.microsoft.com/office/drawing/2014/main" id="{00000000-0008-0000-0200-000094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418" name="563 Grupo">
              <a:extLst>
                <a:ext uri="{FF2B5EF4-FFF2-40B4-BE49-F238E27FC236}">
                  <a16:creationId xmlns:a16="http://schemas.microsoft.com/office/drawing/2014/main" id="{00000000-0008-0000-0200-00008A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25" name="1226 Conector recto">
                <a:extLst>
                  <a:ext uri="{FF2B5EF4-FFF2-40B4-BE49-F238E27FC236}">
                    <a16:creationId xmlns:a16="http://schemas.microsoft.com/office/drawing/2014/main" id="{00000000-0008-0000-0200-000091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26" name="1227 Conector recto">
                <a:extLst>
                  <a:ext uri="{FF2B5EF4-FFF2-40B4-BE49-F238E27FC236}">
                    <a16:creationId xmlns:a16="http://schemas.microsoft.com/office/drawing/2014/main" id="{00000000-0008-0000-0200-000092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419" name="566 Grupo">
              <a:extLst>
                <a:ext uri="{FF2B5EF4-FFF2-40B4-BE49-F238E27FC236}">
                  <a16:creationId xmlns:a16="http://schemas.microsoft.com/office/drawing/2014/main" id="{00000000-0008-0000-0200-00008B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23" name="1224 Conector recto">
                <a:extLst>
                  <a:ext uri="{FF2B5EF4-FFF2-40B4-BE49-F238E27FC236}">
                    <a16:creationId xmlns:a16="http://schemas.microsoft.com/office/drawing/2014/main" id="{00000000-0008-0000-0200-00008F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24" name="1225 Conector recto">
                <a:extLst>
                  <a:ext uri="{FF2B5EF4-FFF2-40B4-BE49-F238E27FC236}">
                    <a16:creationId xmlns:a16="http://schemas.microsoft.com/office/drawing/2014/main" id="{00000000-0008-0000-0200-000090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420" name="569 Grupo">
              <a:extLst>
                <a:ext uri="{FF2B5EF4-FFF2-40B4-BE49-F238E27FC236}">
                  <a16:creationId xmlns:a16="http://schemas.microsoft.com/office/drawing/2014/main" id="{00000000-0008-0000-0200-00008C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21" name="1222 Conector recto">
                <a:extLst>
                  <a:ext uri="{FF2B5EF4-FFF2-40B4-BE49-F238E27FC236}">
                    <a16:creationId xmlns:a16="http://schemas.microsoft.com/office/drawing/2014/main" id="{00000000-0008-0000-0200-00008D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22" name="1223 Conector recto">
                <a:extLst>
                  <a:ext uri="{FF2B5EF4-FFF2-40B4-BE49-F238E27FC236}">
                    <a16:creationId xmlns:a16="http://schemas.microsoft.com/office/drawing/2014/main" id="{00000000-0008-0000-0200-00008E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391" name="599 Grupo">
            <a:extLst>
              <a:ext uri="{FF2B5EF4-FFF2-40B4-BE49-F238E27FC236}">
                <a16:creationId xmlns:a16="http://schemas.microsoft.com/office/drawing/2014/main" id="{00000000-0008-0000-0200-00006F050000}"/>
              </a:ext>
            </a:extLst>
          </xdr:cNvPr>
          <xdr:cNvGrpSpPr>
            <a:grpSpLocks/>
          </xdr:cNvGrpSpPr>
        </xdr:nvGrpSpPr>
        <xdr:grpSpPr bwMode="auto">
          <a:xfrm>
            <a:off x="14596358" y="2494069"/>
            <a:ext cx="5901863" cy="261706"/>
            <a:chOff x="14424932" y="5391150"/>
            <a:chExt cx="5829300" cy="270783"/>
          </a:xfrm>
        </xdr:grpSpPr>
        <xdr:grpSp>
          <xdr:nvGrpSpPr>
            <xdr:cNvPr id="1405" name="562 Grupo">
              <a:extLst>
                <a:ext uri="{FF2B5EF4-FFF2-40B4-BE49-F238E27FC236}">
                  <a16:creationId xmlns:a16="http://schemas.microsoft.com/office/drawing/2014/main" id="{00000000-0008-0000-0200-00007D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15" name="1216 Conector recto">
                <a:extLst>
                  <a:ext uri="{FF2B5EF4-FFF2-40B4-BE49-F238E27FC236}">
                    <a16:creationId xmlns:a16="http://schemas.microsoft.com/office/drawing/2014/main" id="{00000000-0008-0000-0200-000087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16" name="1217 Conector recto">
                <a:extLst>
                  <a:ext uri="{FF2B5EF4-FFF2-40B4-BE49-F238E27FC236}">
                    <a16:creationId xmlns:a16="http://schemas.microsoft.com/office/drawing/2014/main" id="{00000000-0008-0000-0200-000088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406" name="563 Grupo">
              <a:extLst>
                <a:ext uri="{FF2B5EF4-FFF2-40B4-BE49-F238E27FC236}">
                  <a16:creationId xmlns:a16="http://schemas.microsoft.com/office/drawing/2014/main" id="{00000000-0008-0000-0200-00007E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13" name="1214 Conector recto">
                <a:extLst>
                  <a:ext uri="{FF2B5EF4-FFF2-40B4-BE49-F238E27FC236}">
                    <a16:creationId xmlns:a16="http://schemas.microsoft.com/office/drawing/2014/main" id="{00000000-0008-0000-0200-000085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14" name="1215 Conector recto">
                <a:extLst>
                  <a:ext uri="{FF2B5EF4-FFF2-40B4-BE49-F238E27FC236}">
                    <a16:creationId xmlns:a16="http://schemas.microsoft.com/office/drawing/2014/main" id="{00000000-0008-0000-0200-000086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407" name="566 Grupo">
              <a:extLst>
                <a:ext uri="{FF2B5EF4-FFF2-40B4-BE49-F238E27FC236}">
                  <a16:creationId xmlns:a16="http://schemas.microsoft.com/office/drawing/2014/main" id="{00000000-0008-0000-0200-00007F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11" name="1212 Conector recto">
                <a:extLst>
                  <a:ext uri="{FF2B5EF4-FFF2-40B4-BE49-F238E27FC236}">
                    <a16:creationId xmlns:a16="http://schemas.microsoft.com/office/drawing/2014/main" id="{00000000-0008-0000-0200-000083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12" name="1213 Conector recto">
                <a:extLst>
                  <a:ext uri="{FF2B5EF4-FFF2-40B4-BE49-F238E27FC236}">
                    <a16:creationId xmlns:a16="http://schemas.microsoft.com/office/drawing/2014/main" id="{00000000-0008-0000-0200-000084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408" name="569 Grupo">
              <a:extLst>
                <a:ext uri="{FF2B5EF4-FFF2-40B4-BE49-F238E27FC236}">
                  <a16:creationId xmlns:a16="http://schemas.microsoft.com/office/drawing/2014/main" id="{00000000-0008-0000-0200-000080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09" name="1210 Conector recto">
                <a:extLst>
                  <a:ext uri="{FF2B5EF4-FFF2-40B4-BE49-F238E27FC236}">
                    <a16:creationId xmlns:a16="http://schemas.microsoft.com/office/drawing/2014/main" id="{00000000-0008-0000-0200-000081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10" name="1211 Conector recto">
                <a:extLst>
                  <a:ext uri="{FF2B5EF4-FFF2-40B4-BE49-F238E27FC236}">
                    <a16:creationId xmlns:a16="http://schemas.microsoft.com/office/drawing/2014/main" id="{00000000-0008-0000-0200-000082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392" name="612 Grupo">
            <a:extLst>
              <a:ext uri="{FF2B5EF4-FFF2-40B4-BE49-F238E27FC236}">
                <a16:creationId xmlns:a16="http://schemas.microsoft.com/office/drawing/2014/main" id="{00000000-0008-0000-0200-000070050000}"/>
              </a:ext>
            </a:extLst>
          </xdr:cNvPr>
          <xdr:cNvGrpSpPr>
            <a:grpSpLocks/>
          </xdr:cNvGrpSpPr>
        </xdr:nvGrpSpPr>
        <xdr:grpSpPr bwMode="auto">
          <a:xfrm>
            <a:off x="14585472" y="7805965"/>
            <a:ext cx="5901863" cy="266247"/>
            <a:chOff x="14424932" y="5391150"/>
            <a:chExt cx="5829300" cy="270783"/>
          </a:xfrm>
        </xdr:grpSpPr>
        <xdr:grpSp>
          <xdr:nvGrpSpPr>
            <xdr:cNvPr id="1393" name="562 Grupo">
              <a:extLst>
                <a:ext uri="{FF2B5EF4-FFF2-40B4-BE49-F238E27FC236}">
                  <a16:creationId xmlns:a16="http://schemas.microsoft.com/office/drawing/2014/main" id="{00000000-0008-0000-0200-000071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03" name="1204 Conector recto">
                <a:extLst>
                  <a:ext uri="{FF2B5EF4-FFF2-40B4-BE49-F238E27FC236}">
                    <a16:creationId xmlns:a16="http://schemas.microsoft.com/office/drawing/2014/main" id="{00000000-0008-0000-0200-00007B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04" name="1205 Conector recto">
                <a:extLst>
                  <a:ext uri="{FF2B5EF4-FFF2-40B4-BE49-F238E27FC236}">
                    <a16:creationId xmlns:a16="http://schemas.microsoft.com/office/drawing/2014/main" id="{00000000-0008-0000-0200-00007C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394" name="563 Grupo">
              <a:extLst>
                <a:ext uri="{FF2B5EF4-FFF2-40B4-BE49-F238E27FC236}">
                  <a16:creationId xmlns:a16="http://schemas.microsoft.com/office/drawing/2014/main" id="{00000000-0008-0000-0200-000072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01" name="1202 Conector recto">
                <a:extLst>
                  <a:ext uri="{FF2B5EF4-FFF2-40B4-BE49-F238E27FC236}">
                    <a16:creationId xmlns:a16="http://schemas.microsoft.com/office/drawing/2014/main" id="{00000000-0008-0000-0200-000079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02" name="1203 Conector recto">
                <a:extLst>
                  <a:ext uri="{FF2B5EF4-FFF2-40B4-BE49-F238E27FC236}">
                    <a16:creationId xmlns:a16="http://schemas.microsoft.com/office/drawing/2014/main" id="{00000000-0008-0000-0200-00007A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395" name="566 Grupo">
              <a:extLst>
                <a:ext uri="{FF2B5EF4-FFF2-40B4-BE49-F238E27FC236}">
                  <a16:creationId xmlns:a16="http://schemas.microsoft.com/office/drawing/2014/main" id="{00000000-0008-0000-0200-000073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399" name="1200 Conector recto">
                <a:extLst>
                  <a:ext uri="{FF2B5EF4-FFF2-40B4-BE49-F238E27FC236}">
                    <a16:creationId xmlns:a16="http://schemas.microsoft.com/office/drawing/2014/main" id="{00000000-0008-0000-0200-000077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00" name="1201 Conector recto">
                <a:extLst>
                  <a:ext uri="{FF2B5EF4-FFF2-40B4-BE49-F238E27FC236}">
                    <a16:creationId xmlns:a16="http://schemas.microsoft.com/office/drawing/2014/main" id="{00000000-0008-0000-0200-000078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396" name="569 Grupo">
              <a:extLst>
                <a:ext uri="{FF2B5EF4-FFF2-40B4-BE49-F238E27FC236}">
                  <a16:creationId xmlns:a16="http://schemas.microsoft.com/office/drawing/2014/main" id="{00000000-0008-0000-0200-000074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397" name="1198 Conector recto">
                <a:extLst>
                  <a:ext uri="{FF2B5EF4-FFF2-40B4-BE49-F238E27FC236}">
                    <a16:creationId xmlns:a16="http://schemas.microsoft.com/office/drawing/2014/main" id="{00000000-0008-0000-0200-000075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398" name="1199 Conector recto">
                <a:extLst>
                  <a:ext uri="{FF2B5EF4-FFF2-40B4-BE49-F238E27FC236}">
                    <a16:creationId xmlns:a16="http://schemas.microsoft.com/office/drawing/2014/main" id="{00000000-0008-0000-0200-000076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</xdr:grpSp>
    <xdr:clientData/>
  </xdr:twoCellAnchor>
  <xdr:twoCellAnchor>
    <xdr:from>
      <xdr:col>8</xdr:col>
      <xdr:colOff>152400</xdr:colOff>
      <xdr:row>2</xdr:row>
      <xdr:rowOff>76200</xdr:rowOff>
    </xdr:from>
    <xdr:to>
      <xdr:col>8</xdr:col>
      <xdr:colOff>774700</xdr:colOff>
      <xdr:row>2</xdr:row>
      <xdr:rowOff>609600</xdr:rowOff>
    </xdr:to>
    <xdr:grpSp>
      <xdr:nvGrpSpPr>
        <xdr:cNvPr id="1470" name="1187 Grupo">
          <a:extLst>
            <a:ext uri="{FF2B5EF4-FFF2-40B4-BE49-F238E27FC236}">
              <a16:creationId xmlns:a16="http://schemas.microsoft.com/office/drawing/2014/main" id="{00000000-0008-0000-0200-0000BE050000}"/>
            </a:ext>
          </a:extLst>
        </xdr:cNvPr>
        <xdr:cNvGrpSpPr>
          <a:grpSpLocks/>
        </xdr:cNvGrpSpPr>
      </xdr:nvGrpSpPr>
      <xdr:grpSpPr bwMode="auto">
        <a:xfrm>
          <a:off x="8585200" y="1206500"/>
          <a:ext cx="622300" cy="533400"/>
          <a:chOff x="12578073" y="988919"/>
          <a:chExt cx="9678677" cy="8510681"/>
        </a:xfrm>
      </xdr:grpSpPr>
      <xdr:grpSp>
        <xdr:nvGrpSpPr>
          <xdr:cNvPr id="1471" name="629 Grupo">
            <a:extLst>
              <a:ext uri="{FF2B5EF4-FFF2-40B4-BE49-F238E27FC236}">
                <a16:creationId xmlns:a16="http://schemas.microsoft.com/office/drawing/2014/main" id="{00000000-0008-0000-0200-0000BF050000}"/>
              </a:ext>
            </a:extLst>
          </xdr:cNvPr>
          <xdr:cNvGrpSpPr>
            <a:grpSpLocks/>
          </xdr:cNvGrpSpPr>
        </xdr:nvGrpSpPr>
        <xdr:grpSpPr bwMode="auto">
          <a:xfrm>
            <a:off x="12578073" y="988919"/>
            <a:ext cx="9678677" cy="8510681"/>
            <a:chOff x="12578073" y="988919"/>
            <a:chExt cx="9678677" cy="8510681"/>
          </a:xfrm>
        </xdr:grpSpPr>
        <xdr:grpSp>
          <xdr:nvGrpSpPr>
            <xdr:cNvPr id="1537" name="410 Grupo">
              <a:extLst>
                <a:ext uri="{FF2B5EF4-FFF2-40B4-BE49-F238E27FC236}">
                  <a16:creationId xmlns:a16="http://schemas.microsoft.com/office/drawing/2014/main" id="{00000000-0008-0000-0200-00000106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2578073" y="988919"/>
              <a:ext cx="9678677" cy="8510681"/>
              <a:chOff x="6659658" y="3011580"/>
              <a:chExt cx="3859213" cy="3443007"/>
            </a:xfrm>
          </xdr:grpSpPr>
          <xdr:grpSp>
            <xdr:nvGrpSpPr>
              <xdr:cNvPr id="1542" name="Group 1078">
                <a:extLst>
                  <a:ext uri="{FF2B5EF4-FFF2-40B4-BE49-F238E27FC236}">
                    <a16:creationId xmlns:a16="http://schemas.microsoft.com/office/drawing/2014/main" id="{00000000-0008-0000-0200-00000606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659658" y="3011580"/>
                <a:ext cx="3859213" cy="3443007"/>
                <a:chOff x="394" y="56"/>
                <a:chExt cx="121" cy="99"/>
              </a:xfrm>
            </xdr:grpSpPr>
            <xdr:sp macro="" textlink="">
              <xdr:nvSpPr>
                <xdr:cNvPr id="1544" name="Rectangle 1079">
                  <a:extLst>
                    <a:ext uri="{FF2B5EF4-FFF2-40B4-BE49-F238E27FC236}">
                      <a16:creationId xmlns:a16="http://schemas.microsoft.com/office/drawing/2014/main" id="{00000000-0008-0000-0200-000008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4" y="56"/>
                  <a:ext cx="121" cy="99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45" name="Rectangle 1080">
                  <a:extLst>
                    <a:ext uri="{FF2B5EF4-FFF2-40B4-BE49-F238E27FC236}">
                      <a16:creationId xmlns:a16="http://schemas.microsoft.com/office/drawing/2014/main" id="{00000000-0008-0000-0200-000009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46" name="Rectangle 1081">
                  <a:extLst>
                    <a:ext uri="{FF2B5EF4-FFF2-40B4-BE49-F238E27FC236}">
                      <a16:creationId xmlns:a16="http://schemas.microsoft.com/office/drawing/2014/main" id="{00000000-0008-0000-0200-00000A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47" name="Rectangle 1082">
                  <a:extLst>
                    <a:ext uri="{FF2B5EF4-FFF2-40B4-BE49-F238E27FC236}">
                      <a16:creationId xmlns:a16="http://schemas.microsoft.com/office/drawing/2014/main" id="{00000000-0008-0000-0200-00000B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21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48" name="Rectangle 1083">
                  <a:extLst>
                    <a:ext uri="{FF2B5EF4-FFF2-40B4-BE49-F238E27FC236}">
                      <a16:creationId xmlns:a16="http://schemas.microsoft.com/office/drawing/2014/main" id="{00000000-0008-0000-0200-00000C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45" y="59"/>
                  <a:ext cx="23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49" name="Rectangle 1086">
                  <a:extLst>
                    <a:ext uri="{FF2B5EF4-FFF2-40B4-BE49-F238E27FC236}">
                      <a16:creationId xmlns:a16="http://schemas.microsoft.com/office/drawing/2014/main" id="{00000000-0008-0000-0200-00000D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50" name="Rectangle 1087">
                  <a:extLst>
                    <a:ext uri="{FF2B5EF4-FFF2-40B4-BE49-F238E27FC236}">
                      <a16:creationId xmlns:a16="http://schemas.microsoft.com/office/drawing/2014/main" id="{00000000-0008-0000-0200-00000E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137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51" name="Rectangle 1088">
                  <a:extLst>
                    <a:ext uri="{FF2B5EF4-FFF2-40B4-BE49-F238E27FC236}">
                      <a16:creationId xmlns:a16="http://schemas.microsoft.com/office/drawing/2014/main" id="{00000000-0008-0000-0200-00000F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75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52" name="Rectangle 1089">
                  <a:extLst>
                    <a:ext uri="{FF2B5EF4-FFF2-40B4-BE49-F238E27FC236}">
                      <a16:creationId xmlns:a16="http://schemas.microsoft.com/office/drawing/2014/main" id="{00000000-0008-0000-0200-000010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91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53" name="Rectangle 1093">
                  <a:extLst>
                    <a:ext uri="{FF2B5EF4-FFF2-40B4-BE49-F238E27FC236}">
                      <a16:creationId xmlns:a16="http://schemas.microsoft.com/office/drawing/2014/main" id="{00000000-0008-0000-0200-000011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91" y="59"/>
                  <a:ext cx="21" cy="94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</xdr:grpSp>
          <xdr:sp macro="" textlink="">
            <xdr:nvSpPr>
              <xdr:cNvPr id="1543" name="Rectangle 1087">
                <a:extLst>
                  <a:ext uri="{FF2B5EF4-FFF2-40B4-BE49-F238E27FC236}">
                    <a16:creationId xmlns:a16="http://schemas.microsoft.com/office/drawing/2014/main" id="{00000000-0008-0000-0200-00000706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754555" y="5297606"/>
                <a:ext cx="3672128" cy="527247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</xdr:grpSp>
        <xdr:sp macro="" textlink="">
          <xdr:nvSpPr>
            <xdr:cNvPr id="1538" name="Rectangle 1082">
              <a:extLst>
                <a:ext uri="{FF2B5EF4-FFF2-40B4-BE49-F238E27FC236}">
                  <a16:creationId xmlns:a16="http://schemas.microsoft.com/office/drawing/2014/main" id="{00000000-0008-0000-0200-0000020600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4603186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539" name="Rectangle 1082">
              <a:extLst>
                <a:ext uri="{FF2B5EF4-FFF2-40B4-BE49-F238E27FC236}">
                  <a16:creationId xmlns:a16="http://schemas.microsoft.com/office/drawing/2014/main" id="{00000000-0008-0000-0200-0000030600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6535400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540" name="Rectangle 1082">
              <a:extLst>
                <a:ext uri="{FF2B5EF4-FFF2-40B4-BE49-F238E27FC236}">
                  <a16:creationId xmlns:a16="http://schemas.microsoft.com/office/drawing/2014/main" id="{00000000-0008-0000-0200-0000040600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8356943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541" name="Rectangle 1082">
              <a:extLst>
                <a:ext uri="{FF2B5EF4-FFF2-40B4-BE49-F238E27FC236}">
                  <a16:creationId xmlns:a16="http://schemas.microsoft.com/office/drawing/2014/main" id="{00000000-0008-0000-0200-0000050600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20212957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472" name="572 Grupo">
            <a:extLst>
              <a:ext uri="{FF2B5EF4-FFF2-40B4-BE49-F238E27FC236}">
                <a16:creationId xmlns:a16="http://schemas.microsoft.com/office/drawing/2014/main" id="{00000000-0008-0000-0200-0000C0050000}"/>
              </a:ext>
            </a:extLst>
          </xdr:cNvPr>
          <xdr:cNvGrpSpPr>
            <a:grpSpLocks/>
          </xdr:cNvGrpSpPr>
        </xdr:nvGrpSpPr>
        <xdr:grpSpPr bwMode="auto">
          <a:xfrm>
            <a:off x="14588193" y="5241471"/>
            <a:ext cx="5901863" cy="266248"/>
            <a:chOff x="14424932" y="5391150"/>
            <a:chExt cx="5829300" cy="270783"/>
          </a:xfrm>
        </xdr:grpSpPr>
        <xdr:grpSp>
          <xdr:nvGrpSpPr>
            <xdr:cNvPr id="1525" name="562 Grupo">
              <a:extLst>
                <a:ext uri="{FF2B5EF4-FFF2-40B4-BE49-F238E27FC236}">
                  <a16:creationId xmlns:a16="http://schemas.microsoft.com/office/drawing/2014/main" id="{00000000-0008-0000-0200-0000F5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35" name="1252 Conector recto">
                <a:extLst>
                  <a:ext uri="{FF2B5EF4-FFF2-40B4-BE49-F238E27FC236}">
                    <a16:creationId xmlns:a16="http://schemas.microsoft.com/office/drawing/2014/main" id="{00000000-0008-0000-0200-0000FF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36" name="1253 Conector recto">
                <a:extLst>
                  <a:ext uri="{FF2B5EF4-FFF2-40B4-BE49-F238E27FC236}">
                    <a16:creationId xmlns:a16="http://schemas.microsoft.com/office/drawing/2014/main" id="{00000000-0008-0000-0200-000000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26" name="563 Grupo">
              <a:extLst>
                <a:ext uri="{FF2B5EF4-FFF2-40B4-BE49-F238E27FC236}">
                  <a16:creationId xmlns:a16="http://schemas.microsoft.com/office/drawing/2014/main" id="{00000000-0008-0000-0200-0000F6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33" name="1250 Conector recto">
                <a:extLst>
                  <a:ext uri="{FF2B5EF4-FFF2-40B4-BE49-F238E27FC236}">
                    <a16:creationId xmlns:a16="http://schemas.microsoft.com/office/drawing/2014/main" id="{00000000-0008-0000-0200-0000FD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34" name="1251 Conector recto">
                <a:extLst>
                  <a:ext uri="{FF2B5EF4-FFF2-40B4-BE49-F238E27FC236}">
                    <a16:creationId xmlns:a16="http://schemas.microsoft.com/office/drawing/2014/main" id="{00000000-0008-0000-0200-0000FE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27" name="566 Grupo">
              <a:extLst>
                <a:ext uri="{FF2B5EF4-FFF2-40B4-BE49-F238E27FC236}">
                  <a16:creationId xmlns:a16="http://schemas.microsoft.com/office/drawing/2014/main" id="{00000000-0008-0000-0200-0000F7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31" name="1248 Conector recto">
                <a:extLst>
                  <a:ext uri="{FF2B5EF4-FFF2-40B4-BE49-F238E27FC236}">
                    <a16:creationId xmlns:a16="http://schemas.microsoft.com/office/drawing/2014/main" id="{00000000-0008-0000-0200-0000FB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32" name="1249 Conector recto">
                <a:extLst>
                  <a:ext uri="{FF2B5EF4-FFF2-40B4-BE49-F238E27FC236}">
                    <a16:creationId xmlns:a16="http://schemas.microsoft.com/office/drawing/2014/main" id="{00000000-0008-0000-0200-0000FC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28" name="569 Grupo">
              <a:extLst>
                <a:ext uri="{FF2B5EF4-FFF2-40B4-BE49-F238E27FC236}">
                  <a16:creationId xmlns:a16="http://schemas.microsoft.com/office/drawing/2014/main" id="{00000000-0008-0000-0200-0000F8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29" name="1246 Conector recto">
                <a:extLst>
                  <a:ext uri="{FF2B5EF4-FFF2-40B4-BE49-F238E27FC236}">
                    <a16:creationId xmlns:a16="http://schemas.microsoft.com/office/drawing/2014/main" id="{00000000-0008-0000-0200-0000F9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30" name="1247 Conector recto">
                <a:extLst>
                  <a:ext uri="{FF2B5EF4-FFF2-40B4-BE49-F238E27FC236}">
                    <a16:creationId xmlns:a16="http://schemas.microsoft.com/office/drawing/2014/main" id="{00000000-0008-0000-0200-0000FA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473" name="573 Grupo">
            <a:extLst>
              <a:ext uri="{FF2B5EF4-FFF2-40B4-BE49-F238E27FC236}">
                <a16:creationId xmlns:a16="http://schemas.microsoft.com/office/drawing/2014/main" id="{00000000-0008-0000-0200-0000C1050000}"/>
              </a:ext>
            </a:extLst>
          </xdr:cNvPr>
          <xdr:cNvGrpSpPr>
            <a:grpSpLocks/>
          </xdr:cNvGrpSpPr>
        </xdr:nvGrpSpPr>
        <xdr:grpSpPr bwMode="auto">
          <a:xfrm>
            <a:off x="14590915" y="6505000"/>
            <a:ext cx="5901863" cy="261706"/>
            <a:chOff x="14424932" y="5391150"/>
            <a:chExt cx="5829300" cy="270783"/>
          </a:xfrm>
        </xdr:grpSpPr>
        <xdr:grpSp>
          <xdr:nvGrpSpPr>
            <xdr:cNvPr id="1513" name="562 Grupo">
              <a:extLst>
                <a:ext uri="{FF2B5EF4-FFF2-40B4-BE49-F238E27FC236}">
                  <a16:creationId xmlns:a16="http://schemas.microsoft.com/office/drawing/2014/main" id="{00000000-0008-0000-0200-0000E9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23" name="1240 Conector recto">
                <a:extLst>
                  <a:ext uri="{FF2B5EF4-FFF2-40B4-BE49-F238E27FC236}">
                    <a16:creationId xmlns:a16="http://schemas.microsoft.com/office/drawing/2014/main" id="{00000000-0008-0000-0200-0000F3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24" name="1241 Conector recto">
                <a:extLst>
                  <a:ext uri="{FF2B5EF4-FFF2-40B4-BE49-F238E27FC236}">
                    <a16:creationId xmlns:a16="http://schemas.microsoft.com/office/drawing/2014/main" id="{00000000-0008-0000-0200-0000F4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14" name="563 Grupo">
              <a:extLst>
                <a:ext uri="{FF2B5EF4-FFF2-40B4-BE49-F238E27FC236}">
                  <a16:creationId xmlns:a16="http://schemas.microsoft.com/office/drawing/2014/main" id="{00000000-0008-0000-0200-0000EA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21" name="1238 Conector recto">
                <a:extLst>
                  <a:ext uri="{FF2B5EF4-FFF2-40B4-BE49-F238E27FC236}">
                    <a16:creationId xmlns:a16="http://schemas.microsoft.com/office/drawing/2014/main" id="{00000000-0008-0000-0200-0000F1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22" name="1239 Conector recto">
                <a:extLst>
                  <a:ext uri="{FF2B5EF4-FFF2-40B4-BE49-F238E27FC236}">
                    <a16:creationId xmlns:a16="http://schemas.microsoft.com/office/drawing/2014/main" id="{00000000-0008-0000-0200-0000F2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15" name="566 Grupo">
              <a:extLst>
                <a:ext uri="{FF2B5EF4-FFF2-40B4-BE49-F238E27FC236}">
                  <a16:creationId xmlns:a16="http://schemas.microsoft.com/office/drawing/2014/main" id="{00000000-0008-0000-0200-0000EB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19" name="1236 Conector recto">
                <a:extLst>
                  <a:ext uri="{FF2B5EF4-FFF2-40B4-BE49-F238E27FC236}">
                    <a16:creationId xmlns:a16="http://schemas.microsoft.com/office/drawing/2014/main" id="{00000000-0008-0000-0200-0000EF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20" name="1237 Conector recto">
                <a:extLst>
                  <a:ext uri="{FF2B5EF4-FFF2-40B4-BE49-F238E27FC236}">
                    <a16:creationId xmlns:a16="http://schemas.microsoft.com/office/drawing/2014/main" id="{00000000-0008-0000-0200-0000F0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16" name="569 Grupo">
              <a:extLst>
                <a:ext uri="{FF2B5EF4-FFF2-40B4-BE49-F238E27FC236}">
                  <a16:creationId xmlns:a16="http://schemas.microsoft.com/office/drawing/2014/main" id="{00000000-0008-0000-0200-0000EC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17" name="1234 Conector recto">
                <a:extLst>
                  <a:ext uri="{FF2B5EF4-FFF2-40B4-BE49-F238E27FC236}">
                    <a16:creationId xmlns:a16="http://schemas.microsoft.com/office/drawing/2014/main" id="{00000000-0008-0000-0200-0000ED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18" name="1235 Conector recto">
                <a:extLst>
                  <a:ext uri="{FF2B5EF4-FFF2-40B4-BE49-F238E27FC236}">
                    <a16:creationId xmlns:a16="http://schemas.microsoft.com/office/drawing/2014/main" id="{00000000-0008-0000-0200-0000EE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474" name="586 Grupo">
            <a:extLst>
              <a:ext uri="{FF2B5EF4-FFF2-40B4-BE49-F238E27FC236}">
                <a16:creationId xmlns:a16="http://schemas.microsoft.com/office/drawing/2014/main" id="{00000000-0008-0000-0200-0000C2050000}"/>
              </a:ext>
            </a:extLst>
          </xdr:cNvPr>
          <xdr:cNvGrpSpPr>
            <a:grpSpLocks/>
          </xdr:cNvGrpSpPr>
        </xdr:nvGrpSpPr>
        <xdr:grpSpPr bwMode="auto">
          <a:xfrm>
            <a:off x="14586833" y="3865670"/>
            <a:ext cx="5901863" cy="261705"/>
            <a:chOff x="14424932" y="5391150"/>
            <a:chExt cx="5829300" cy="270783"/>
          </a:xfrm>
        </xdr:grpSpPr>
        <xdr:grpSp>
          <xdr:nvGrpSpPr>
            <xdr:cNvPr id="1501" name="562 Grupo">
              <a:extLst>
                <a:ext uri="{FF2B5EF4-FFF2-40B4-BE49-F238E27FC236}">
                  <a16:creationId xmlns:a16="http://schemas.microsoft.com/office/drawing/2014/main" id="{00000000-0008-0000-0200-0000DD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11" name="1228 Conector recto">
                <a:extLst>
                  <a:ext uri="{FF2B5EF4-FFF2-40B4-BE49-F238E27FC236}">
                    <a16:creationId xmlns:a16="http://schemas.microsoft.com/office/drawing/2014/main" id="{00000000-0008-0000-0200-0000E7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12" name="1229 Conector recto">
                <a:extLst>
                  <a:ext uri="{FF2B5EF4-FFF2-40B4-BE49-F238E27FC236}">
                    <a16:creationId xmlns:a16="http://schemas.microsoft.com/office/drawing/2014/main" id="{00000000-0008-0000-0200-0000E8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02" name="563 Grupo">
              <a:extLst>
                <a:ext uri="{FF2B5EF4-FFF2-40B4-BE49-F238E27FC236}">
                  <a16:creationId xmlns:a16="http://schemas.microsoft.com/office/drawing/2014/main" id="{00000000-0008-0000-0200-0000DE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09" name="1226 Conector recto">
                <a:extLst>
                  <a:ext uri="{FF2B5EF4-FFF2-40B4-BE49-F238E27FC236}">
                    <a16:creationId xmlns:a16="http://schemas.microsoft.com/office/drawing/2014/main" id="{00000000-0008-0000-0200-0000E5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10" name="1227 Conector recto">
                <a:extLst>
                  <a:ext uri="{FF2B5EF4-FFF2-40B4-BE49-F238E27FC236}">
                    <a16:creationId xmlns:a16="http://schemas.microsoft.com/office/drawing/2014/main" id="{00000000-0008-0000-0200-0000E6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03" name="566 Grupo">
              <a:extLst>
                <a:ext uri="{FF2B5EF4-FFF2-40B4-BE49-F238E27FC236}">
                  <a16:creationId xmlns:a16="http://schemas.microsoft.com/office/drawing/2014/main" id="{00000000-0008-0000-0200-0000DF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07" name="1224 Conector recto">
                <a:extLst>
                  <a:ext uri="{FF2B5EF4-FFF2-40B4-BE49-F238E27FC236}">
                    <a16:creationId xmlns:a16="http://schemas.microsoft.com/office/drawing/2014/main" id="{00000000-0008-0000-0200-0000E3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08" name="1225 Conector recto">
                <a:extLst>
                  <a:ext uri="{FF2B5EF4-FFF2-40B4-BE49-F238E27FC236}">
                    <a16:creationId xmlns:a16="http://schemas.microsoft.com/office/drawing/2014/main" id="{00000000-0008-0000-0200-0000E4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04" name="569 Grupo">
              <a:extLst>
                <a:ext uri="{FF2B5EF4-FFF2-40B4-BE49-F238E27FC236}">
                  <a16:creationId xmlns:a16="http://schemas.microsoft.com/office/drawing/2014/main" id="{00000000-0008-0000-0200-0000E0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05" name="1222 Conector recto">
                <a:extLst>
                  <a:ext uri="{FF2B5EF4-FFF2-40B4-BE49-F238E27FC236}">
                    <a16:creationId xmlns:a16="http://schemas.microsoft.com/office/drawing/2014/main" id="{00000000-0008-0000-0200-0000E1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06" name="1223 Conector recto">
                <a:extLst>
                  <a:ext uri="{FF2B5EF4-FFF2-40B4-BE49-F238E27FC236}">
                    <a16:creationId xmlns:a16="http://schemas.microsoft.com/office/drawing/2014/main" id="{00000000-0008-0000-0200-0000E2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475" name="599 Grupo">
            <a:extLst>
              <a:ext uri="{FF2B5EF4-FFF2-40B4-BE49-F238E27FC236}">
                <a16:creationId xmlns:a16="http://schemas.microsoft.com/office/drawing/2014/main" id="{00000000-0008-0000-0200-0000C3050000}"/>
              </a:ext>
            </a:extLst>
          </xdr:cNvPr>
          <xdr:cNvGrpSpPr>
            <a:grpSpLocks/>
          </xdr:cNvGrpSpPr>
        </xdr:nvGrpSpPr>
        <xdr:grpSpPr bwMode="auto">
          <a:xfrm>
            <a:off x="14596358" y="2494069"/>
            <a:ext cx="5901863" cy="261706"/>
            <a:chOff x="14424932" y="5391150"/>
            <a:chExt cx="5829300" cy="270783"/>
          </a:xfrm>
        </xdr:grpSpPr>
        <xdr:grpSp>
          <xdr:nvGrpSpPr>
            <xdr:cNvPr id="1489" name="562 Grupo">
              <a:extLst>
                <a:ext uri="{FF2B5EF4-FFF2-40B4-BE49-F238E27FC236}">
                  <a16:creationId xmlns:a16="http://schemas.microsoft.com/office/drawing/2014/main" id="{00000000-0008-0000-0200-0000D1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99" name="1216 Conector recto">
                <a:extLst>
                  <a:ext uri="{FF2B5EF4-FFF2-40B4-BE49-F238E27FC236}">
                    <a16:creationId xmlns:a16="http://schemas.microsoft.com/office/drawing/2014/main" id="{00000000-0008-0000-0200-0000DB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00" name="1217 Conector recto">
                <a:extLst>
                  <a:ext uri="{FF2B5EF4-FFF2-40B4-BE49-F238E27FC236}">
                    <a16:creationId xmlns:a16="http://schemas.microsoft.com/office/drawing/2014/main" id="{00000000-0008-0000-0200-0000DC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490" name="563 Grupo">
              <a:extLst>
                <a:ext uri="{FF2B5EF4-FFF2-40B4-BE49-F238E27FC236}">
                  <a16:creationId xmlns:a16="http://schemas.microsoft.com/office/drawing/2014/main" id="{00000000-0008-0000-0200-0000D2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97" name="1214 Conector recto">
                <a:extLst>
                  <a:ext uri="{FF2B5EF4-FFF2-40B4-BE49-F238E27FC236}">
                    <a16:creationId xmlns:a16="http://schemas.microsoft.com/office/drawing/2014/main" id="{00000000-0008-0000-0200-0000D9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98" name="1215 Conector recto">
                <a:extLst>
                  <a:ext uri="{FF2B5EF4-FFF2-40B4-BE49-F238E27FC236}">
                    <a16:creationId xmlns:a16="http://schemas.microsoft.com/office/drawing/2014/main" id="{00000000-0008-0000-0200-0000DA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491" name="566 Grupo">
              <a:extLst>
                <a:ext uri="{FF2B5EF4-FFF2-40B4-BE49-F238E27FC236}">
                  <a16:creationId xmlns:a16="http://schemas.microsoft.com/office/drawing/2014/main" id="{00000000-0008-0000-0200-0000D3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95" name="1212 Conector recto">
                <a:extLst>
                  <a:ext uri="{FF2B5EF4-FFF2-40B4-BE49-F238E27FC236}">
                    <a16:creationId xmlns:a16="http://schemas.microsoft.com/office/drawing/2014/main" id="{00000000-0008-0000-0200-0000D7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96" name="1213 Conector recto">
                <a:extLst>
                  <a:ext uri="{FF2B5EF4-FFF2-40B4-BE49-F238E27FC236}">
                    <a16:creationId xmlns:a16="http://schemas.microsoft.com/office/drawing/2014/main" id="{00000000-0008-0000-0200-0000D8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492" name="569 Grupo">
              <a:extLst>
                <a:ext uri="{FF2B5EF4-FFF2-40B4-BE49-F238E27FC236}">
                  <a16:creationId xmlns:a16="http://schemas.microsoft.com/office/drawing/2014/main" id="{00000000-0008-0000-0200-0000D4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93" name="1210 Conector recto">
                <a:extLst>
                  <a:ext uri="{FF2B5EF4-FFF2-40B4-BE49-F238E27FC236}">
                    <a16:creationId xmlns:a16="http://schemas.microsoft.com/office/drawing/2014/main" id="{00000000-0008-0000-0200-0000D5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94" name="1211 Conector recto">
                <a:extLst>
                  <a:ext uri="{FF2B5EF4-FFF2-40B4-BE49-F238E27FC236}">
                    <a16:creationId xmlns:a16="http://schemas.microsoft.com/office/drawing/2014/main" id="{00000000-0008-0000-0200-0000D6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476" name="612 Grupo">
            <a:extLst>
              <a:ext uri="{FF2B5EF4-FFF2-40B4-BE49-F238E27FC236}">
                <a16:creationId xmlns:a16="http://schemas.microsoft.com/office/drawing/2014/main" id="{00000000-0008-0000-0200-0000C4050000}"/>
              </a:ext>
            </a:extLst>
          </xdr:cNvPr>
          <xdr:cNvGrpSpPr>
            <a:grpSpLocks/>
          </xdr:cNvGrpSpPr>
        </xdr:nvGrpSpPr>
        <xdr:grpSpPr bwMode="auto">
          <a:xfrm>
            <a:off x="14585472" y="7805965"/>
            <a:ext cx="5901863" cy="266247"/>
            <a:chOff x="14424932" y="5391150"/>
            <a:chExt cx="5829300" cy="270783"/>
          </a:xfrm>
        </xdr:grpSpPr>
        <xdr:grpSp>
          <xdr:nvGrpSpPr>
            <xdr:cNvPr id="1477" name="562 Grupo">
              <a:extLst>
                <a:ext uri="{FF2B5EF4-FFF2-40B4-BE49-F238E27FC236}">
                  <a16:creationId xmlns:a16="http://schemas.microsoft.com/office/drawing/2014/main" id="{00000000-0008-0000-0200-0000C5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87" name="1204 Conector recto">
                <a:extLst>
                  <a:ext uri="{FF2B5EF4-FFF2-40B4-BE49-F238E27FC236}">
                    <a16:creationId xmlns:a16="http://schemas.microsoft.com/office/drawing/2014/main" id="{00000000-0008-0000-0200-0000CF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88" name="1205 Conector recto">
                <a:extLst>
                  <a:ext uri="{FF2B5EF4-FFF2-40B4-BE49-F238E27FC236}">
                    <a16:creationId xmlns:a16="http://schemas.microsoft.com/office/drawing/2014/main" id="{00000000-0008-0000-0200-0000D0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478" name="563 Grupo">
              <a:extLst>
                <a:ext uri="{FF2B5EF4-FFF2-40B4-BE49-F238E27FC236}">
                  <a16:creationId xmlns:a16="http://schemas.microsoft.com/office/drawing/2014/main" id="{00000000-0008-0000-0200-0000C6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85" name="1202 Conector recto">
                <a:extLst>
                  <a:ext uri="{FF2B5EF4-FFF2-40B4-BE49-F238E27FC236}">
                    <a16:creationId xmlns:a16="http://schemas.microsoft.com/office/drawing/2014/main" id="{00000000-0008-0000-0200-0000CD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86" name="1203 Conector recto">
                <a:extLst>
                  <a:ext uri="{FF2B5EF4-FFF2-40B4-BE49-F238E27FC236}">
                    <a16:creationId xmlns:a16="http://schemas.microsoft.com/office/drawing/2014/main" id="{00000000-0008-0000-0200-0000CE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479" name="566 Grupo">
              <a:extLst>
                <a:ext uri="{FF2B5EF4-FFF2-40B4-BE49-F238E27FC236}">
                  <a16:creationId xmlns:a16="http://schemas.microsoft.com/office/drawing/2014/main" id="{00000000-0008-0000-0200-0000C7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83" name="1200 Conector recto">
                <a:extLst>
                  <a:ext uri="{FF2B5EF4-FFF2-40B4-BE49-F238E27FC236}">
                    <a16:creationId xmlns:a16="http://schemas.microsoft.com/office/drawing/2014/main" id="{00000000-0008-0000-0200-0000CB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84" name="1201 Conector recto">
                <a:extLst>
                  <a:ext uri="{FF2B5EF4-FFF2-40B4-BE49-F238E27FC236}">
                    <a16:creationId xmlns:a16="http://schemas.microsoft.com/office/drawing/2014/main" id="{00000000-0008-0000-0200-0000CC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480" name="569 Grupo">
              <a:extLst>
                <a:ext uri="{FF2B5EF4-FFF2-40B4-BE49-F238E27FC236}">
                  <a16:creationId xmlns:a16="http://schemas.microsoft.com/office/drawing/2014/main" id="{00000000-0008-0000-0200-0000C8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81" name="1198 Conector recto">
                <a:extLst>
                  <a:ext uri="{FF2B5EF4-FFF2-40B4-BE49-F238E27FC236}">
                    <a16:creationId xmlns:a16="http://schemas.microsoft.com/office/drawing/2014/main" id="{00000000-0008-0000-0200-0000C9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82" name="1199 Conector recto">
                <a:extLst>
                  <a:ext uri="{FF2B5EF4-FFF2-40B4-BE49-F238E27FC236}">
                    <a16:creationId xmlns:a16="http://schemas.microsoft.com/office/drawing/2014/main" id="{00000000-0008-0000-0200-0000CA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</xdr:grpSp>
    <xdr:clientData/>
  </xdr:twoCellAnchor>
  <xdr:twoCellAnchor>
    <xdr:from>
      <xdr:col>8</xdr:col>
      <xdr:colOff>152400</xdr:colOff>
      <xdr:row>2</xdr:row>
      <xdr:rowOff>76200</xdr:rowOff>
    </xdr:from>
    <xdr:to>
      <xdr:col>8</xdr:col>
      <xdr:colOff>774700</xdr:colOff>
      <xdr:row>2</xdr:row>
      <xdr:rowOff>609600</xdr:rowOff>
    </xdr:to>
    <xdr:grpSp>
      <xdr:nvGrpSpPr>
        <xdr:cNvPr id="1554" name="1187 Grupo">
          <a:extLst>
            <a:ext uri="{FF2B5EF4-FFF2-40B4-BE49-F238E27FC236}">
              <a16:creationId xmlns:a16="http://schemas.microsoft.com/office/drawing/2014/main" id="{00000000-0008-0000-0200-000012060000}"/>
            </a:ext>
          </a:extLst>
        </xdr:cNvPr>
        <xdr:cNvGrpSpPr>
          <a:grpSpLocks/>
        </xdr:cNvGrpSpPr>
      </xdr:nvGrpSpPr>
      <xdr:grpSpPr bwMode="auto">
        <a:xfrm>
          <a:off x="8585200" y="1206500"/>
          <a:ext cx="622300" cy="533400"/>
          <a:chOff x="12578073" y="988919"/>
          <a:chExt cx="9678677" cy="8510681"/>
        </a:xfrm>
      </xdr:grpSpPr>
      <xdr:grpSp>
        <xdr:nvGrpSpPr>
          <xdr:cNvPr id="1555" name="629 Grupo">
            <a:extLst>
              <a:ext uri="{FF2B5EF4-FFF2-40B4-BE49-F238E27FC236}">
                <a16:creationId xmlns:a16="http://schemas.microsoft.com/office/drawing/2014/main" id="{00000000-0008-0000-0200-000013060000}"/>
              </a:ext>
            </a:extLst>
          </xdr:cNvPr>
          <xdr:cNvGrpSpPr>
            <a:grpSpLocks/>
          </xdr:cNvGrpSpPr>
        </xdr:nvGrpSpPr>
        <xdr:grpSpPr bwMode="auto">
          <a:xfrm>
            <a:off x="12578073" y="988919"/>
            <a:ext cx="9678677" cy="8510681"/>
            <a:chOff x="12578073" y="988919"/>
            <a:chExt cx="9678677" cy="8510681"/>
          </a:xfrm>
        </xdr:grpSpPr>
        <xdr:grpSp>
          <xdr:nvGrpSpPr>
            <xdr:cNvPr id="1621" name="410 Grupo">
              <a:extLst>
                <a:ext uri="{FF2B5EF4-FFF2-40B4-BE49-F238E27FC236}">
                  <a16:creationId xmlns:a16="http://schemas.microsoft.com/office/drawing/2014/main" id="{00000000-0008-0000-0200-00005506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2578073" y="988919"/>
              <a:ext cx="9678677" cy="8510681"/>
              <a:chOff x="6659658" y="3011580"/>
              <a:chExt cx="3859213" cy="3443007"/>
            </a:xfrm>
          </xdr:grpSpPr>
          <xdr:grpSp>
            <xdr:nvGrpSpPr>
              <xdr:cNvPr id="1626" name="Group 1078">
                <a:extLst>
                  <a:ext uri="{FF2B5EF4-FFF2-40B4-BE49-F238E27FC236}">
                    <a16:creationId xmlns:a16="http://schemas.microsoft.com/office/drawing/2014/main" id="{00000000-0008-0000-0200-00005A06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659658" y="3011580"/>
                <a:ext cx="3859213" cy="3443007"/>
                <a:chOff x="394" y="56"/>
                <a:chExt cx="121" cy="99"/>
              </a:xfrm>
            </xdr:grpSpPr>
            <xdr:sp macro="" textlink="">
              <xdr:nvSpPr>
                <xdr:cNvPr id="1628" name="Rectangle 1079">
                  <a:extLst>
                    <a:ext uri="{FF2B5EF4-FFF2-40B4-BE49-F238E27FC236}">
                      <a16:creationId xmlns:a16="http://schemas.microsoft.com/office/drawing/2014/main" id="{00000000-0008-0000-0200-00005C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4" y="56"/>
                  <a:ext cx="121" cy="99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629" name="Rectangle 1080">
                  <a:extLst>
                    <a:ext uri="{FF2B5EF4-FFF2-40B4-BE49-F238E27FC236}">
                      <a16:creationId xmlns:a16="http://schemas.microsoft.com/office/drawing/2014/main" id="{00000000-0008-0000-0200-00005D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630" name="Rectangle 1081">
                  <a:extLst>
                    <a:ext uri="{FF2B5EF4-FFF2-40B4-BE49-F238E27FC236}">
                      <a16:creationId xmlns:a16="http://schemas.microsoft.com/office/drawing/2014/main" id="{00000000-0008-0000-0200-00005E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631" name="Rectangle 1082">
                  <a:extLst>
                    <a:ext uri="{FF2B5EF4-FFF2-40B4-BE49-F238E27FC236}">
                      <a16:creationId xmlns:a16="http://schemas.microsoft.com/office/drawing/2014/main" id="{00000000-0008-0000-0200-00005F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21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632" name="Rectangle 1083">
                  <a:extLst>
                    <a:ext uri="{FF2B5EF4-FFF2-40B4-BE49-F238E27FC236}">
                      <a16:creationId xmlns:a16="http://schemas.microsoft.com/office/drawing/2014/main" id="{00000000-0008-0000-0200-000060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45" y="59"/>
                  <a:ext cx="23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633" name="Rectangle 1086">
                  <a:extLst>
                    <a:ext uri="{FF2B5EF4-FFF2-40B4-BE49-F238E27FC236}">
                      <a16:creationId xmlns:a16="http://schemas.microsoft.com/office/drawing/2014/main" id="{00000000-0008-0000-0200-000061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634" name="Rectangle 1087">
                  <a:extLst>
                    <a:ext uri="{FF2B5EF4-FFF2-40B4-BE49-F238E27FC236}">
                      <a16:creationId xmlns:a16="http://schemas.microsoft.com/office/drawing/2014/main" id="{00000000-0008-0000-0200-000062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137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635" name="Rectangle 1088">
                  <a:extLst>
                    <a:ext uri="{FF2B5EF4-FFF2-40B4-BE49-F238E27FC236}">
                      <a16:creationId xmlns:a16="http://schemas.microsoft.com/office/drawing/2014/main" id="{00000000-0008-0000-0200-000063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75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636" name="Rectangle 1089">
                  <a:extLst>
                    <a:ext uri="{FF2B5EF4-FFF2-40B4-BE49-F238E27FC236}">
                      <a16:creationId xmlns:a16="http://schemas.microsoft.com/office/drawing/2014/main" id="{00000000-0008-0000-0200-000064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91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637" name="Rectangle 1093">
                  <a:extLst>
                    <a:ext uri="{FF2B5EF4-FFF2-40B4-BE49-F238E27FC236}">
                      <a16:creationId xmlns:a16="http://schemas.microsoft.com/office/drawing/2014/main" id="{00000000-0008-0000-0200-000065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91" y="59"/>
                  <a:ext cx="21" cy="94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</xdr:grpSp>
          <xdr:sp macro="" textlink="">
            <xdr:nvSpPr>
              <xdr:cNvPr id="1627" name="Rectangle 1087">
                <a:extLst>
                  <a:ext uri="{FF2B5EF4-FFF2-40B4-BE49-F238E27FC236}">
                    <a16:creationId xmlns:a16="http://schemas.microsoft.com/office/drawing/2014/main" id="{00000000-0008-0000-0200-00005B06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754555" y="5297606"/>
                <a:ext cx="3672128" cy="527247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</xdr:grpSp>
        <xdr:sp macro="" textlink="">
          <xdr:nvSpPr>
            <xdr:cNvPr id="1622" name="Rectangle 1082">
              <a:extLst>
                <a:ext uri="{FF2B5EF4-FFF2-40B4-BE49-F238E27FC236}">
                  <a16:creationId xmlns:a16="http://schemas.microsoft.com/office/drawing/2014/main" id="{00000000-0008-0000-0200-0000560600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4603186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623" name="Rectangle 1082">
              <a:extLst>
                <a:ext uri="{FF2B5EF4-FFF2-40B4-BE49-F238E27FC236}">
                  <a16:creationId xmlns:a16="http://schemas.microsoft.com/office/drawing/2014/main" id="{00000000-0008-0000-0200-0000570600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6535400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624" name="Rectangle 1082">
              <a:extLst>
                <a:ext uri="{FF2B5EF4-FFF2-40B4-BE49-F238E27FC236}">
                  <a16:creationId xmlns:a16="http://schemas.microsoft.com/office/drawing/2014/main" id="{00000000-0008-0000-0200-0000580600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8356943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625" name="Rectangle 1082">
              <a:extLst>
                <a:ext uri="{FF2B5EF4-FFF2-40B4-BE49-F238E27FC236}">
                  <a16:creationId xmlns:a16="http://schemas.microsoft.com/office/drawing/2014/main" id="{00000000-0008-0000-0200-0000590600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20212957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556" name="572 Grupo">
            <a:extLst>
              <a:ext uri="{FF2B5EF4-FFF2-40B4-BE49-F238E27FC236}">
                <a16:creationId xmlns:a16="http://schemas.microsoft.com/office/drawing/2014/main" id="{00000000-0008-0000-0200-000014060000}"/>
              </a:ext>
            </a:extLst>
          </xdr:cNvPr>
          <xdr:cNvGrpSpPr>
            <a:grpSpLocks/>
          </xdr:cNvGrpSpPr>
        </xdr:nvGrpSpPr>
        <xdr:grpSpPr bwMode="auto">
          <a:xfrm>
            <a:off x="14588193" y="5241471"/>
            <a:ext cx="5901863" cy="266248"/>
            <a:chOff x="14424932" y="5391150"/>
            <a:chExt cx="5829300" cy="270783"/>
          </a:xfrm>
        </xdr:grpSpPr>
        <xdr:grpSp>
          <xdr:nvGrpSpPr>
            <xdr:cNvPr id="1609" name="562 Grupo">
              <a:extLst>
                <a:ext uri="{FF2B5EF4-FFF2-40B4-BE49-F238E27FC236}">
                  <a16:creationId xmlns:a16="http://schemas.microsoft.com/office/drawing/2014/main" id="{00000000-0008-0000-0200-00004906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619" name="1252 Conector recto">
                <a:extLst>
                  <a:ext uri="{FF2B5EF4-FFF2-40B4-BE49-F238E27FC236}">
                    <a16:creationId xmlns:a16="http://schemas.microsoft.com/office/drawing/2014/main" id="{00000000-0008-0000-0200-000053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620" name="1253 Conector recto">
                <a:extLst>
                  <a:ext uri="{FF2B5EF4-FFF2-40B4-BE49-F238E27FC236}">
                    <a16:creationId xmlns:a16="http://schemas.microsoft.com/office/drawing/2014/main" id="{00000000-0008-0000-0200-000054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610" name="563 Grupo">
              <a:extLst>
                <a:ext uri="{FF2B5EF4-FFF2-40B4-BE49-F238E27FC236}">
                  <a16:creationId xmlns:a16="http://schemas.microsoft.com/office/drawing/2014/main" id="{00000000-0008-0000-0200-00004A06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617" name="1250 Conector recto">
                <a:extLst>
                  <a:ext uri="{FF2B5EF4-FFF2-40B4-BE49-F238E27FC236}">
                    <a16:creationId xmlns:a16="http://schemas.microsoft.com/office/drawing/2014/main" id="{00000000-0008-0000-0200-000051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618" name="1251 Conector recto">
                <a:extLst>
                  <a:ext uri="{FF2B5EF4-FFF2-40B4-BE49-F238E27FC236}">
                    <a16:creationId xmlns:a16="http://schemas.microsoft.com/office/drawing/2014/main" id="{00000000-0008-0000-0200-000052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611" name="566 Grupo">
              <a:extLst>
                <a:ext uri="{FF2B5EF4-FFF2-40B4-BE49-F238E27FC236}">
                  <a16:creationId xmlns:a16="http://schemas.microsoft.com/office/drawing/2014/main" id="{00000000-0008-0000-0200-00004B06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615" name="1248 Conector recto">
                <a:extLst>
                  <a:ext uri="{FF2B5EF4-FFF2-40B4-BE49-F238E27FC236}">
                    <a16:creationId xmlns:a16="http://schemas.microsoft.com/office/drawing/2014/main" id="{00000000-0008-0000-0200-00004F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616" name="1249 Conector recto">
                <a:extLst>
                  <a:ext uri="{FF2B5EF4-FFF2-40B4-BE49-F238E27FC236}">
                    <a16:creationId xmlns:a16="http://schemas.microsoft.com/office/drawing/2014/main" id="{00000000-0008-0000-0200-000050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612" name="569 Grupo">
              <a:extLst>
                <a:ext uri="{FF2B5EF4-FFF2-40B4-BE49-F238E27FC236}">
                  <a16:creationId xmlns:a16="http://schemas.microsoft.com/office/drawing/2014/main" id="{00000000-0008-0000-0200-00004C06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613" name="1246 Conector recto">
                <a:extLst>
                  <a:ext uri="{FF2B5EF4-FFF2-40B4-BE49-F238E27FC236}">
                    <a16:creationId xmlns:a16="http://schemas.microsoft.com/office/drawing/2014/main" id="{00000000-0008-0000-0200-00004D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614" name="1247 Conector recto">
                <a:extLst>
                  <a:ext uri="{FF2B5EF4-FFF2-40B4-BE49-F238E27FC236}">
                    <a16:creationId xmlns:a16="http://schemas.microsoft.com/office/drawing/2014/main" id="{00000000-0008-0000-0200-00004E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557" name="573 Grupo">
            <a:extLst>
              <a:ext uri="{FF2B5EF4-FFF2-40B4-BE49-F238E27FC236}">
                <a16:creationId xmlns:a16="http://schemas.microsoft.com/office/drawing/2014/main" id="{00000000-0008-0000-0200-000015060000}"/>
              </a:ext>
            </a:extLst>
          </xdr:cNvPr>
          <xdr:cNvGrpSpPr>
            <a:grpSpLocks/>
          </xdr:cNvGrpSpPr>
        </xdr:nvGrpSpPr>
        <xdr:grpSpPr bwMode="auto">
          <a:xfrm>
            <a:off x="14590915" y="6505000"/>
            <a:ext cx="5901863" cy="261706"/>
            <a:chOff x="14424932" y="5391150"/>
            <a:chExt cx="5829300" cy="270783"/>
          </a:xfrm>
        </xdr:grpSpPr>
        <xdr:grpSp>
          <xdr:nvGrpSpPr>
            <xdr:cNvPr id="1597" name="562 Grupo">
              <a:extLst>
                <a:ext uri="{FF2B5EF4-FFF2-40B4-BE49-F238E27FC236}">
                  <a16:creationId xmlns:a16="http://schemas.microsoft.com/office/drawing/2014/main" id="{00000000-0008-0000-0200-00003D06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607" name="1240 Conector recto">
                <a:extLst>
                  <a:ext uri="{FF2B5EF4-FFF2-40B4-BE49-F238E27FC236}">
                    <a16:creationId xmlns:a16="http://schemas.microsoft.com/office/drawing/2014/main" id="{00000000-0008-0000-0200-000047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608" name="1241 Conector recto">
                <a:extLst>
                  <a:ext uri="{FF2B5EF4-FFF2-40B4-BE49-F238E27FC236}">
                    <a16:creationId xmlns:a16="http://schemas.microsoft.com/office/drawing/2014/main" id="{00000000-0008-0000-0200-000048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98" name="563 Grupo">
              <a:extLst>
                <a:ext uri="{FF2B5EF4-FFF2-40B4-BE49-F238E27FC236}">
                  <a16:creationId xmlns:a16="http://schemas.microsoft.com/office/drawing/2014/main" id="{00000000-0008-0000-0200-00003E06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605" name="1238 Conector recto">
                <a:extLst>
                  <a:ext uri="{FF2B5EF4-FFF2-40B4-BE49-F238E27FC236}">
                    <a16:creationId xmlns:a16="http://schemas.microsoft.com/office/drawing/2014/main" id="{00000000-0008-0000-0200-000045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606" name="1239 Conector recto">
                <a:extLst>
                  <a:ext uri="{FF2B5EF4-FFF2-40B4-BE49-F238E27FC236}">
                    <a16:creationId xmlns:a16="http://schemas.microsoft.com/office/drawing/2014/main" id="{00000000-0008-0000-0200-000046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99" name="566 Grupo">
              <a:extLst>
                <a:ext uri="{FF2B5EF4-FFF2-40B4-BE49-F238E27FC236}">
                  <a16:creationId xmlns:a16="http://schemas.microsoft.com/office/drawing/2014/main" id="{00000000-0008-0000-0200-00003F06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603" name="1236 Conector recto">
                <a:extLst>
                  <a:ext uri="{FF2B5EF4-FFF2-40B4-BE49-F238E27FC236}">
                    <a16:creationId xmlns:a16="http://schemas.microsoft.com/office/drawing/2014/main" id="{00000000-0008-0000-0200-000043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604" name="1237 Conector recto">
                <a:extLst>
                  <a:ext uri="{FF2B5EF4-FFF2-40B4-BE49-F238E27FC236}">
                    <a16:creationId xmlns:a16="http://schemas.microsoft.com/office/drawing/2014/main" id="{00000000-0008-0000-0200-000044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600" name="569 Grupo">
              <a:extLst>
                <a:ext uri="{FF2B5EF4-FFF2-40B4-BE49-F238E27FC236}">
                  <a16:creationId xmlns:a16="http://schemas.microsoft.com/office/drawing/2014/main" id="{00000000-0008-0000-0200-00004006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601" name="1234 Conector recto">
                <a:extLst>
                  <a:ext uri="{FF2B5EF4-FFF2-40B4-BE49-F238E27FC236}">
                    <a16:creationId xmlns:a16="http://schemas.microsoft.com/office/drawing/2014/main" id="{00000000-0008-0000-0200-000041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602" name="1235 Conector recto">
                <a:extLst>
                  <a:ext uri="{FF2B5EF4-FFF2-40B4-BE49-F238E27FC236}">
                    <a16:creationId xmlns:a16="http://schemas.microsoft.com/office/drawing/2014/main" id="{00000000-0008-0000-0200-000042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558" name="586 Grupo">
            <a:extLst>
              <a:ext uri="{FF2B5EF4-FFF2-40B4-BE49-F238E27FC236}">
                <a16:creationId xmlns:a16="http://schemas.microsoft.com/office/drawing/2014/main" id="{00000000-0008-0000-0200-000016060000}"/>
              </a:ext>
            </a:extLst>
          </xdr:cNvPr>
          <xdr:cNvGrpSpPr>
            <a:grpSpLocks/>
          </xdr:cNvGrpSpPr>
        </xdr:nvGrpSpPr>
        <xdr:grpSpPr bwMode="auto">
          <a:xfrm>
            <a:off x="14586833" y="3865670"/>
            <a:ext cx="5901863" cy="261705"/>
            <a:chOff x="14424932" y="5391150"/>
            <a:chExt cx="5829300" cy="270783"/>
          </a:xfrm>
        </xdr:grpSpPr>
        <xdr:grpSp>
          <xdr:nvGrpSpPr>
            <xdr:cNvPr id="1585" name="562 Grupo">
              <a:extLst>
                <a:ext uri="{FF2B5EF4-FFF2-40B4-BE49-F238E27FC236}">
                  <a16:creationId xmlns:a16="http://schemas.microsoft.com/office/drawing/2014/main" id="{00000000-0008-0000-0200-00003106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95" name="1228 Conector recto">
                <a:extLst>
                  <a:ext uri="{FF2B5EF4-FFF2-40B4-BE49-F238E27FC236}">
                    <a16:creationId xmlns:a16="http://schemas.microsoft.com/office/drawing/2014/main" id="{00000000-0008-0000-0200-00003B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96" name="1229 Conector recto">
                <a:extLst>
                  <a:ext uri="{FF2B5EF4-FFF2-40B4-BE49-F238E27FC236}">
                    <a16:creationId xmlns:a16="http://schemas.microsoft.com/office/drawing/2014/main" id="{00000000-0008-0000-0200-00003C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86" name="563 Grupo">
              <a:extLst>
                <a:ext uri="{FF2B5EF4-FFF2-40B4-BE49-F238E27FC236}">
                  <a16:creationId xmlns:a16="http://schemas.microsoft.com/office/drawing/2014/main" id="{00000000-0008-0000-0200-00003206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93" name="1226 Conector recto">
                <a:extLst>
                  <a:ext uri="{FF2B5EF4-FFF2-40B4-BE49-F238E27FC236}">
                    <a16:creationId xmlns:a16="http://schemas.microsoft.com/office/drawing/2014/main" id="{00000000-0008-0000-0200-000039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94" name="1227 Conector recto">
                <a:extLst>
                  <a:ext uri="{FF2B5EF4-FFF2-40B4-BE49-F238E27FC236}">
                    <a16:creationId xmlns:a16="http://schemas.microsoft.com/office/drawing/2014/main" id="{00000000-0008-0000-0200-00003A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87" name="566 Grupo">
              <a:extLst>
                <a:ext uri="{FF2B5EF4-FFF2-40B4-BE49-F238E27FC236}">
                  <a16:creationId xmlns:a16="http://schemas.microsoft.com/office/drawing/2014/main" id="{00000000-0008-0000-0200-00003306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91" name="1224 Conector recto">
                <a:extLst>
                  <a:ext uri="{FF2B5EF4-FFF2-40B4-BE49-F238E27FC236}">
                    <a16:creationId xmlns:a16="http://schemas.microsoft.com/office/drawing/2014/main" id="{00000000-0008-0000-0200-000037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92" name="1225 Conector recto">
                <a:extLst>
                  <a:ext uri="{FF2B5EF4-FFF2-40B4-BE49-F238E27FC236}">
                    <a16:creationId xmlns:a16="http://schemas.microsoft.com/office/drawing/2014/main" id="{00000000-0008-0000-0200-000038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88" name="569 Grupo">
              <a:extLst>
                <a:ext uri="{FF2B5EF4-FFF2-40B4-BE49-F238E27FC236}">
                  <a16:creationId xmlns:a16="http://schemas.microsoft.com/office/drawing/2014/main" id="{00000000-0008-0000-0200-00003406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89" name="1222 Conector recto">
                <a:extLst>
                  <a:ext uri="{FF2B5EF4-FFF2-40B4-BE49-F238E27FC236}">
                    <a16:creationId xmlns:a16="http://schemas.microsoft.com/office/drawing/2014/main" id="{00000000-0008-0000-0200-000035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90" name="1223 Conector recto">
                <a:extLst>
                  <a:ext uri="{FF2B5EF4-FFF2-40B4-BE49-F238E27FC236}">
                    <a16:creationId xmlns:a16="http://schemas.microsoft.com/office/drawing/2014/main" id="{00000000-0008-0000-0200-000036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559" name="599 Grupo">
            <a:extLst>
              <a:ext uri="{FF2B5EF4-FFF2-40B4-BE49-F238E27FC236}">
                <a16:creationId xmlns:a16="http://schemas.microsoft.com/office/drawing/2014/main" id="{00000000-0008-0000-0200-000017060000}"/>
              </a:ext>
            </a:extLst>
          </xdr:cNvPr>
          <xdr:cNvGrpSpPr>
            <a:grpSpLocks/>
          </xdr:cNvGrpSpPr>
        </xdr:nvGrpSpPr>
        <xdr:grpSpPr bwMode="auto">
          <a:xfrm>
            <a:off x="14596358" y="2494069"/>
            <a:ext cx="5901863" cy="261706"/>
            <a:chOff x="14424932" y="5391150"/>
            <a:chExt cx="5829300" cy="270783"/>
          </a:xfrm>
        </xdr:grpSpPr>
        <xdr:grpSp>
          <xdr:nvGrpSpPr>
            <xdr:cNvPr id="1573" name="562 Grupo">
              <a:extLst>
                <a:ext uri="{FF2B5EF4-FFF2-40B4-BE49-F238E27FC236}">
                  <a16:creationId xmlns:a16="http://schemas.microsoft.com/office/drawing/2014/main" id="{00000000-0008-0000-0200-00002506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83" name="1216 Conector recto">
                <a:extLst>
                  <a:ext uri="{FF2B5EF4-FFF2-40B4-BE49-F238E27FC236}">
                    <a16:creationId xmlns:a16="http://schemas.microsoft.com/office/drawing/2014/main" id="{00000000-0008-0000-0200-00002F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84" name="1217 Conector recto">
                <a:extLst>
                  <a:ext uri="{FF2B5EF4-FFF2-40B4-BE49-F238E27FC236}">
                    <a16:creationId xmlns:a16="http://schemas.microsoft.com/office/drawing/2014/main" id="{00000000-0008-0000-0200-000030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74" name="563 Grupo">
              <a:extLst>
                <a:ext uri="{FF2B5EF4-FFF2-40B4-BE49-F238E27FC236}">
                  <a16:creationId xmlns:a16="http://schemas.microsoft.com/office/drawing/2014/main" id="{00000000-0008-0000-0200-00002606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81" name="1214 Conector recto">
                <a:extLst>
                  <a:ext uri="{FF2B5EF4-FFF2-40B4-BE49-F238E27FC236}">
                    <a16:creationId xmlns:a16="http://schemas.microsoft.com/office/drawing/2014/main" id="{00000000-0008-0000-0200-00002D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82" name="1215 Conector recto">
                <a:extLst>
                  <a:ext uri="{FF2B5EF4-FFF2-40B4-BE49-F238E27FC236}">
                    <a16:creationId xmlns:a16="http://schemas.microsoft.com/office/drawing/2014/main" id="{00000000-0008-0000-0200-00002E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75" name="566 Grupo">
              <a:extLst>
                <a:ext uri="{FF2B5EF4-FFF2-40B4-BE49-F238E27FC236}">
                  <a16:creationId xmlns:a16="http://schemas.microsoft.com/office/drawing/2014/main" id="{00000000-0008-0000-0200-00002706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79" name="1212 Conector recto">
                <a:extLst>
                  <a:ext uri="{FF2B5EF4-FFF2-40B4-BE49-F238E27FC236}">
                    <a16:creationId xmlns:a16="http://schemas.microsoft.com/office/drawing/2014/main" id="{00000000-0008-0000-0200-00002B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80" name="1213 Conector recto">
                <a:extLst>
                  <a:ext uri="{FF2B5EF4-FFF2-40B4-BE49-F238E27FC236}">
                    <a16:creationId xmlns:a16="http://schemas.microsoft.com/office/drawing/2014/main" id="{00000000-0008-0000-0200-00002C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76" name="569 Grupo">
              <a:extLst>
                <a:ext uri="{FF2B5EF4-FFF2-40B4-BE49-F238E27FC236}">
                  <a16:creationId xmlns:a16="http://schemas.microsoft.com/office/drawing/2014/main" id="{00000000-0008-0000-0200-00002806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77" name="1210 Conector recto">
                <a:extLst>
                  <a:ext uri="{FF2B5EF4-FFF2-40B4-BE49-F238E27FC236}">
                    <a16:creationId xmlns:a16="http://schemas.microsoft.com/office/drawing/2014/main" id="{00000000-0008-0000-0200-000029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78" name="1211 Conector recto">
                <a:extLst>
                  <a:ext uri="{FF2B5EF4-FFF2-40B4-BE49-F238E27FC236}">
                    <a16:creationId xmlns:a16="http://schemas.microsoft.com/office/drawing/2014/main" id="{00000000-0008-0000-0200-00002A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560" name="612 Grupo">
            <a:extLst>
              <a:ext uri="{FF2B5EF4-FFF2-40B4-BE49-F238E27FC236}">
                <a16:creationId xmlns:a16="http://schemas.microsoft.com/office/drawing/2014/main" id="{00000000-0008-0000-0200-000018060000}"/>
              </a:ext>
            </a:extLst>
          </xdr:cNvPr>
          <xdr:cNvGrpSpPr>
            <a:grpSpLocks/>
          </xdr:cNvGrpSpPr>
        </xdr:nvGrpSpPr>
        <xdr:grpSpPr bwMode="auto">
          <a:xfrm>
            <a:off x="14585472" y="7805965"/>
            <a:ext cx="5901863" cy="266247"/>
            <a:chOff x="14424932" y="5391150"/>
            <a:chExt cx="5829300" cy="270783"/>
          </a:xfrm>
        </xdr:grpSpPr>
        <xdr:grpSp>
          <xdr:nvGrpSpPr>
            <xdr:cNvPr id="1561" name="562 Grupo">
              <a:extLst>
                <a:ext uri="{FF2B5EF4-FFF2-40B4-BE49-F238E27FC236}">
                  <a16:creationId xmlns:a16="http://schemas.microsoft.com/office/drawing/2014/main" id="{00000000-0008-0000-0200-00001906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71" name="1204 Conector recto">
                <a:extLst>
                  <a:ext uri="{FF2B5EF4-FFF2-40B4-BE49-F238E27FC236}">
                    <a16:creationId xmlns:a16="http://schemas.microsoft.com/office/drawing/2014/main" id="{00000000-0008-0000-0200-000023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72" name="1205 Conector recto">
                <a:extLst>
                  <a:ext uri="{FF2B5EF4-FFF2-40B4-BE49-F238E27FC236}">
                    <a16:creationId xmlns:a16="http://schemas.microsoft.com/office/drawing/2014/main" id="{00000000-0008-0000-0200-000024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62" name="563 Grupo">
              <a:extLst>
                <a:ext uri="{FF2B5EF4-FFF2-40B4-BE49-F238E27FC236}">
                  <a16:creationId xmlns:a16="http://schemas.microsoft.com/office/drawing/2014/main" id="{00000000-0008-0000-0200-00001A06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69" name="1202 Conector recto">
                <a:extLst>
                  <a:ext uri="{FF2B5EF4-FFF2-40B4-BE49-F238E27FC236}">
                    <a16:creationId xmlns:a16="http://schemas.microsoft.com/office/drawing/2014/main" id="{00000000-0008-0000-0200-000021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70" name="1203 Conector recto">
                <a:extLst>
                  <a:ext uri="{FF2B5EF4-FFF2-40B4-BE49-F238E27FC236}">
                    <a16:creationId xmlns:a16="http://schemas.microsoft.com/office/drawing/2014/main" id="{00000000-0008-0000-0200-000022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63" name="566 Grupo">
              <a:extLst>
                <a:ext uri="{FF2B5EF4-FFF2-40B4-BE49-F238E27FC236}">
                  <a16:creationId xmlns:a16="http://schemas.microsoft.com/office/drawing/2014/main" id="{00000000-0008-0000-0200-00001B06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67" name="1200 Conector recto">
                <a:extLst>
                  <a:ext uri="{FF2B5EF4-FFF2-40B4-BE49-F238E27FC236}">
                    <a16:creationId xmlns:a16="http://schemas.microsoft.com/office/drawing/2014/main" id="{00000000-0008-0000-0200-00001F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68" name="1201 Conector recto">
                <a:extLst>
                  <a:ext uri="{FF2B5EF4-FFF2-40B4-BE49-F238E27FC236}">
                    <a16:creationId xmlns:a16="http://schemas.microsoft.com/office/drawing/2014/main" id="{00000000-0008-0000-0200-000020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64" name="569 Grupo">
              <a:extLst>
                <a:ext uri="{FF2B5EF4-FFF2-40B4-BE49-F238E27FC236}">
                  <a16:creationId xmlns:a16="http://schemas.microsoft.com/office/drawing/2014/main" id="{00000000-0008-0000-0200-00001C06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65" name="1198 Conector recto">
                <a:extLst>
                  <a:ext uri="{FF2B5EF4-FFF2-40B4-BE49-F238E27FC236}">
                    <a16:creationId xmlns:a16="http://schemas.microsoft.com/office/drawing/2014/main" id="{00000000-0008-0000-0200-00001D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66" name="1199 Conector recto">
                <a:extLst>
                  <a:ext uri="{FF2B5EF4-FFF2-40B4-BE49-F238E27FC236}">
                    <a16:creationId xmlns:a16="http://schemas.microsoft.com/office/drawing/2014/main" id="{00000000-0008-0000-0200-00001E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</xdr:grpSp>
    <xdr:clientData/>
  </xdr:twoCellAnchor>
  <xdr:twoCellAnchor>
    <xdr:from>
      <xdr:col>9</xdr:col>
      <xdr:colOff>726263</xdr:colOff>
      <xdr:row>0</xdr:row>
      <xdr:rowOff>215766</xdr:rowOff>
    </xdr:from>
    <xdr:to>
      <xdr:col>15</xdr:col>
      <xdr:colOff>381001</xdr:colOff>
      <xdr:row>14</xdr:row>
      <xdr:rowOff>100263</xdr:rowOff>
    </xdr:to>
    <xdr:grpSp>
      <xdr:nvGrpSpPr>
        <xdr:cNvPr id="2" name="1103 Grupo">
          <a:extLst>
            <a:ext uri="{FF2B5EF4-FFF2-40B4-BE49-F238E27FC236}">
              <a16:creationId xmlns:a16="http://schemas.microsoft.com/office/drawing/2014/main" id="{4B78EEE8-66B0-4B9D-B3C3-013ED7F42810}"/>
            </a:ext>
          </a:extLst>
        </xdr:cNvPr>
        <xdr:cNvGrpSpPr>
          <a:grpSpLocks/>
        </xdr:cNvGrpSpPr>
      </xdr:nvGrpSpPr>
      <xdr:grpSpPr bwMode="auto">
        <a:xfrm>
          <a:off x="10009963" y="215766"/>
          <a:ext cx="4379138" cy="4100897"/>
          <a:chOff x="12578073" y="988919"/>
          <a:chExt cx="9678677" cy="8510681"/>
        </a:xfrm>
      </xdr:grpSpPr>
      <xdr:grpSp>
        <xdr:nvGrpSpPr>
          <xdr:cNvPr id="3" name="410 Grupo">
            <a:extLst>
              <a:ext uri="{FF2B5EF4-FFF2-40B4-BE49-F238E27FC236}">
                <a16:creationId xmlns:a16="http://schemas.microsoft.com/office/drawing/2014/main" id="{1D966BC0-E0ED-82F1-65FE-5FE61ACA8B24}"/>
              </a:ext>
            </a:extLst>
          </xdr:cNvPr>
          <xdr:cNvGrpSpPr>
            <a:grpSpLocks/>
          </xdr:cNvGrpSpPr>
        </xdr:nvGrpSpPr>
        <xdr:grpSpPr bwMode="auto">
          <a:xfrm>
            <a:off x="12578073" y="988919"/>
            <a:ext cx="9678677" cy="8510681"/>
            <a:chOff x="6659658" y="3011580"/>
            <a:chExt cx="3859213" cy="3443007"/>
          </a:xfrm>
        </xdr:grpSpPr>
        <xdr:grpSp>
          <xdr:nvGrpSpPr>
            <xdr:cNvPr id="1212027" name="Group 1078">
              <a:extLst>
                <a:ext uri="{FF2B5EF4-FFF2-40B4-BE49-F238E27FC236}">
                  <a16:creationId xmlns:a16="http://schemas.microsoft.com/office/drawing/2014/main" id="{6F78DE61-1676-8DC8-E046-9B82D75775E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659658" y="3011580"/>
              <a:ext cx="3859213" cy="3443007"/>
              <a:chOff x="394" y="56"/>
              <a:chExt cx="121" cy="99"/>
            </a:xfrm>
          </xdr:grpSpPr>
          <xdr:sp macro="" textlink="">
            <xdr:nvSpPr>
              <xdr:cNvPr id="1212029" name="Rectangle 1079">
                <a:extLst>
                  <a:ext uri="{FF2B5EF4-FFF2-40B4-BE49-F238E27FC236}">
                    <a16:creationId xmlns:a16="http://schemas.microsoft.com/office/drawing/2014/main" id="{D9650934-C22C-5F87-0BC3-2E8E0D779615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4" y="56"/>
                <a:ext cx="121" cy="99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212030" name="Rectangle 1080">
                <a:extLst>
                  <a:ext uri="{FF2B5EF4-FFF2-40B4-BE49-F238E27FC236}">
                    <a16:creationId xmlns:a16="http://schemas.microsoft.com/office/drawing/2014/main" id="{BB5F38E2-C831-44AF-8CF3-7D7775A17631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7" y="59"/>
                <a:ext cx="115" cy="94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212031" name="Rectangle 1081">
                <a:extLst>
                  <a:ext uri="{FF2B5EF4-FFF2-40B4-BE49-F238E27FC236}">
                    <a16:creationId xmlns:a16="http://schemas.microsoft.com/office/drawing/2014/main" id="{1F21FFEA-81CF-CA2C-5DEE-69E26036DEDA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7" y="59"/>
                <a:ext cx="24" cy="94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206528" name="Rectangle 1082">
                <a:extLst>
                  <a:ext uri="{FF2B5EF4-FFF2-40B4-BE49-F238E27FC236}">
                    <a16:creationId xmlns:a16="http://schemas.microsoft.com/office/drawing/2014/main" id="{3E8BE971-B5B2-64F3-7433-F44284C92F0E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21" y="59"/>
                <a:ext cx="24" cy="94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/>
              <a:lstStyle/>
              <a:p>
                <a:endParaRPr lang="es-BO"/>
              </a:p>
            </xdr:txBody>
          </xdr:sp>
          <xdr:sp macro="" textlink="">
            <xdr:nvSpPr>
              <xdr:cNvPr id="1206529" name="Rectangle 1083">
                <a:extLst>
                  <a:ext uri="{FF2B5EF4-FFF2-40B4-BE49-F238E27FC236}">
                    <a16:creationId xmlns:a16="http://schemas.microsoft.com/office/drawing/2014/main" id="{DDDA0ABF-BDC1-FEC1-4A96-72C0B05A7AA7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45" y="59"/>
                <a:ext cx="23" cy="94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/>
              <a:lstStyle/>
              <a:p>
                <a:endParaRPr lang="es-BO"/>
              </a:p>
            </xdr:txBody>
          </xdr:sp>
          <xdr:sp macro="" textlink="">
            <xdr:nvSpPr>
              <xdr:cNvPr id="1206530" name="Rectangle 1086">
                <a:extLst>
                  <a:ext uri="{FF2B5EF4-FFF2-40B4-BE49-F238E27FC236}">
                    <a16:creationId xmlns:a16="http://schemas.microsoft.com/office/drawing/2014/main" id="{F5611519-EB86-023E-E41F-7BDBAC20817C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7" y="59"/>
                <a:ext cx="115" cy="16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1206531" name="Rectangle 1087">
                <a:extLst>
                  <a:ext uri="{FF2B5EF4-FFF2-40B4-BE49-F238E27FC236}">
                    <a16:creationId xmlns:a16="http://schemas.microsoft.com/office/drawing/2014/main" id="{AFF21161-81BA-E1AC-4393-D71DDEFF458F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7" y="137"/>
                <a:ext cx="115" cy="16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1206532" name="Rectangle 1088">
                <a:extLst>
                  <a:ext uri="{FF2B5EF4-FFF2-40B4-BE49-F238E27FC236}">
                    <a16:creationId xmlns:a16="http://schemas.microsoft.com/office/drawing/2014/main" id="{54716ADF-26D0-0655-E5E7-E94E65E4C888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7" y="75"/>
                <a:ext cx="115" cy="16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1206533" name="Rectangle 1089">
                <a:extLst>
                  <a:ext uri="{FF2B5EF4-FFF2-40B4-BE49-F238E27FC236}">
                    <a16:creationId xmlns:a16="http://schemas.microsoft.com/office/drawing/2014/main" id="{22D4D899-46BE-D5ED-B23E-025BAD0F128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7" y="91"/>
                <a:ext cx="115" cy="16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1206534" name="Rectangle 1093">
                <a:extLst>
                  <a:ext uri="{FF2B5EF4-FFF2-40B4-BE49-F238E27FC236}">
                    <a16:creationId xmlns:a16="http://schemas.microsoft.com/office/drawing/2014/main" id="{F0C9EF99-76F1-2FB3-7629-1E32BB104AB1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91" y="59"/>
                <a:ext cx="21" cy="94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</xdr:grpSp>
        <xdr:sp macro="" textlink="">
          <xdr:nvSpPr>
            <xdr:cNvPr id="1212028" name="Rectangle 1087">
              <a:extLst>
                <a:ext uri="{FF2B5EF4-FFF2-40B4-BE49-F238E27FC236}">
                  <a16:creationId xmlns:a16="http://schemas.microsoft.com/office/drawing/2014/main" id="{EFE6B6DE-419B-98FD-3F5E-AB3EA65E8D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756362" y="5297606"/>
              <a:ext cx="3665481" cy="527247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4" name="572 Grupo">
            <a:extLst>
              <a:ext uri="{FF2B5EF4-FFF2-40B4-BE49-F238E27FC236}">
                <a16:creationId xmlns:a16="http://schemas.microsoft.com/office/drawing/2014/main" id="{C4A6504F-D361-7431-DEFF-68ED3A40E98A}"/>
              </a:ext>
            </a:extLst>
          </xdr:cNvPr>
          <xdr:cNvGrpSpPr>
            <a:grpSpLocks/>
          </xdr:cNvGrpSpPr>
        </xdr:nvGrpSpPr>
        <xdr:grpSpPr bwMode="auto">
          <a:xfrm>
            <a:off x="14588195" y="5241471"/>
            <a:ext cx="5901863" cy="266248"/>
            <a:chOff x="14424932" y="5391150"/>
            <a:chExt cx="5829300" cy="270783"/>
          </a:xfrm>
        </xdr:grpSpPr>
        <xdr:grpSp>
          <xdr:nvGrpSpPr>
            <xdr:cNvPr id="57" name="562 Grupo">
              <a:extLst>
                <a:ext uri="{FF2B5EF4-FFF2-40B4-BE49-F238E27FC236}">
                  <a16:creationId xmlns:a16="http://schemas.microsoft.com/office/drawing/2014/main" id="{D3893EC2-3910-F278-C971-322B6C6D835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12025" name="1168 Conector recto">
                <a:extLst>
                  <a:ext uri="{FF2B5EF4-FFF2-40B4-BE49-F238E27FC236}">
                    <a16:creationId xmlns:a16="http://schemas.microsoft.com/office/drawing/2014/main" id="{5F981CA8-9EA6-09BB-430C-AF0E8BD9E09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12026" name="1169 Conector recto">
                <a:extLst>
                  <a:ext uri="{FF2B5EF4-FFF2-40B4-BE49-F238E27FC236}">
                    <a16:creationId xmlns:a16="http://schemas.microsoft.com/office/drawing/2014/main" id="{D7CDFB1F-0EB5-DB83-39B9-CDE209F4410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8" name="563 Grupo">
              <a:extLst>
                <a:ext uri="{FF2B5EF4-FFF2-40B4-BE49-F238E27FC236}">
                  <a16:creationId xmlns:a16="http://schemas.microsoft.com/office/drawing/2014/main" id="{585C7536-6F91-F539-A8D8-BF1BC1180D9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12023" name="1166 Conector recto">
                <a:extLst>
                  <a:ext uri="{FF2B5EF4-FFF2-40B4-BE49-F238E27FC236}">
                    <a16:creationId xmlns:a16="http://schemas.microsoft.com/office/drawing/2014/main" id="{3AB494B6-EA92-63AE-6734-828BE041A46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12024" name="1167 Conector recto">
                <a:extLst>
                  <a:ext uri="{FF2B5EF4-FFF2-40B4-BE49-F238E27FC236}">
                    <a16:creationId xmlns:a16="http://schemas.microsoft.com/office/drawing/2014/main" id="{7D87D19E-AA82-D61C-754B-3341345BC50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9" name="566 Grupo">
              <a:extLst>
                <a:ext uri="{FF2B5EF4-FFF2-40B4-BE49-F238E27FC236}">
                  <a16:creationId xmlns:a16="http://schemas.microsoft.com/office/drawing/2014/main" id="{14EB432E-3CB2-FABC-BD9D-A0BB62C254C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63" name="1164 Conector recto">
                <a:extLst>
                  <a:ext uri="{FF2B5EF4-FFF2-40B4-BE49-F238E27FC236}">
                    <a16:creationId xmlns:a16="http://schemas.microsoft.com/office/drawing/2014/main" id="{DE9EF7CD-15D9-9534-50EC-841C17E79F2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12022" name="1165 Conector recto">
                <a:extLst>
                  <a:ext uri="{FF2B5EF4-FFF2-40B4-BE49-F238E27FC236}">
                    <a16:creationId xmlns:a16="http://schemas.microsoft.com/office/drawing/2014/main" id="{7D77B272-AAF5-82B9-DDFE-137FD9A857D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60" name="569 Grupo">
              <a:extLst>
                <a:ext uri="{FF2B5EF4-FFF2-40B4-BE49-F238E27FC236}">
                  <a16:creationId xmlns:a16="http://schemas.microsoft.com/office/drawing/2014/main" id="{F291335B-3092-366A-EA4B-08F21FD229E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61" name="1162 Conector recto">
                <a:extLst>
                  <a:ext uri="{FF2B5EF4-FFF2-40B4-BE49-F238E27FC236}">
                    <a16:creationId xmlns:a16="http://schemas.microsoft.com/office/drawing/2014/main" id="{9DBC058B-B0CF-41E4-A51C-C0527348DEB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2" name="1163 Conector recto">
                <a:extLst>
                  <a:ext uri="{FF2B5EF4-FFF2-40B4-BE49-F238E27FC236}">
                    <a16:creationId xmlns:a16="http://schemas.microsoft.com/office/drawing/2014/main" id="{3D4275D8-830C-95F9-8033-B4AA1B4E48D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" name="573 Grupo">
            <a:extLst>
              <a:ext uri="{FF2B5EF4-FFF2-40B4-BE49-F238E27FC236}">
                <a16:creationId xmlns:a16="http://schemas.microsoft.com/office/drawing/2014/main" id="{0224CAAF-9F72-12B0-1F72-680B6A93DAC0}"/>
              </a:ext>
            </a:extLst>
          </xdr:cNvPr>
          <xdr:cNvGrpSpPr>
            <a:grpSpLocks/>
          </xdr:cNvGrpSpPr>
        </xdr:nvGrpSpPr>
        <xdr:grpSpPr bwMode="auto">
          <a:xfrm>
            <a:off x="14590917" y="6505041"/>
            <a:ext cx="5901863" cy="261708"/>
            <a:chOff x="14424932" y="5391150"/>
            <a:chExt cx="5829300" cy="270783"/>
          </a:xfrm>
        </xdr:grpSpPr>
        <xdr:grpSp>
          <xdr:nvGrpSpPr>
            <xdr:cNvPr id="45" name="562 Grupo">
              <a:extLst>
                <a:ext uri="{FF2B5EF4-FFF2-40B4-BE49-F238E27FC236}">
                  <a16:creationId xmlns:a16="http://schemas.microsoft.com/office/drawing/2014/main" id="{95C4F16D-6B3E-ECB5-D9FA-AC2654D17CC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5" name="1156 Conector recto">
                <a:extLst>
                  <a:ext uri="{FF2B5EF4-FFF2-40B4-BE49-F238E27FC236}">
                    <a16:creationId xmlns:a16="http://schemas.microsoft.com/office/drawing/2014/main" id="{56CB3E57-7F0E-3C32-2C55-360C1FE7D4A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6" name="1157 Conector recto">
                <a:extLst>
                  <a:ext uri="{FF2B5EF4-FFF2-40B4-BE49-F238E27FC236}">
                    <a16:creationId xmlns:a16="http://schemas.microsoft.com/office/drawing/2014/main" id="{D6075233-C478-EF07-4F1A-65C4B0690F0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46" name="563 Grupo">
              <a:extLst>
                <a:ext uri="{FF2B5EF4-FFF2-40B4-BE49-F238E27FC236}">
                  <a16:creationId xmlns:a16="http://schemas.microsoft.com/office/drawing/2014/main" id="{F4387279-A60F-8EB4-3120-D8B650A8746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" name="1154 Conector recto">
                <a:extLst>
                  <a:ext uri="{FF2B5EF4-FFF2-40B4-BE49-F238E27FC236}">
                    <a16:creationId xmlns:a16="http://schemas.microsoft.com/office/drawing/2014/main" id="{FC45DEC5-E34A-07B4-A7F0-B19EC3DCDE11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4" name="1155 Conector recto">
                <a:extLst>
                  <a:ext uri="{FF2B5EF4-FFF2-40B4-BE49-F238E27FC236}">
                    <a16:creationId xmlns:a16="http://schemas.microsoft.com/office/drawing/2014/main" id="{17DC61A0-1674-895F-826B-C0317C16B8E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47" name="566 Grupo">
              <a:extLst>
                <a:ext uri="{FF2B5EF4-FFF2-40B4-BE49-F238E27FC236}">
                  <a16:creationId xmlns:a16="http://schemas.microsoft.com/office/drawing/2014/main" id="{2790681E-7C3A-3ACB-DBBB-3228072A414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1" name="1152 Conector recto">
                <a:extLst>
                  <a:ext uri="{FF2B5EF4-FFF2-40B4-BE49-F238E27FC236}">
                    <a16:creationId xmlns:a16="http://schemas.microsoft.com/office/drawing/2014/main" id="{85D775BB-70F0-D275-E152-D4B4579D14B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" name="1153 Conector recto">
                <a:extLst>
                  <a:ext uri="{FF2B5EF4-FFF2-40B4-BE49-F238E27FC236}">
                    <a16:creationId xmlns:a16="http://schemas.microsoft.com/office/drawing/2014/main" id="{A8A00F13-1D67-CD9A-7F6A-973A3EF9CF4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48" name="569 Grupo">
              <a:extLst>
                <a:ext uri="{FF2B5EF4-FFF2-40B4-BE49-F238E27FC236}">
                  <a16:creationId xmlns:a16="http://schemas.microsoft.com/office/drawing/2014/main" id="{1FE93766-C754-A45C-FF78-58C4AC05048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49" name="1150 Conector recto">
                <a:extLst>
                  <a:ext uri="{FF2B5EF4-FFF2-40B4-BE49-F238E27FC236}">
                    <a16:creationId xmlns:a16="http://schemas.microsoft.com/office/drawing/2014/main" id="{4AC67D09-959D-2F6F-DD41-47D2F045C5E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0" name="1151 Conector recto">
                <a:extLst>
                  <a:ext uri="{FF2B5EF4-FFF2-40B4-BE49-F238E27FC236}">
                    <a16:creationId xmlns:a16="http://schemas.microsoft.com/office/drawing/2014/main" id="{2D726CDC-6F42-AF15-E7B3-8CEA6EAFF1F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6" name="586 Grupo">
            <a:extLst>
              <a:ext uri="{FF2B5EF4-FFF2-40B4-BE49-F238E27FC236}">
                <a16:creationId xmlns:a16="http://schemas.microsoft.com/office/drawing/2014/main" id="{A40CC3E6-2F21-2566-3B8D-F0CCCDC4F32B}"/>
              </a:ext>
            </a:extLst>
          </xdr:cNvPr>
          <xdr:cNvGrpSpPr>
            <a:grpSpLocks/>
          </xdr:cNvGrpSpPr>
        </xdr:nvGrpSpPr>
        <xdr:grpSpPr bwMode="auto">
          <a:xfrm>
            <a:off x="14586835" y="3865710"/>
            <a:ext cx="5901863" cy="261707"/>
            <a:chOff x="14424932" y="5391150"/>
            <a:chExt cx="5829300" cy="270783"/>
          </a:xfrm>
        </xdr:grpSpPr>
        <xdr:grpSp>
          <xdr:nvGrpSpPr>
            <xdr:cNvPr id="33" name="562 Grupo">
              <a:extLst>
                <a:ext uri="{FF2B5EF4-FFF2-40B4-BE49-F238E27FC236}">
                  <a16:creationId xmlns:a16="http://schemas.microsoft.com/office/drawing/2014/main" id="{16703C36-D0CA-19F3-8130-A1BD076AC5C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43" name="1144 Conector recto">
                <a:extLst>
                  <a:ext uri="{FF2B5EF4-FFF2-40B4-BE49-F238E27FC236}">
                    <a16:creationId xmlns:a16="http://schemas.microsoft.com/office/drawing/2014/main" id="{8CA9808D-9D14-2E21-B9F7-2188906D1C0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44" name="1145 Conector recto">
                <a:extLst>
                  <a:ext uri="{FF2B5EF4-FFF2-40B4-BE49-F238E27FC236}">
                    <a16:creationId xmlns:a16="http://schemas.microsoft.com/office/drawing/2014/main" id="{8AE755BA-21F3-E16F-A4C0-90006DDA158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4" name="563 Grupo">
              <a:extLst>
                <a:ext uri="{FF2B5EF4-FFF2-40B4-BE49-F238E27FC236}">
                  <a16:creationId xmlns:a16="http://schemas.microsoft.com/office/drawing/2014/main" id="{A62461AD-348D-31E8-4B43-A0B79FC1EAC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41" name="1142 Conector recto">
                <a:extLst>
                  <a:ext uri="{FF2B5EF4-FFF2-40B4-BE49-F238E27FC236}">
                    <a16:creationId xmlns:a16="http://schemas.microsoft.com/office/drawing/2014/main" id="{6498DCB7-8C88-A9C6-7430-0BA38032664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42" name="1143 Conector recto">
                <a:extLst>
                  <a:ext uri="{FF2B5EF4-FFF2-40B4-BE49-F238E27FC236}">
                    <a16:creationId xmlns:a16="http://schemas.microsoft.com/office/drawing/2014/main" id="{9A865238-19A3-EC15-E556-C72A26AAE9D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5" name="566 Grupo">
              <a:extLst>
                <a:ext uri="{FF2B5EF4-FFF2-40B4-BE49-F238E27FC236}">
                  <a16:creationId xmlns:a16="http://schemas.microsoft.com/office/drawing/2014/main" id="{36256572-961E-4168-8EF6-BF16D319235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39" name="1140 Conector recto">
                <a:extLst>
                  <a:ext uri="{FF2B5EF4-FFF2-40B4-BE49-F238E27FC236}">
                    <a16:creationId xmlns:a16="http://schemas.microsoft.com/office/drawing/2014/main" id="{1BF2E3CC-7AD8-3321-BD45-24CEBB60644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40" name="1141 Conector recto">
                <a:extLst>
                  <a:ext uri="{FF2B5EF4-FFF2-40B4-BE49-F238E27FC236}">
                    <a16:creationId xmlns:a16="http://schemas.microsoft.com/office/drawing/2014/main" id="{6FDD9EA7-DB9A-82CF-6EEE-BD1549DA32A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6" name="569 Grupo">
              <a:extLst>
                <a:ext uri="{FF2B5EF4-FFF2-40B4-BE49-F238E27FC236}">
                  <a16:creationId xmlns:a16="http://schemas.microsoft.com/office/drawing/2014/main" id="{40D01811-F894-EB82-9057-35A851D8920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37" name="1138 Conector recto">
                <a:extLst>
                  <a:ext uri="{FF2B5EF4-FFF2-40B4-BE49-F238E27FC236}">
                    <a16:creationId xmlns:a16="http://schemas.microsoft.com/office/drawing/2014/main" id="{DA681ECB-C422-0CEB-7D9B-1716D5A20A4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38" name="1139 Conector recto">
                <a:extLst>
                  <a:ext uri="{FF2B5EF4-FFF2-40B4-BE49-F238E27FC236}">
                    <a16:creationId xmlns:a16="http://schemas.microsoft.com/office/drawing/2014/main" id="{E5DEB68C-DB22-612A-B413-8CB0F6EE6C6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7" name="599 Grupo">
            <a:extLst>
              <a:ext uri="{FF2B5EF4-FFF2-40B4-BE49-F238E27FC236}">
                <a16:creationId xmlns:a16="http://schemas.microsoft.com/office/drawing/2014/main" id="{D0C1743C-4DE2-1BC6-78BE-04CC9FCAFD87}"/>
              </a:ext>
            </a:extLst>
          </xdr:cNvPr>
          <xdr:cNvGrpSpPr>
            <a:grpSpLocks/>
          </xdr:cNvGrpSpPr>
        </xdr:nvGrpSpPr>
        <xdr:grpSpPr bwMode="auto">
          <a:xfrm>
            <a:off x="14596360" y="2494110"/>
            <a:ext cx="5901863" cy="261708"/>
            <a:chOff x="14424932" y="5391150"/>
            <a:chExt cx="5829300" cy="270783"/>
          </a:xfrm>
        </xdr:grpSpPr>
        <xdr:grpSp>
          <xdr:nvGrpSpPr>
            <xdr:cNvPr id="21" name="562 Grupo">
              <a:extLst>
                <a:ext uri="{FF2B5EF4-FFF2-40B4-BE49-F238E27FC236}">
                  <a16:creationId xmlns:a16="http://schemas.microsoft.com/office/drawing/2014/main" id="{C8BAB9F3-4487-9028-FFC8-9B50A830433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31" name="1132 Conector recto">
                <a:extLst>
                  <a:ext uri="{FF2B5EF4-FFF2-40B4-BE49-F238E27FC236}">
                    <a16:creationId xmlns:a16="http://schemas.microsoft.com/office/drawing/2014/main" id="{4BA28B0E-B006-808D-A9B6-882879BE899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32" name="1133 Conector recto">
                <a:extLst>
                  <a:ext uri="{FF2B5EF4-FFF2-40B4-BE49-F238E27FC236}">
                    <a16:creationId xmlns:a16="http://schemas.microsoft.com/office/drawing/2014/main" id="{58364DA7-9656-E236-341B-808353FCD65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22" name="563 Grupo">
              <a:extLst>
                <a:ext uri="{FF2B5EF4-FFF2-40B4-BE49-F238E27FC236}">
                  <a16:creationId xmlns:a16="http://schemas.microsoft.com/office/drawing/2014/main" id="{974E5FF1-9EF2-38D9-4F56-3F94C6DA8CD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29" name="1130 Conector recto">
                <a:extLst>
                  <a:ext uri="{FF2B5EF4-FFF2-40B4-BE49-F238E27FC236}">
                    <a16:creationId xmlns:a16="http://schemas.microsoft.com/office/drawing/2014/main" id="{A0D467A8-3192-AB66-881F-6913770C733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30" name="1131 Conector recto">
                <a:extLst>
                  <a:ext uri="{FF2B5EF4-FFF2-40B4-BE49-F238E27FC236}">
                    <a16:creationId xmlns:a16="http://schemas.microsoft.com/office/drawing/2014/main" id="{313D25C3-0D36-04BA-58F5-975BBD4FF53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23" name="566 Grupo">
              <a:extLst>
                <a:ext uri="{FF2B5EF4-FFF2-40B4-BE49-F238E27FC236}">
                  <a16:creationId xmlns:a16="http://schemas.microsoft.com/office/drawing/2014/main" id="{2C0ED5F0-EEC3-26C2-B765-B58526D8524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27" name="1128 Conector recto">
                <a:extLst>
                  <a:ext uri="{FF2B5EF4-FFF2-40B4-BE49-F238E27FC236}">
                    <a16:creationId xmlns:a16="http://schemas.microsoft.com/office/drawing/2014/main" id="{08046A3C-E594-A9C1-7B07-A6F35FC5F1C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28" name="1129 Conector recto">
                <a:extLst>
                  <a:ext uri="{FF2B5EF4-FFF2-40B4-BE49-F238E27FC236}">
                    <a16:creationId xmlns:a16="http://schemas.microsoft.com/office/drawing/2014/main" id="{6CA4BE4A-4520-BC91-53DE-A7B87E69C5B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24" name="569 Grupo">
              <a:extLst>
                <a:ext uri="{FF2B5EF4-FFF2-40B4-BE49-F238E27FC236}">
                  <a16:creationId xmlns:a16="http://schemas.microsoft.com/office/drawing/2014/main" id="{9331A474-75B7-C4FA-7728-BE369B653AA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25" name="1126 Conector recto">
                <a:extLst>
                  <a:ext uri="{FF2B5EF4-FFF2-40B4-BE49-F238E27FC236}">
                    <a16:creationId xmlns:a16="http://schemas.microsoft.com/office/drawing/2014/main" id="{D8388290-3082-0227-1B4C-B233E5B52B2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26" name="1127 Conector recto">
                <a:extLst>
                  <a:ext uri="{FF2B5EF4-FFF2-40B4-BE49-F238E27FC236}">
                    <a16:creationId xmlns:a16="http://schemas.microsoft.com/office/drawing/2014/main" id="{E5BE69B0-B9F3-CAC5-588B-35A2D4D7BF41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8" name="612 Grupo">
            <a:extLst>
              <a:ext uri="{FF2B5EF4-FFF2-40B4-BE49-F238E27FC236}">
                <a16:creationId xmlns:a16="http://schemas.microsoft.com/office/drawing/2014/main" id="{E80BECA3-311A-4467-17E8-CF818F5A4AD7}"/>
              </a:ext>
            </a:extLst>
          </xdr:cNvPr>
          <xdr:cNvGrpSpPr>
            <a:grpSpLocks/>
          </xdr:cNvGrpSpPr>
        </xdr:nvGrpSpPr>
        <xdr:grpSpPr bwMode="auto">
          <a:xfrm>
            <a:off x="14585474" y="7805965"/>
            <a:ext cx="5901863" cy="266247"/>
            <a:chOff x="14424932" y="5391150"/>
            <a:chExt cx="5829300" cy="270783"/>
          </a:xfrm>
        </xdr:grpSpPr>
        <xdr:grpSp>
          <xdr:nvGrpSpPr>
            <xdr:cNvPr id="9" name="562 Grupo">
              <a:extLst>
                <a:ext uri="{FF2B5EF4-FFF2-40B4-BE49-F238E27FC236}">
                  <a16:creationId xmlns:a16="http://schemas.microsoft.com/office/drawing/2014/main" id="{91C2C328-1FC3-0DFF-4693-36C6D8D0D45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9" name="1120 Conector recto">
                <a:extLst>
                  <a:ext uri="{FF2B5EF4-FFF2-40B4-BE49-F238E27FC236}">
                    <a16:creationId xmlns:a16="http://schemas.microsoft.com/office/drawing/2014/main" id="{BA38C462-E8AB-CB6F-AB93-A4DE536F96B1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20" name="1121 Conector recto">
                <a:extLst>
                  <a:ext uri="{FF2B5EF4-FFF2-40B4-BE49-F238E27FC236}">
                    <a16:creationId xmlns:a16="http://schemas.microsoft.com/office/drawing/2014/main" id="{071449B5-0E59-2D28-C3A7-B4140360D2E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0" name="563 Grupo">
              <a:extLst>
                <a:ext uri="{FF2B5EF4-FFF2-40B4-BE49-F238E27FC236}">
                  <a16:creationId xmlns:a16="http://schemas.microsoft.com/office/drawing/2014/main" id="{836C89AC-9345-4398-8B8D-5BE5DB9D7F2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7" name="1118 Conector recto">
                <a:extLst>
                  <a:ext uri="{FF2B5EF4-FFF2-40B4-BE49-F238E27FC236}">
                    <a16:creationId xmlns:a16="http://schemas.microsoft.com/office/drawing/2014/main" id="{229F4DF4-828A-B55E-A524-CD095B27798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8" name="1119 Conector recto">
                <a:extLst>
                  <a:ext uri="{FF2B5EF4-FFF2-40B4-BE49-F238E27FC236}">
                    <a16:creationId xmlns:a16="http://schemas.microsoft.com/office/drawing/2014/main" id="{408204A0-83D5-5492-BA57-2F502360FE7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1" name="566 Grupo">
              <a:extLst>
                <a:ext uri="{FF2B5EF4-FFF2-40B4-BE49-F238E27FC236}">
                  <a16:creationId xmlns:a16="http://schemas.microsoft.com/office/drawing/2014/main" id="{ACB8AAEF-98E7-A0D3-89F5-C05848C9D9D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" name="1116 Conector recto">
                <a:extLst>
                  <a:ext uri="{FF2B5EF4-FFF2-40B4-BE49-F238E27FC236}">
                    <a16:creationId xmlns:a16="http://schemas.microsoft.com/office/drawing/2014/main" id="{0F80AB81-9232-AC71-66D8-79FDC9090C2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6" name="1117 Conector recto">
                <a:extLst>
                  <a:ext uri="{FF2B5EF4-FFF2-40B4-BE49-F238E27FC236}">
                    <a16:creationId xmlns:a16="http://schemas.microsoft.com/office/drawing/2014/main" id="{2E3E3A21-AC72-88DE-E5EC-9CEF949F97D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" name="569 Grupo">
              <a:extLst>
                <a:ext uri="{FF2B5EF4-FFF2-40B4-BE49-F238E27FC236}">
                  <a16:creationId xmlns:a16="http://schemas.microsoft.com/office/drawing/2014/main" id="{C8D66D13-FF6C-4045-5773-2A4D5BF6475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3" name="1114 Conector recto">
                <a:extLst>
                  <a:ext uri="{FF2B5EF4-FFF2-40B4-BE49-F238E27FC236}">
                    <a16:creationId xmlns:a16="http://schemas.microsoft.com/office/drawing/2014/main" id="{BA9A0F5B-DE91-FEBF-920F-E6AE359065E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" name="1115 Conector recto">
                <a:extLst>
                  <a:ext uri="{FF2B5EF4-FFF2-40B4-BE49-F238E27FC236}">
                    <a16:creationId xmlns:a16="http://schemas.microsoft.com/office/drawing/2014/main" id="{FD984A81-EC50-F5EA-31B9-25ED876138C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</xdr:grpSp>
    <xdr:clientData/>
  </xdr:twoCellAnchor>
  <xdr:twoCellAnchor editAs="oneCell">
    <xdr:from>
      <xdr:col>9</xdr:col>
      <xdr:colOff>461211</xdr:colOff>
      <xdr:row>15</xdr:row>
      <xdr:rowOff>73251</xdr:rowOff>
    </xdr:from>
    <xdr:to>
      <xdr:col>15</xdr:col>
      <xdr:colOff>524684</xdr:colOff>
      <xdr:row>36</xdr:row>
      <xdr:rowOff>8022</xdr:rowOff>
    </xdr:to>
    <xdr:pic>
      <xdr:nvPicPr>
        <xdr:cNvPr id="1212036" name="Imagen 1212035">
          <a:extLst>
            <a:ext uri="{FF2B5EF4-FFF2-40B4-BE49-F238E27FC236}">
              <a16:creationId xmlns:a16="http://schemas.microsoft.com/office/drawing/2014/main" id="{1A8DC618-3E1C-4543-937D-AA89B8FF8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04948" y="4484830"/>
          <a:ext cx="4755789" cy="4238066"/>
        </a:xfrm>
        <a:prstGeom prst="rect">
          <a:avLst/>
        </a:prstGeom>
      </xdr:spPr>
    </xdr:pic>
    <xdr:clientData/>
  </xdr:twoCellAnchor>
  <xdr:twoCellAnchor editAs="oneCell">
    <xdr:from>
      <xdr:col>16</xdr:col>
      <xdr:colOff>671219</xdr:colOff>
      <xdr:row>15</xdr:row>
      <xdr:rowOff>66423</xdr:rowOff>
    </xdr:from>
    <xdr:to>
      <xdr:col>23</xdr:col>
      <xdr:colOff>20052</xdr:colOff>
      <xdr:row>36</xdr:row>
      <xdr:rowOff>93919</xdr:rowOff>
    </xdr:to>
    <xdr:pic>
      <xdr:nvPicPr>
        <xdr:cNvPr id="1212037" name="Imagen 1212036">
          <a:extLst>
            <a:ext uri="{FF2B5EF4-FFF2-40B4-BE49-F238E27FC236}">
              <a16:creationId xmlns:a16="http://schemas.microsoft.com/office/drawing/2014/main" id="{48CCA708-465D-49C7-B534-17EB510F3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71377" y="4478002"/>
          <a:ext cx="4823202" cy="4328117"/>
        </a:xfrm>
        <a:prstGeom prst="rect">
          <a:avLst/>
        </a:prstGeom>
      </xdr:spPr>
    </xdr:pic>
    <xdr:clientData/>
  </xdr:twoCellAnchor>
  <xdr:twoCellAnchor>
    <xdr:from>
      <xdr:col>17</xdr:col>
      <xdr:colOff>26109</xdr:colOff>
      <xdr:row>0</xdr:row>
      <xdr:rowOff>110287</xdr:rowOff>
    </xdr:from>
    <xdr:to>
      <xdr:col>22</xdr:col>
      <xdr:colOff>701842</xdr:colOff>
      <xdr:row>14</xdr:row>
      <xdr:rowOff>60158</xdr:rowOff>
    </xdr:to>
    <xdr:grpSp>
      <xdr:nvGrpSpPr>
        <xdr:cNvPr id="1212180" name="Grupo 1212179">
          <a:extLst>
            <a:ext uri="{FF2B5EF4-FFF2-40B4-BE49-F238E27FC236}">
              <a16:creationId xmlns:a16="http://schemas.microsoft.com/office/drawing/2014/main" id="{6045AAB8-5D25-B6B1-7891-17939A975120}"/>
            </a:ext>
          </a:extLst>
        </xdr:cNvPr>
        <xdr:cNvGrpSpPr/>
      </xdr:nvGrpSpPr>
      <xdr:grpSpPr>
        <a:xfrm>
          <a:off x="15609009" y="110287"/>
          <a:ext cx="4612733" cy="4166271"/>
          <a:chOff x="16852132" y="195939"/>
          <a:chExt cx="6249463" cy="6364171"/>
        </a:xfrm>
      </xdr:grpSpPr>
      <xdr:cxnSp macro="">
        <xdr:nvCxnSpPr>
          <xdr:cNvPr id="1212143" name="Conector recto 1212142">
            <a:extLst>
              <a:ext uri="{FF2B5EF4-FFF2-40B4-BE49-F238E27FC236}">
                <a16:creationId xmlns:a16="http://schemas.microsoft.com/office/drawing/2014/main" id="{A47390B2-7FDF-4A0E-8AC1-7EE4C242DC00}"/>
              </a:ext>
            </a:extLst>
          </xdr:cNvPr>
          <xdr:cNvCxnSpPr/>
        </xdr:nvCxnSpPr>
        <xdr:spPr bwMode="auto">
          <a:xfrm flipV="1">
            <a:off x="18462256" y="310057"/>
            <a:ext cx="66996" cy="83827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212150" name="Conector recto 1212149">
            <a:extLst>
              <a:ext uri="{FF2B5EF4-FFF2-40B4-BE49-F238E27FC236}">
                <a16:creationId xmlns:a16="http://schemas.microsoft.com/office/drawing/2014/main" id="{734755C4-FE31-49C4-B969-55DE9578F83B}"/>
              </a:ext>
            </a:extLst>
          </xdr:cNvPr>
          <xdr:cNvCxnSpPr/>
        </xdr:nvCxnSpPr>
        <xdr:spPr bwMode="auto">
          <a:xfrm flipV="1">
            <a:off x="19690475" y="319582"/>
            <a:ext cx="66996" cy="83827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212157" name="Conector recto 1212156">
            <a:extLst>
              <a:ext uri="{FF2B5EF4-FFF2-40B4-BE49-F238E27FC236}">
                <a16:creationId xmlns:a16="http://schemas.microsoft.com/office/drawing/2014/main" id="{093ECAC3-2439-4CB4-A688-389DC1C7860C}"/>
              </a:ext>
            </a:extLst>
          </xdr:cNvPr>
          <xdr:cNvCxnSpPr/>
        </xdr:nvCxnSpPr>
        <xdr:spPr bwMode="auto">
          <a:xfrm flipV="1">
            <a:off x="20890256" y="314820"/>
            <a:ext cx="66996" cy="83827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grpSp>
        <xdr:nvGrpSpPr>
          <xdr:cNvPr id="1212179" name="Grupo 1212178">
            <a:extLst>
              <a:ext uri="{FF2B5EF4-FFF2-40B4-BE49-F238E27FC236}">
                <a16:creationId xmlns:a16="http://schemas.microsoft.com/office/drawing/2014/main" id="{FA12D5D7-D6BC-9E01-5C41-CB6F304EBE8B}"/>
              </a:ext>
            </a:extLst>
          </xdr:cNvPr>
          <xdr:cNvGrpSpPr/>
        </xdr:nvGrpSpPr>
        <xdr:grpSpPr>
          <a:xfrm>
            <a:off x="16852132" y="195939"/>
            <a:ext cx="6249463" cy="6364171"/>
            <a:chOff x="16874919" y="195939"/>
            <a:chExt cx="6262294" cy="6348836"/>
          </a:xfrm>
        </xdr:grpSpPr>
        <xdr:grpSp>
          <xdr:nvGrpSpPr>
            <xdr:cNvPr id="1212170" name="Grupo 1212169">
              <a:extLst>
                <a:ext uri="{FF2B5EF4-FFF2-40B4-BE49-F238E27FC236}">
                  <a16:creationId xmlns:a16="http://schemas.microsoft.com/office/drawing/2014/main" id="{7D767B12-1FAE-2E95-EC29-4416A50124E5}"/>
                </a:ext>
              </a:extLst>
            </xdr:cNvPr>
            <xdr:cNvGrpSpPr/>
          </xdr:nvGrpSpPr>
          <xdr:grpSpPr>
            <a:xfrm>
              <a:off x="16874919" y="195939"/>
              <a:ext cx="6262294" cy="6348836"/>
              <a:chOff x="16874919" y="195939"/>
              <a:chExt cx="6262294" cy="6348836"/>
            </a:xfrm>
          </xdr:grpSpPr>
          <xdr:grpSp>
            <xdr:nvGrpSpPr>
              <xdr:cNvPr id="1212169" name="Grupo 1212168">
                <a:extLst>
                  <a:ext uri="{FF2B5EF4-FFF2-40B4-BE49-F238E27FC236}">
                    <a16:creationId xmlns:a16="http://schemas.microsoft.com/office/drawing/2014/main" id="{D00DF839-9ECA-D2E4-768E-65BE7692FCFA}"/>
                  </a:ext>
                </a:extLst>
              </xdr:cNvPr>
              <xdr:cNvGrpSpPr/>
            </xdr:nvGrpSpPr>
            <xdr:grpSpPr>
              <a:xfrm>
                <a:off x="16874919" y="195939"/>
                <a:ext cx="6262294" cy="6348836"/>
                <a:chOff x="16874919" y="195939"/>
                <a:chExt cx="6262294" cy="6348836"/>
              </a:xfrm>
            </xdr:grpSpPr>
            <xdr:cxnSp macro="">
              <xdr:nvCxnSpPr>
                <xdr:cNvPr id="1212144" name="Conector recto 1212143">
                  <a:extLst>
                    <a:ext uri="{FF2B5EF4-FFF2-40B4-BE49-F238E27FC236}">
                      <a16:creationId xmlns:a16="http://schemas.microsoft.com/office/drawing/2014/main" id="{20A31EA9-AFB0-4CFC-A0C9-A862D06D1619}"/>
                    </a:ext>
                  </a:extLst>
                </xdr:cNvPr>
                <xdr:cNvCxnSpPr/>
              </xdr:nvCxnSpPr>
              <xdr:spPr bwMode="auto">
                <a:xfrm flipV="1">
                  <a:off x="18491326" y="268725"/>
                  <a:ext cx="2209" cy="122950"/>
                </a:xfrm>
                <a:prstGeom prst="lin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</xdr:cxnSp>
            <xdr:cxnSp macro="">
              <xdr:nvCxnSpPr>
                <xdr:cNvPr id="1212151" name="Conector recto 1212150">
                  <a:extLst>
                    <a:ext uri="{FF2B5EF4-FFF2-40B4-BE49-F238E27FC236}">
                      <a16:creationId xmlns:a16="http://schemas.microsoft.com/office/drawing/2014/main" id="{160D5A67-4B19-446B-8ECB-D42E9CBAD0A5}"/>
                    </a:ext>
                  </a:extLst>
                </xdr:cNvPr>
                <xdr:cNvCxnSpPr/>
              </xdr:nvCxnSpPr>
              <xdr:spPr bwMode="auto">
                <a:xfrm flipV="1">
                  <a:off x="19721149" y="278250"/>
                  <a:ext cx="2209" cy="122950"/>
                </a:xfrm>
                <a:prstGeom prst="lin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</xdr:cxnSp>
            <xdr:cxnSp macro="">
              <xdr:nvCxnSpPr>
                <xdr:cNvPr id="1212158" name="Conector recto 1212157">
                  <a:extLst>
                    <a:ext uri="{FF2B5EF4-FFF2-40B4-BE49-F238E27FC236}">
                      <a16:creationId xmlns:a16="http://schemas.microsoft.com/office/drawing/2014/main" id="{264C154A-2E77-4A80-BB10-2C6C7CC334F9}"/>
                    </a:ext>
                  </a:extLst>
                </xdr:cNvPr>
                <xdr:cNvCxnSpPr/>
              </xdr:nvCxnSpPr>
              <xdr:spPr bwMode="auto">
                <a:xfrm flipV="1">
                  <a:off x="20924138" y="273488"/>
                  <a:ext cx="2209" cy="122950"/>
                </a:xfrm>
                <a:prstGeom prst="lin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</xdr:cxnSp>
            <xdr:grpSp>
              <xdr:nvGrpSpPr>
                <xdr:cNvPr id="1212168" name="Grupo 1212167">
                  <a:extLst>
                    <a:ext uri="{FF2B5EF4-FFF2-40B4-BE49-F238E27FC236}">
                      <a16:creationId xmlns:a16="http://schemas.microsoft.com/office/drawing/2014/main" id="{61F53514-65CC-930D-9EA6-0B3EF88C4CB0}"/>
                    </a:ext>
                  </a:extLst>
                </xdr:cNvPr>
                <xdr:cNvGrpSpPr/>
              </xdr:nvGrpSpPr>
              <xdr:grpSpPr>
                <a:xfrm>
                  <a:off x="16874919" y="195939"/>
                  <a:ext cx="6262294" cy="6348836"/>
                  <a:chOff x="16888460" y="195939"/>
                  <a:chExt cx="6263640" cy="6457501"/>
                </a:xfrm>
              </xdr:grpSpPr>
              <xdr:grpSp>
                <xdr:nvGrpSpPr>
                  <xdr:cNvPr id="1212041" name="1103 Grupo">
                    <a:extLst>
                      <a:ext uri="{FF2B5EF4-FFF2-40B4-BE49-F238E27FC236}">
                        <a16:creationId xmlns:a16="http://schemas.microsoft.com/office/drawing/2014/main" id="{FB707827-3FA7-437F-B693-86910795FEF5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6888460" y="505460"/>
                    <a:ext cx="6263640" cy="6134100"/>
                    <a:chOff x="12578073" y="988919"/>
                    <a:chExt cx="9678677" cy="8510681"/>
                  </a:xfrm>
                </xdr:grpSpPr>
                <xdr:grpSp>
                  <xdr:nvGrpSpPr>
                    <xdr:cNvPr id="1212042" name="410 Grupo">
                      <a:extLst>
                        <a:ext uri="{FF2B5EF4-FFF2-40B4-BE49-F238E27FC236}">
                          <a16:creationId xmlns:a16="http://schemas.microsoft.com/office/drawing/2014/main" id="{453E86F4-3281-1182-1A9B-D150390A4AAC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12578073" y="988919"/>
                      <a:ext cx="9678677" cy="8510681"/>
                      <a:chOff x="6659658" y="3011580"/>
                      <a:chExt cx="3859213" cy="3443007"/>
                    </a:xfrm>
                  </xdr:grpSpPr>
                  <xdr:grpSp>
                    <xdr:nvGrpSpPr>
                      <xdr:cNvPr id="1212108" name="Group 1078">
                        <a:extLst>
                          <a:ext uri="{FF2B5EF4-FFF2-40B4-BE49-F238E27FC236}">
                            <a16:creationId xmlns:a16="http://schemas.microsoft.com/office/drawing/2014/main" id="{687632D7-5B43-C4B7-A187-DC2BED5751B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6659658" y="3011580"/>
                        <a:ext cx="3859213" cy="3443007"/>
                        <a:chOff x="394" y="56"/>
                        <a:chExt cx="121" cy="99"/>
                      </a:xfrm>
                    </xdr:grpSpPr>
                    <xdr:sp macro="" textlink="">
                      <xdr:nvSpPr>
                        <xdr:cNvPr id="1212110" name="Rectangle 1079">
                          <a:extLst>
                            <a:ext uri="{FF2B5EF4-FFF2-40B4-BE49-F238E27FC236}">
                              <a16:creationId xmlns:a16="http://schemas.microsoft.com/office/drawing/2014/main" id="{B9D6CB83-22D1-0A78-0B29-9F81C8F4570C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394" y="56"/>
                          <a:ext cx="121" cy="99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>
                          <a:solidFill>
                            <a:srgbClr val="000000"/>
                          </a:solidFill>
                          <a:miter lim="800000"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12111" name="Rectangle 1080">
                          <a:extLst>
                            <a:ext uri="{FF2B5EF4-FFF2-40B4-BE49-F238E27FC236}">
                              <a16:creationId xmlns:a16="http://schemas.microsoft.com/office/drawing/2014/main" id="{CC66B059-D260-B349-3CBE-013186939A47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397" y="59"/>
                          <a:ext cx="115" cy="94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>
                          <a:solidFill>
                            <a:srgbClr val="000000"/>
                          </a:solidFill>
                          <a:miter lim="800000"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12112" name="Rectangle 1081">
                          <a:extLst>
                            <a:ext uri="{FF2B5EF4-FFF2-40B4-BE49-F238E27FC236}">
                              <a16:creationId xmlns:a16="http://schemas.microsoft.com/office/drawing/2014/main" id="{CE08C526-BE81-2813-4B99-1D0A62972A8D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397" y="59"/>
                          <a:ext cx="24" cy="94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>
                          <a:solidFill>
                            <a:srgbClr val="000000"/>
                          </a:solidFill>
                          <a:miter lim="800000"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12113" name="Rectangle 1082">
                          <a:extLst>
                            <a:ext uri="{FF2B5EF4-FFF2-40B4-BE49-F238E27FC236}">
                              <a16:creationId xmlns:a16="http://schemas.microsoft.com/office/drawing/2014/main" id="{276B693D-809E-4B67-7790-B1B5817DDF35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421" y="59"/>
                          <a:ext cx="24" cy="94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>
                          <a:solidFill>
                            <a:srgbClr val="000000"/>
                          </a:solidFill>
                          <a:miter lim="800000"/>
                          <a:headEnd/>
                          <a:tailEnd/>
                        </a:ln>
                      </xdr:spPr>
                      <xdr:txBody>
                        <a:bodyPr/>
                        <a:lstStyle/>
                        <a:p>
                          <a:endParaRPr lang="es-BO"/>
                        </a:p>
                      </xdr:txBody>
                    </xdr:sp>
                    <xdr:sp macro="" textlink="">
                      <xdr:nvSpPr>
                        <xdr:cNvPr id="1212114" name="Rectangle 1083">
                          <a:extLst>
                            <a:ext uri="{FF2B5EF4-FFF2-40B4-BE49-F238E27FC236}">
                              <a16:creationId xmlns:a16="http://schemas.microsoft.com/office/drawing/2014/main" id="{CF9E2B9B-35E0-FDBC-206D-5BDD70D5A49D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445" y="59"/>
                          <a:ext cx="23" cy="94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>
                          <a:solidFill>
                            <a:srgbClr val="000000"/>
                          </a:solidFill>
                          <a:miter lim="800000"/>
                          <a:headEnd/>
                          <a:tailEnd/>
                        </a:ln>
                      </xdr:spPr>
                      <xdr:txBody>
                        <a:bodyPr/>
                        <a:lstStyle/>
                        <a:p>
                          <a:endParaRPr lang="es-BO"/>
                        </a:p>
                      </xdr:txBody>
                    </xdr:sp>
                    <xdr:sp macro="" textlink="">
                      <xdr:nvSpPr>
                        <xdr:cNvPr id="1212115" name="Rectangle 1086">
                          <a:extLst>
                            <a:ext uri="{FF2B5EF4-FFF2-40B4-BE49-F238E27FC236}">
                              <a16:creationId xmlns:a16="http://schemas.microsoft.com/office/drawing/2014/main" id="{8D715032-3E48-E34C-270A-E521C1975E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397" y="59"/>
                          <a:ext cx="115" cy="16"/>
                        </a:xfrm>
                        <a:prstGeom prst="rect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miter lim="800000"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solidFill>
                                <a:srgbClr val="FFFFFF"/>
                              </a:solidFill>
                            </a14:hiddenFill>
                          </a:ext>
                        </a:extLst>
                      </xdr:spPr>
                    </xdr:sp>
                    <xdr:sp macro="" textlink="">
                      <xdr:nvSpPr>
                        <xdr:cNvPr id="1212116" name="Rectangle 1087">
                          <a:extLst>
                            <a:ext uri="{FF2B5EF4-FFF2-40B4-BE49-F238E27FC236}">
                              <a16:creationId xmlns:a16="http://schemas.microsoft.com/office/drawing/2014/main" id="{6D2EEE65-B135-E593-3D0F-ABA9138CDAE5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397" y="137"/>
                          <a:ext cx="115" cy="16"/>
                        </a:xfrm>
                        <a:prstGeom prst="rect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miter lim="800000"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solidFill>
                                <a:srgbClr val="FFFFFF"/>
                              </a:solidFill>
                            </a14:hiddenFill>
                          </a:ext>
                        </a:extLst>
                      </xdr:spPr>
                    </xdr:sp>
                    <xdr:sp macro="" textlink="">
                      <xdr:nvSpPr>
                        <xdr:cNvPr id="1212117" name="Rectangle 1088">
                          <a:extLst>
                            <a:ext uri="{FF2B5EF4-FFF2-40B4-BE49-F238E27FC236}">
                              <a16:creationId xmlns:a16="http://schemas.microsoft.com/office/drawing/2014/main" id="{E3E72798-7E68-F51C-C1D4-FF81AD45A34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397" y="75"/>
                          <a:ext cx="115" cy="16"/>
                        </a:xfrm>
                        <a:prstGeom prst="rect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miter lim="800000"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solidFill>
                                <a:srgbClr val="FFFFFF"/>
                              </a:solidFill>
                            </a14:hiddenFill>
                          </a:ext>
                        </a:extLst>
                      </xdr:spPr>
                    </xdr:sp>
                    <xdr:sp macro="" textlink="">
                      <xdr:nvSpPr>
                        <xdr:cNvPr id="1212118" name="Rectangle 1089">
                          <a:extLst>
                            <a:ext uri="{FF2B5EF4-FFF2-40B4-BE49-F238E27FC236}">
                              <a16:creationId xmlns:a16="http://schemas.microsoft.com/office/drawing/2014/main" id="{362CC2CB-9D0F-3BBD-5443-AECC8BB0AF7B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397" y="91"/>
                          <a:ext cx="115" cy="16"/>
                        </a:xfrm>
                        <a:prstGeom prst="rect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miter lim="800000"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solidFill>
                                <a:srgbClr val="FFFFFF"/>
                              </a:solidFill>
                            </a14:hiddenFill>
                          </a:ext>
                        </a:extLst>
                      </xdr:spPr>
                    </xdr:sp>
                    <xdr:sp macro="" textlink="">
                      <xdr:nvSpPr>
                        <xdr:cNvPr id="1212119" name="Rectangle 1093">
                          <a:extLst>
                            <a:ext uri="{FF2B5EF4-FFF2-40B4-BE49-F238E27FC236}">
                              <a16:creationId xmlns:a16="http://schemas.microsoft.com/office/drawing/2014/main" id="{ABC82CF9-9EF0-AB51-7CE1-B1AA24897723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491" y="59"/>
                          <a:ext cx="21" cy="94"/>
                        </a:xfrm>
                        <a:prstGeom prst="rect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miter lim="800000"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solidFill>
                                <a:srgbClr val="FFFFFF"/>
                              </a:solidFill>
                            </a14:hiddenFill>
                          </a:ext>
                        </a:extLst>
                      </xdr:spPr>
                    </xdr:sp>
                  </xdr:grpSp>
                  <xdr:sp macro="" textlink="">
                    <xdr:nvSpPr>
                      <xdr:cNvPr id="1212109" name="Rectangle 1087">
                        <a:extLst>
                          <a:ext uri="{FF2B5EF4-FFF2-40B4-BE49-F238E27FC236}">
                            <a16:creationId xmlns:a16="http://schemas.microsoft.com/office/drawing/2014/main" id="{045C2DA3-54AB-C324-F9FB-7FABCEC498CA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>
                        <a:off x="6745226" y="5297606"/>
                        <a:ext cx="3672128" cy="527247"/>
                      </a:xfrm>
                      <a:prstGeom prst="rect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:ln>
                      <a:extLst>
                        <a:ext uri="{909E8E84-426E-40DD-AFC4-6F175D3DCCD1}">
                          <a14:hiddenFill xmlns:a14="http://schemas.microsoft.com/office/drawing/2010/main">
                            <a:solidFill>
                              <a:srgbClr val="FFFFFF"/>
                            </a:solidFill>
                          </a14:hiddenFill>
                        </a:ext>
                      </a:extLst>
                    </xdr:spPr>
                  </xdr:sp>
                </xdr:grpSp>
                <xdr:grpSp>
                  <xdr:nvGrpSpPr>
                    <xdr:cNvPr id="1212043" name="572 Grupo">
                      <a:extLst>
                        <a:ext uri="{FF2B5EF4-FFF2-40B4-BE49-F238E27FC236}">
                          <a16:creationId xmlns:a16="http://schemas.microsoft.com/office/drawing/2014/main" id="{CE3C1882-1350-0C4A-2BF5-A30B4975E9CB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14588195" y="5241471"/>
                      <a:ext cx="5901863" cy="266248"/>
                      <a:chOff x="14424932" y="5391150"/>
                      <a:chExt cx="5829300" cy="270783"/>
                    </a:xfrm>
                  </xdr:grpSpPr>
                  <xdr:grpSp>
                    <xdr:nvGrpSpPr>
                      <xdr:cNvPr id="1212096" name="562 Grupo">
                        <a:extLst>
                          <a:ext uri="{FF2B5EF4-FFF2-40B4-BE49-F238E27FC236}">
                            <a16:creationId xmlns:a16="http://schemas.microsoft.com/office/drawing/2014/main" id="{5659672D-C819-9C41-63E7-1B0FD093307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9968482" y="5395232"/>
                        <a:ext cx="285750" cy="265340"/>
                        <a:chOff x="22329321" y="5395232"/>
                        <a:chExt cx="285750" cy="265340"/>
                      </a:xfrm>
                    </xdr:grpSpPr>
                    <xdr:cxnSp macro="">
                      <xdr:nvCxnSpPr>
                        <xdr:cNvPr id="1212106" name="1168 Conector recto">
                          <a:extLst>
                            <a:ext uri="{FF2B5EF4-FFF2-40B4-BE49-F238E27FC236}">
                              <a16:creationId xmlns:a16="http://schemas.microsoft.com/office/drawing/2014/main" id="{619DCC55-AE85-72D1-3002-FBF42D8812D0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22329321" y="5395232"/>
                          <a:ext cx="285750" cy="265339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  <xdr:cxnSp macro="">
                      <xdr:nvCxnSpPr>
                        <xdr:cNvPr id="1212107" name="1169 Conector recto">
                          <a:extLst>
                            <a:ext uri="{FF2B5EF4-FFF2-40B4-BE49-F238E27FC236}">
                              <a16:creationId xmlns:a16="http://schemas.microsoft.com/office/drawing/2014/main" id="{ED2ED78F-A256-BDAD-0783-8A6D3D2E663B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 rot="5400000" flipH="1" flipV="1">
                          <a:off x="22342930" y="5395235"/>
                          <a:ext cx="265338" cy="265335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</xdr:grpSp>
                  <xdr:grpSp>
                    <xdr:nvGrpSpPr>
                      <xdr:cNvPr id="1212097" name="563 Grupo">
                        <a:extLst>
                          <a:ext uri="{FF2B5EF4-FFF2-40B4-BE49-F238E27FC236}">
                            <a16:creationId xmlns:a16="http://schemas.microsoft.com/office/drawing/2014/main" id="{9D22A622-1D70-B2F4-9448-ABE96C49BC5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8147847" y="5391150"/>
                        <a:ext cx="285750" cy="265340"/>
                        <a:chOff x="22329321" y="5395232"/>
                        <a:chExt cx="285750" cy="265340"/>
                      </a:xfrm>
                    </xdr:grpSpPr>
                    <xdr:cxnSp macro="">
                      <xdr:nvCxnSpPr>
                        <xdr:cNvPr id="1212104" name="1166 Conector recto">
                          <a:extLst>
                            <a:ext uri="{FF2B5EF4-FFF2-40B4-BE49-F238E27FC236}">
                              <a16:creationId xmlns:a16="http://schemas.microsoft.com/office/drawing/2014/main" id="{67C72799-AEB3-7A5D-D514-D430CB9FCAEB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22329321" y="5395232"/>
                          <a:ext cx="285750" cy="265339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  <xdr:cxnSp macro="">
                      <xdr:nvCxnSpPr>
                        <xdr:cNvPr id="1212105" name="1167 Conector recto">
                          <a:extLst>
                            <a:ext uri="{FF2B5EF4-FFF2-40B4-BE49-F238E27FC236}">
                              <a16:creationId xmlns:a16="http://schemas.microsoft.com/office/drawing/2014/main" id="{A0AC780A-17CF-0A00-2394-EE059B3E8BF8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 rot="5400000" flipH="1" flipV="1">
                          <a:off x="22342930" y="5395235"/>
                          <a:ext cx="265338" cy="265335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</xdr:grpSp>
                  <xdr:grpSp>
                    <xdr:nvGrpSpPr>
                      <xdr:cNvPr id="1212098" name="566 Grupo">
                        <a:extLst>
                          <a:ext uri="{FF2B5EF4-FFF2-40B4-BE49-F238E27FC236}">
                            <a16:creationId xmlns:a16="http://schemas.microsoft.com/office/drawing/2014/main" id="{8A68E5C5-5F66-E5EC-59DB-E701C9753DBF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6320407" y="5393872"/>
                        <a:ext cx="285750" cy="265340"/>
                        <a:chOff x="22329321" y="5395232"/>
                        <a:chExt cx="285750" cy="265340"/>
                      </a:xfrm>
                    </xdr:grpSpPr>
                    <xdr:cxnSp macro="">
                      <xdr:nvCxnSpPr>
                        <xdr:cNvPr id="1212102" name="1164 Conector recto">
                          <a:extLst>
                            <a:ext uri="{FF2B5EF4-FFF2-40B4-BE49-F238E27FC236}">
                              <a16:creationId xmlns:a16="http://schemas.microsoft.com/office/drawing/2014/main" id="{25FF3624-553C-65C4-2493-68DE9008DA1D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22329321" y="5395232"/>
                          <a:ext cx="285750" cy="265339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  <xdr:cxnSp macro="">
                      <xdr:nvCxnSpPr>
                        <xdr:cNvPr id="1212103" name="1165 Conector recto">
                          <a:extLst>
                            <a:ext uri="{FF2B5EF4-FFF2-40B4-BE49-F238E27FC236}">
                              <a16:creationId xmlns:a16="http://schemas.microsoft.com/office/drawing/2014/main" id="{1F26C9D0-6A78-7F04-C70A-34D34C941DA6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 rot="5400000" flipH="1" flipV="1">
                          <a:off x="22342930" y="5395235"/>
                          <a:ext cx="265338" cy="265335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</xdr:grpSp>
                  <xdr:grpSp>
                    <xdr:nvGrpSpPr>
                      <xdr:cNvPr id="1212099" name="569 Grupo">
                        <a:extLst>
                          <a:ext uri="{FF2B5EF4-FFF2-40B4-BE49-F238E27FC236}">
                            <a16:creationId xmlns:a16="http://schemas.microsoft.com/office/drawing/2014/main" id="{731AE562-FB3B-FFA9-A32F-D676200AFC26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4424932" y="5396593"/>
                        <a:ext cx="285750" cy="265340"/>
                        <a:chOff x="22329321" y="5395232"/>
                        <a:chExt cx="285750" cy="265340"/>
                      </a:xfrm>
                    </xdr:grpSpPr>
                    <xdr:cxnSp macro="">
                      <xdr:nvCxnSpPr>
                        <xdr:cNvPr id="1212100" name="1162 Conector recto">
                          <a:extLst>
                            <a:ext uri="{FF2B5EF4-FFF2-40B4-BE49-F238E27FC236}">
                              <a16:creationId xmlns:a16="http://schemas.microsoft.com/office/drawing/2014/main" id="{A9EDFE70-0306-0767-4709-10AE4981442B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22329321" y="5395232"/>
                          <a:ext cx="285750" cy="265339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  <xdr:cxnSp macro="">
                      <xdr:nvCxnSpPr>
                        <xdr:cNvPr id="1212101" name="1163 Conector recto">
                          <a:extLst>
                            <a:ext uri="{FF2B5EF4-FFF2-40B4-BE49-F238E27FC236}">
                              <a16:creationId xmlns:a16="http://schemas.microsoft.com/office/drawing/2014/main" id="{111F6241-425C-C0EB-2D71-C8ABED336526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 rot="5400000" flipH="1" flipV="1">
                          <a:off x="22342930" y="5395235"/>
                          <a:ext cx="265338" cy="265335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</xdr:grpSp>
                </xdr:grpSp>
                <xdr:grpSp>
                  <xdr:nvGrpSpPr>
                    <xdr:cNvPr id="1212044" name="573 Grupo">
                      <a:extLst>
                        <a:ext uri="{FF2B5EF4-FFF2-40B4-BE49-F238E27FC236}">
                          <a16:creationId xmlns:a16="http://schemas.microsoft.com/office/drawing/2014/main" id="{578B2F90-FAF7-098D-C119-D1EC9C057DDA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14590917" y="6505041"/>
                      <a:ext cx="5901863" cy="261708"/>
                      <a:chOff x="14424932" y="5391150"/>
                      <a:chExt cx="5829300" cy="270783"/>
                    </a:xfrm>
                  </xdr:grpSpPr>
                  <xdr:grpSp>
                    <xdr:nvGrpSpPr>
                      <xdr:cNvPr id="1212084" name="562 Grupo">
                        <a:extLst>
                          <a:ext uri="{FF2B5EF4-FFF2-40B4-BE49-F238E27FC236}">
                            <a16:creationId xmlns:a16="http://schemas.microsoft.com/office/drawing/2014/main" id="{627F0035-7AD3-8193-9E99-70559D9D20B1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9968482" y="5395232"/>
                        <a:ext cx="285750" cy="265340"/>
                        <a:chOff x="22329321" y="5395232"/>
                        <a:chExt cx="285750" cy="265340"/>
                      </a:xfrm>
                    </xdr:grpSpPr>
                    <xdr:cxnSp macro="">
                      <xdr:nvCxnSpPr>
                        <xdr:cNvPr id="1212094" name="1156 Conector recto">
                          <a:extLst>
                            <a:ext uri="{FF2B5EF4-FFF2-40B4-BE49-F238E27FC236}">
                              <a16:creationId xmlns:a16="http://schemas.microsoft.com/office/drawing/2014/main" id="{42FDFFAA-FDC6-D502-9DF5-D86FD649B9EA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22329321" y="5395232"/>
                          <a:ext cx="285750" cy="265339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  <xdr:cxnSp macro="">
                      <xdr:nvCxnSpPr>
                        <xdr:cNvPr id="1212095" name="1157 Conector recto">
                          <a:extLst>
                            <a:ext uri="{FF2B5EF4-FFF2-40B4-BE49-F238E27FC236}">
                              <a16:creationId xmlns:a16="http://schemas.microsoft.com/office/drawing/2014/main" id="{33C49000-127C-C5BE-DC42-4C127365D510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 rot="5400000" flipH="1" flipV="1">
                          <a:off x="22342930" y="5395235"/>
                          <a:ext cx="265338" cy="265335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</xdr:grpSp>
                  <xdr:grpSp>
                    <xdr:nvGrpSpPr>
                      <xdr:cNvPr id="1212085" name="563 Grupo">
                        <a:extLst>
                          <a:ext uri="{FF2B5EF4-FFF2-40B4-BE49-F238E27FC236}">
                            <a16:creationId xmlns:a16="http://schemas.microsoft.com/office/drawing/2014/main" id="{0414B171-40A9-9A46-D46B-F90C5878EF3E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8147847" y="5391150"/>
                        <a:ext cx="285750" cy="265340"/>
                        <a:chOff x="22329321" y="5395232"/>
                        <a:chExt cx="285750" cy="265340"/>
                      </a:xfrm>
                    </xdr:grpSpPr>
                    <xdr:cxnSp macro="">
                      <xdr:nvCxnSpPr>
                        <xdr:cNvPr id="1212092" name="1154 Conector recto">
                          <a:extLst>
                            <a:ext uri="{FF2B5EF4-FFF2-40B4-BE49-F238E27FC236}">
                              <a16:creationId xmlns:a16="http://schemas.microsoft.com/office/drawing/2014/main" id="{FE93FDCC-62A6-0670-0250-E19A4678526C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22329321" y="5395232"/>
                          <a:ext cx="285750" cy="265339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  <xdr:cxnSp macro="">
                      <xdr:nvCxnSpPr>
                        <xdr:cNvPr id="1212093" name="1155 Conector recto">
                          <a:extLst>
                            <a:ext uri="{FF2B5EF4-FFF2-40B4-BE49-F238E27FC236}">
                              <a16:creationId xmlns:a16="http://schemas.microsoft.com/office/drawing/2014/main" id="{58EA80EF-C724-8EFE-9E00-6F07338F7B8A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 rot="5400000" flipH="1" flipV="1">
                          <a:off x="22342930" y="5395235"/>
                          <a:ext cx="265338" cy="265335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</xdr:grpSp>
                  <xdr:grpSp>
                    <xdr:nvGrpSpPr>
                      <xdr:cNvPr id="1212086" name="566 Grupo">
                        <a:extLst>
                          <a:ext uri="{FF2B5EF4-FFF2-40B4-BE49-F238E27FC236}">
                            <a16:creationId xmlns:a16="http://schemas.microsoft.com/office/drawing/2014/main" id="{E57EF97B-6217-B0D0-523C-A29499686E61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6320407" y="5393872"/>
                        <a:ext cx="285750" cy="265340"/>
                        <a:chOff x="22329321" y="5395232"/>
                        <a:chExt cx="285750" cy="265340"/>
                      </a:xfrm>
                    </xdr:grpSpPr>
                    <xdr:cxnSp macro="">
                      <xdr:nvCxnSpPr>
                        <xdr:cNvPr id="1212090" name="1152 Conector recto">
                          <a:extLst>
                            <a:ext uri="{FF2B5EF4-FFF2-40B4-BE49-F238E27FC236}">
                              <a16:creationId xmlns:a16="http://schemas.microsoft.com/office/drawing/2014/main" id="{D354EACA-E13A-AD4D-7B86-4D99F21F8168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22329321" y="5395232"/>
                          <a:ext cx="285750" cy="265339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  <xdr:cxnSp macro="">
                      <xdr:nvCxnSpPr>
                        <xdr:cNvPr id="1212091" name="1153 Conector recto">
                          <a:extLst>
                            <a:ext uri="{FF2B5EF4-FFF2-40B4-BE49-F238E27FC236}">
                              <a16:creationId xmlns:a16="http://schemas.microsoft.com/office/drawing/2014/main" id="{5CFF0934-BDC6-CFBD-4BAE-65C856D13B38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 rot="5400000" flipH="1" flipV="1">
                          <a:off x="22342930" y="5395235"/>
                          <a:ext cx="265338" cy="265335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</xdr:grpSp>
                  <xdr:grpSp>
                    <xdr:nvGrpSpPr>
                      <xdr:cNvPr id="1212087" name="569 Grupo">
                        <a:extLst>
                          <a:ext uri="{FF2B5EF4-FFF2-40B4-BE49-F238E27FC236}">
                            <a16:creationId xmlns:a16="http://schemas.microsoft.com/office/drawing/2014/main" id="{FD76B1C1-1003-6D88-88A0-525957621695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4424932" y="5396593"/>
                        <a:ext cx="285750" cy="265340"/>
                        <a:chOff x="22329321" y="5395232"/>
                        <a:chExt cx="285750" cy="265340"/>
                      </a:xfrm>
                    </xdr:grpSpPr>
                    <xdr:cxnSp macro="">
                      <xdr:nvCxnSpPr>
                        <xdr:cNvPr id="1212088" name="1150 Conector recto">
                          <a:extLst>
                            <a:ext uri="{FF2B5EF4-FFF2-40B4-BE49-F238E27FC236}">
                              <a16:creationId xmlns:a16="http://schemas.microsoft.com/office/drawing/2014/main" id="{2ED1F253-1B58-5874-F535-BE33B3B0D1C0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22329321" y="5395232"/>
                          <a:ext cx="285750" cy="265339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  <xdr:cxnSp macro="">
                      <xdr:nvCxnSpPr>
                        <xdr:cNvPr id="1212089" name="1151 Conector recto">
                          <a:extLst>
                            <a:ext uri="{FF2B5EF4-FFF2-40B4-BE49-F238E27FC236}">
                              <a16:creationId xmlns:a16="http://schemas.microsoft.com/office/drawing/2014/main" id="{D88F793F-C973-8D36-8777-E81379D30C7F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 rot="5400000" flipH="1" flipV="1">
                          <a:off x="22342930" y="5395235"/>
                          <a:ext cx="265338" cy="265335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</xdr:grpSp>
                </xdr:grpSp>
                <xdr:grpSp>
                  <xdr:nvGrpSpPr>
                    <xdr:cNvPr id="1212045" name="586 Grupo">
                      <a:extLst>
                        <a:ext uri="{FF2B5EF4-FFF2-40B4-BE49-F238E27FC236}">
                          <a16:creationId xmlns:a16="http://schemas.microsoft.com/office/drawing/2014/main" id="{DA7230AE-FDD7-376C-3B58-FA464E886D68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14586835" y="3865710"/>
                      <a:ext cx="5901863" cy="261707"/>
                      <a:chOff x="14424932" y="5391150"/>
                      <a:chExt cx="5829300" cy="270783"/>
                    </a:xfrm>
                  </xdr:grpSpPr>
                  <xdr:grpSp>
                    <xdr:nvGrpSpPr>
                      <xdr:cNvPr id="1212072" name="562 Grupo">
                        <a:extLst>
                          <a:ext uri="{FF2B5EF4-FFF2-40B4-BE49-F238E27FC236}">
                            <a16:creationId xmlns:a16="http://schemas.microsoft.com/office/drawing/2014/main" id="{3A6D7D65-CBD7-3631-5328-1739E8643969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9968482" y="5395232"/>
                        <a:ext cx="285750" cy="265340"/>
                        <a:chOff x="22329321" y="5395232"/>
                        <a:chExt cx="285750" cy="265340"/>
                      </a:xfrm>
                    </xdr:grpSpPr>
                    <xdr:cxnSp macro="">
                      <xdr:nvCxnSpPr>
                        <xdr:cNvPr id="1212082" name="1144 Conector recto">
                          <a:extLst>
                            <a:ext uri="{FF2B5EF4-FFF2-40B4-BE49-F238E27FC236}">
                              <a16:creationId xmlns:a16="http://schemas.microsoft.com/office/drawing/2014/main" id="{CA7395F2-C3AB-1457-9D21-659C321ADE2A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22329321" y="5395232"/>
                          <a:ext cx="285750" cy="265339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  <xdr:cxnSp macro="">
                      <xdr:nvCxnSpPr>
                        <xdr:cNvPr id="1212083" name="1145 Conector recto">
                          <a:extLst>
                            <a:ext uri="{FF2B5EF4-FFF2-40B4-BE49-F238E27FC236}">
                              <a16:creationId xmlns:a16="http://schemas.microsoft.com/office/drawing/2014/main" id="{6E5F6566-4FF2-5C07-A637-975B0F26E4F8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 rot="5400000" flipH="1" flipV="1">
                          <a:off x="22342930" y="5395235"/>
                          <a:ext cx="265338" cy="265335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</xdr:grpSp>
                  <xdr:grpSp>
                    <xdr:nvGrpSpPr>
                      <xdr:cNvPr id="1212073" name="563 Grupo">
                        <a:extLst>
                          <a:ext uri="{FF2B5EF4-FFF2-40B4-BE49-F238E27FC236}">
                            <a16:creationId xmlns:a16="http://schemas.microsoft.com/office/drawing/2014/main" id="{EAF4C54F-BF4B-D3B8-5313-0C0A53860427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8147847" y="5391150"/>
                        <a:ext cx="285750" cy="265340"/>
                        <a:chOff x="22329321" y="5395232"/>
                        <a:chExt cx="285750" cy="265340"/>
                      </a:xfrm>
                    </xdr:grpSpPr>
                    <xdr:cxnSp macro="">
                      <xdr:nvCxnSpPr>
                        <xdr:cNvPr id="1212080" name="1142 Conector recto">
                          <a:extLst>
                            <a:ext uri="{FF2B5EF4-FFF2-40B4-BE49-F238E27FC236}">
                              <a16:creationId xmlns:a16="http://schemas.microsoft.com/office/drawing/2014/main" id="{B837BF60-B61F-048B-B7EE-388F6ED67EDD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22329321" y="5395232"/>
                          <a:ext cx="285750" cy="265339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  <xdr:cxnSp macro="">
                      <xdr:nvCxnSpPr>
                        <xdr:cNvPr id="1212081" name="1143 Conector recto">
                          <a:extLst>
                            <a:ext uri="{FF2B5EF4-FFF2-40B4-BE49-F238E27FC236}">
                              <a16:creationId xmlns:a16="http://schemas.microsoft.com/office/drawing/2014/main" id="{00CE3DBA-FE61-8BB5-E455-7D2F83E67765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 rot="5400000" flipH="1" flipV="1">
                          <a:off x="22342930" y="5395235"/>
                          <a:ext cx="265338" cy="265335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</xdr:grpSp>
                  <xdr:grpSp>
                    <xdr:nvGrpSpPr>
                      <xdr:cNvPr id="1212074" name="566 Grupo">
                        <a:extLst>
                          <a:ext uri="{FF2B5EF4-FFF2-40B4-BE49-F238E27FC236}">
                            <a16:creationId xmlns:a16="http://schemas.microsoft.com/office/drawing/2014/main" id="{37025706-0762-8E10-0A08-6BE89C8E3C79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6320407" y="5393872"/>
                        <a:ext cx="285750" cy="265340"/>
                        <a:chOff x="22329321" y="5395232"/>
                        <a:chExt cx="285750" cy="265340"/>
                      </a:xfrm>
                    </xdr:grpSpPr>
                    <xdr:cxnSp macro="">
                      <xdr:nvCxnSpPr>
                        <xdr:cNvPr id="1212078" name="1140 Conector recto">
                          <a:extLst>
                            <a:ext uri="{FF2B5EF4-FFF2-40B4-BE49-F238E27FC236}">
                              <a16:creationId xmlns:a16="http://schemas.microsoft.com/office/drawing/2014/main" id="{F670BEF0-E142-F247-A3F7-4D22F531DAF1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22329321" y="5395232"/>
                          <a:ext cx="285750" cy="265339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  <xdr:cxnSp macro="">
                      <xdr:nvCxnSpPr>
                        <xdr:cNvPr id="1212079" name="1141 Conector recto">
                          <a:extLst>
                            <a:ext uri="{FF2B5EF4-FFF2-40B4-BE49-F238E27FC236}">
                              <a16:creationId xmlns:a16="http://schemas.microsoft.com/office/drawing/2014/main" id="{99C492A3-FDB4-F0BB-FFF9-BB8C9D55B5C0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 rot="5400000" flipH="1" flipV="1">
                          <a:off x="22342930" y="5395235"/>
                          <a:ext cx="265338" cy="265335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</xdr:grpSp>
                  <xdr:grpSp>
                    <xdr:nvGrpSpPr>
                      <xdr:cNvPr id="1212075" name="569 Grupo">
                        <a:extLst>
                          <a:ext uri="{FF2B5EF4-FFF2-40B4-BE49-F238E27FC236}">
                            <a16:creationId xmlns:a16="http://schemas.microsoft.com/office/drawing/2014/main" id="{46D58BAB-AF9A-2E22-580A-31137C513555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4424932" y="5396593"/>
                        <a:ext cx="285750" cy="265340"/>
                        <a:chOff x="22329321" y="5395232"/>
                        <a:chExt cx="285750" cy="265340"/>
                      </a:xfrm>
                    </xdr:grpSpPr>
                    <xdr:cxnSp macro="">
                      <xdr:nvCxnSpPr>
                        <xdr:cNvPr id="1212076" name="1138 Conector recto">
                          <a:extLst>
                            <a:ext uri="{FF2B5EF4-FFF2-40B4-BE49-F238E27FC236}">
                              <a16:creationId xmlns:a16="http://schemas.microsoft.com/office/drawing/2014/main" id="{AEEC20E1-2FDF-483B-95CB-67FF1B365F0D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22329321" y="5395232"/>
                          <a:ext cx="285750" cy="265339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  <xdr:cxnSp macro="">
                      <xdr:nvCxnSpPr>
                        <xdr:cNvPr id="1212077" name="1139 Conector recto">
                          <a:extLst>
                            <a:ext uri="{FF2B5EF4-FFF2-40B4-BE49-F238E27FC236}">
                              <a16:creationId xmlns:a16="http://schemas.microsoft.com/office/drawing/2014/main" id="{8DE98109-DA70-F9F9-D125-AD990A252036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 rot="5400000" flipH="1" flipV="1">
                          <a:off x="22342930" y="5395235"/>
                          <a:ext cx="265338" cy="265335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</xdr:grpSp>
                </xdr:grpSp>
                <xdr:grpSp>
                  <xdr:nvGrpSpPr>
                    <xdr:cNvPr id="1212046" name="599 Grupo">
                      <a:extLst>
                        <a:ext uri="{FF2B5EF4-FFF2-40B4-BE49-F238E27FC236}">
                          <a16:creationId xmlns:a16="http://schemas.microsoft.com/office/drawing/2014/main" id="{6BB63042-1CEE-C132-05E3-777A15BEB126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14596360" y="2494110"/>
                      <a:ext cx="5901863" cy="261708"/>
                      <a:chOff x="14424932" y="5391150"/>
                      <a:chExt cx="5829300" cy="270783"/>
                    </a:xfrm>
                  </xdr:grpSpPr>
                  <xdr:grpSp>
                    <xdr:nvGrpSpPr>
                      <xdr:cNvPr id="1212060" name="562 Grupo">
                        <a:extLst>
                          <a:ext uri="{FF2B5EF4-FFF2-40B4-BE49-F238E27FC236}">
                            <a16:creationId xmlns:a16="http://schemas.microsoft.com/office/drawing/2014/main" id="{E545CC8F-394E-15F4-1D8B-FEA4405BA76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9968482" y="5395232"/>
                        <a:ext cx="285750" cy="265340"/>
                        <a:chOff x="22329321" y="5395232"/>
                        <a:chExt cx="285750" cy="265340"/>
                      </a:xfrm>
                    </xdr:grpSpPr>
                    <xdr:cxnSp macro="">
                      <xdr:nvCxnSpPr>
                        <xdr:cNvPr id="1212070" name="1132 Conector recto">
                          <a:extLst>
                            <a:ext uri="{FF2B5EF4-FFF2-40B4-BE49-F238E27FC236}">
                              <a16:creationId xmlns:a16="http://schemas.microsoft.com/office/drawing/2014/main" id="{06318401-C104-DBA5-EE69-D868D940CEEE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22329321" y="5395232"/>
                          <a:ext cx="285750" cy="265339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  <xdr:cxnSp macro="">
                      <xdr:nvCxnSpPr>
                        <xdr:cNvPr id="1212071" name="1133 Conector recto">
                          <a:extLst>
                            <a:ext uri="{FF2B5EF4-FFF2-40B4-BE49-F238E27FC236}">
                              <a16:creationId xmlns:a16="http://schemas.microsoft.com/office/drawing/2014/main" id="{0148A690-54CA-E183-59BB-CB590C40D1CC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 rot="5400000" flipH="1" flipV="1">
                          <a:off x="22342930" y="5395235"/>
                          <a:ext cx="265338" cy="265335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</xdr:grpSp>
                  <xdr:grpSp>
                    <xdr:nvGrpSpPr>
                      <xdr:cNvPr id="1212061" name="563 Grupo">
                        <a:extLst>
                          <a:ext uri="{FF2B5EF4-FFF2-40B4-BE49-F238E27FC236}">
                            <a16:creationId xmlns:a16="http://schemas.microsoft.com/office/drawing/2014/main" id="{2B586E8E-6442-B4F6-4745-2F6381D8101C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8147847" y="5391150"/>
                        <a:ext cx="285750" cy="265340"/>
                        <a:chOff x="22329321" y="5395232"/>
                        <a:chExt cx="285750" cy="265340"/>
                      </a:xfrm>
                    </xdr:grpSpPr>
                    <xdr:cxnSp macro="">
                      <xdr:nvCxnSpPr>
                        <xdr:cNvPr id="1212068" name="1130 Conector recto">
                          <a:extLst>
                            <a:ext uri="{FF2B5EF4-FFF2-40B4-BE49-F238E27FC236}">
                              <a16:creationId xmlns:a16="http://schemas.microsoft.com/office/drawing/2014/main" id="{3BA10034-86AD-1773-0B04-5E0D9ECA02C3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22329321" y="5395232"/>
                          <a:ext cx="285750" cy="265339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  <xdr:cxnSp macro="">
                      <xdr:nvCxnSpPr>
                        <xdr:cNvPr id="1212069" name="1131 Conector recto">
                          <a:extLst>
                            <a:ext uri="{FF2B5EF4-FFF2-40B4-BE49-F238E27FC236}">
                              <a16:creationId xmlns:a16="http://schemas.microsoft.com/office/drawing/2014/main" id="{64775995-CB0D-6DB3-4C5E-D2C2AEA02200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 rot="5400000" flipH="1" flipV="1">
                          <a:off x="22342930" y="5395235"/>
                          <a:ext cx="265338" cy="265335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</xdr:grpSp>
                  <xdr:grpSp>
                    <xdr:nvGrpSpPr>
                      <xdr:cNvPr id="1212062" name="566 Grupo">
                        <a:extLst>
                          <a:ext uri="{FF2B5EF4-FFF2-40B4-BE49-F238E27FC236}">
                            <a16:creationId xmlns:a16="http://schemas.microsoft.com/office/drawing/2014/main" id="{1835576F-3233-16EB-A1C9-E319EF7FF152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6320407" y="5393872"/>
                        <a:ext cx="285750" cy="265340"/>
                        <a:chOff x="22329321" y="5395232"/>
                        <a:chExt cx="285750" cy="265340"/>
                      </a:xfrm>
                    </xdr:grpSpPr>
                    <xdr:cxnSp macro="">
                      <xdr:nvCxnSpPr>
                        <xdr:cNvPr id="1212066" name="1128 Conector recto">
                          <a:extLst>
                            <a:ext uri="{FF2B5EF4-FFF2-40B4-BE49-F238E27FC236}">
                              <a16:creationId xmlns:a16="http://schemas.microsoft.com/office/drawing/2014/main" id="{9133B338-B4ED-7180-B9A2-9DE1AC4CBCF3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22329321" y="5395232"/>
                          <a:ext cx="285750" cy="265339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  <xdr:cxnSp macro="">
                      <xdr:nvCxnSpPr>
                        <xdr:cNvPr id="1212067" name="1129 Conector recto">
                          <a:extLst>
                            <a:ext uri="{FF2B5EF4-FFF2-40B4-BE49-F238E27FC236}">
                              <a16:creationId xmlns:a16="http://schemas.microsoft.com/office/drawing/2014/main" id="{C9BBF9E8-FD9D-1A72-5990-F24C2F08BFF3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 rot="5400000" flipH="1" flipV="1">
                          <a:off x="22342930" y="5395235"/>
                          <a:ext cx="265338" cy="265335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</xdr:grpSp>
                  <xdr:grpSp>
                    <xdr:nvGrpSpPr>
                      <xdr:cNvPr id="1212063" name="569 Grupo">
                        <a:extLst>
                          <a:ext uri="{FF2B5EF4-FFF2-40B4-BE49-F238E27FC236}">
                            <a16:creationId xmlns:a16="http://schemas.microsoft.com/office/drawing/2014/main" id="{7C017835-F5E8-6034-CA11-39379E6ABA7A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4424932" y="5396593"/>
                        <a:ext cx="285750" cy="265340"/>
                        <a:chOff x="22329321" y="5395232"/>
                        <a:chExt cx="285750" cy="265340"/>
                      </a:xfrm>
                    </xdr:grpSpPr>
                    <xdr:cxnSp macro="">
                      <xdr:nvCxnSpPr>
                        <xdr:cNvPr id="1212064" name="1126 Conector recto">
                          <a:extLst>
                            <a:ext uri="{FF2B5EF4-FFF2-40B4-BE49-F238E27FC236}">
                              <a16:creationId xmlns:a16="http://schemas.microsoft.com/office/drawing/2014/main" id="{92B175B9-3B07-86D6-2646-91D4051AB793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22329321" y="5395232"/>
                          <a:ext cx="285750" cy="265339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  <xdr:cxnSp macro="">
                      <xdr:nvCxnSpPr>
                        <xdr:cNvPr id="1212065" name="1127 Conector recto">
                          <a:extLst>
                            <a:ext uri="{FF2B5EF4-FFF2-40B4-BE49-F238E27FC236}">
                              <a16:creationId xmlns:a16="http://schemas.microsoft.com/office/drawing/2014/main" id="{682CE03C-1062-726B-86EA-4854B2DF94A8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 rot="5400000" flipH="1" flipV="1">
                          <a:off x="22342930" y="5395235"/>
                          <a:ext cx="265338" cy="265335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</xdr:grpSp>
                </xdr:grpSp>
                <xdr:grpSp>
                  <xdr:nvGrpSpPr>
                    <xdr:cNvPr id="1212047" name="612 Grupo">
                      <a:extLst>
                        <a:ext uri="{FF2B5EF4-FFF2-40B4-BE49-F238E27FC236}">
                          <a16:creationId xmlns:a16="http://schemas.microsoft.com/office/drawing/2014/main" id="{438818ED-5940-BC74-AA97-71E50990ADD2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14585474" y="7805965"/>
                      <a:ext cx="5901863" cy="266247"/>
                      <a:chOff x="14424932" y="5391150"/>
                      <a:chExt cx="5829300" cy="270783"/>
                    </a:xfrm>
                  </xdr:grpSpPr>
                  <xdr:grpSp>
                    <xdr:nvGrpSpPr>
                      <xdr:cNvPr id="1212048" name="562 Grupo">
                        <a:extLst>
                          <a:ext uri="{FF2B5EF4-FFF2-40B4-BE49-F238E27FC236}">
                            <a16:creationId xmlns:a16="http://schemas.microsoft.com/office/drawing/2014/main" id="{A82FEEC7-B69E-7413-508D-C087F9F22ACE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9968482" y="5395232"/>
                        <a:ext cx="285750" cy="265340"/>
                        <a:chOff x="22329321" y="5395232"/>
                        <a:chExt cx="285750" cy="265340"/>
                      </a:xfrm>
                    </xdr:grpSpPr>
                    <xdr:cxnSp macro="">
                      <xdr:nvCxnSpPr>
                        <xdr:cNvPr id="1212058" name="1120 Conector recto">
                          <a:extLst>
                            <a:ext uri="{FF2B5EF4-FFF2-40B4-BE49-F238E27FC236}">
                              <a16:creationId xmlns:a16="http://schemas.microsoft.com/office/drawing/2014/main" id="{2A8E7D8E-6580-DFA1-E4A1-F5B69ED46856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22329321" y="5395232"/>
                          <a:ext cx="285750" cy="265339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  <xdr:cxnSp macro="">
                      <xdr:nvCxnSpPr>
                        <xdr:cNvPr id="1212059" name="1121 Conector recto">
                          <a:extLst>
                            <a:ext uri="{FF2B5EF4-FFF2-40B4-BE49-F238E27FC236}">
                              <a16:creationId xmlns:a16="http://schemas.microsoft.com/office/drawing/2014/main" id="{45B7A094-C743-4116-B801-C44872FA1FFF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 rot="5400000" flipH="1" flipV="1">
                          <a:off x="22342930" y="5395235"/>
                          <a:ext cx="265338" cy="265335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</xdr:grpSp>
                  <xdr:grpSp>
                    <xdr:nvGrpSpPr>
                      <xdr:cNvPr id="1212049" name="563 Grupo">
                        <a:extLst>
                          <a:ext uri="{FF2B5EF4-FFF2-40B4-BE49-F238E27FC236}">
                            <a16:creationId xmlns:a16="http://schemas.microsoft.com/office/drawing/2014/main" id="{C4B923BB-8369-8296-FCF2-1402CFC2E2C3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8147847" y="5391150"/>
                        <a:ext cx="285750" cy="265340"/>
                        <a:chOff x="22329321" y="5395232"/>
                        <a:chExt cx="285750" cy="265340"/>
                      </a:xfrm>
                    </xdr:grpSpPr>
                    <xdr:cxnSp macro="">
                      <xdr:nvCxnSpPr>
                        <xdr:cNvPr id="1212056" name="1118 Conector recto">
                          <a:extLst>
                            <a:ext uri="{FF2B5EF4-FFF2-40B4-BE49-F238E27FC236}">
                              <a16:creationId xmlns:a16="http://schemas.microsoft.com/office/drawing/2014/main" id="{C0714350-E7D4-AD67-379A-534768F065BA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22329321" y="5395232"/>
                          <a:ext cx="285750" cy="265339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  <xdr:cxnSp macro="">
                      <xdr:nvCxnSpPr>
                        <xdr:cNvPr id="1212057" name="1119 Conector recto">
                          <a:extLst>
                            <a:ext uri="{FF2B5EF4-FFF2-40B4-BE49-F238E27FC236}">
                              <a16:creationId xmlns:a16="http://schemas.microsoft.com/office/drawing/2014/main" id="{8E2EBF88-AAD3-B6D7-825A-A13C7361C704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 rot="5400000" flipH="1" flipV="1">
                          <a:off x="22342930" y="5395235"/>
                          <a:ext cx="265338" cy="265335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</xdr:grpSp>
                  <xdr:grpSp>
                    <xdr:nvGrpSpPr>
                      <xdr:cNvPr id="1212050" name="566 Grupo">
                        <a:extLst>
                          <a:ext uri="{FF2B5EF4-FFF2-40B4-BE49-F238E27FC236}">
                            <a16:creationId xmlns:a16="http://schemas.microsoft.com/office/drawing/2014/main" id="{7F0AE6FC-0FEF-3FC3-73FE-1E107BEC2285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6320407" y="5393872"/>
                        <a:ext cx="285750" cy="265340"/>
                        <a:chOff x="22329321" y="5395232"/>
                        <a:chExt cx="285750" cy="265340"/>
                      </a:xfrm>
                    </xdr:grpSpPr>
                    <xdr:cxnSp macro="">
                      <xdr:nvCxnSpPr>
                        <xdr:cNvPr id="1212054" name="1116 Conector recto">
                          <a:extLst>
                            <a:ext uri="{FF2B5EF4-FFF2-40B4-BE49-F238E27FC236}">
                              <a16:creationId xmlns:a16="http://schemas.microsoft.com/office/drawing/2014/main" id="{54C63E96-2E24-08FF-E056-B94733440075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22329321" y="5395232"/>
                          <a:ext cx="285750" cy="265339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  <xdr:cxnSp macro="">
                      <xdr:nvCxnSpPr>
                        <xdr:cNvPr id="1212055" name="1117 Conector recto">
                          <a:extLst>
                            <a:ext uri="{FF2B5EF4-FFF2-40B4-BE49-F238E27FC236}">
                              <a16:creationId xmlns:a16="http://schemas.microsoft.com/office/drawing/2014/main" id="{1B7FC56B-3CB2-F643-A1CB-A5354D6984D3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 rot="5400000" flipH="1" flipV="1">
                          <a:off x="22342930" y="5395235"/>
                          <a:ext cx="265338" cy="265335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</xdr:grpSp>
                  <xdr:grpSp>
                    <xdr:nvGrpSpPr>
                      <xdr:cNvPr id="1212051" name="569 Grupo">
                        <a:extLst>
                          <a:ext uri="{FF2B5EF4-FFF2-40B4-BE49-F238E27FC236}">
                            <a16:creationId xmlns:a16="http://schemas.microsoft.com/office/drawing/2014/main" id="{00CBD588-72E0-7480-AC9F-C55F1119963F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4424932" y="5396593"/>
                        <a:ext cx="285750" cy="265340"/>
                        <a:chOff x="22329321" y="5395232"/>
                        <a:chExt cx="285750" cy="265340"/>
                      </a:xfrm>
                    </xdr:grpSpPr>
                    <xdr:cxnSp macro="">
                      <xdr:nvCxnSpPr>
                        <xdr:cNvPr id="1212052" name="1114 Conector recto">
                          <a:extLst>
                            <a:ext uri="{FF2B5EF4-FFF2-40B4-BE49-F238E27FC236}">
                              <a16:creationId xmlns:a16="http://schemas.microsoft.com/office/drawing/2014/main" id="{41816B0E-571C-92D9-EF76-D77E0F3455D6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22329321" y="5395232"/>
                          <a:ext cx="285750" cy="265339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  <xdr:cxnSp macro="">
                      <xdr:nvCxnSpPr>
                        <xdr:cNvPr id="1212053" name="1115 Conector recto">
                          <a:extLst>
                            <a:ext uri="{FF2B5EF4-FFF2-40B4-BE49-F238E27FC236}">
                              <a16:creationId xmlns:a16="http://schemas.microsoft.com/office/drawing/2014/main" id="{0DBDE329-B80A-C2D2-7083-FA22274D76DC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 rot="5400000" flipH="1" flipV="1">
                          <a:off x="22342930" y="5395235"/>
                          <a:ext cx="265338" cy="265335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</xdr:grpSp>
                </xdr:grpSp>
              </xdr:grpSp>
              <xdr:sp macro="" textlink="">
                <xdr:nvSpPr>
                  <xdr:cNvPr id="1212120" name="Rectángulo 1212119">
                    <a:extLst>
                      <a:ext uri="{FF2B5EF4-FFF2-40B4-BE49-F238E27FC236}">
                        <a16:creationId xmlns:a16="http://schemas.microsoft.com/office/drawing/2014/main" id="{55A96EFA-5DCB-484A-AF41-7B12160D90E1}"/>
                      </a:ext>
                    </a:extLst>
                  </xdr:cNvPr>
                  <xdr:cNvSpPr/>
                </xdr:nvSpPr>
                <xdr:spPr bwMode="auto">
                  <a:xfrm>
                    <a:off x="18143220" y="1480820"/>
                    <a:ext cx="289560" cy="320040"/>
                  </a:xfrm>
                  <a:prstGeom prst="rect">
                    <a:avLst/>
                  </a:prstGeom>
                  <a:solidFill>
                    <a:schemeClr val="tx1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  <xdr:txBody>
                  <a:bodyPr vertOverflow="clip" wrap="square" lIns="18288" tIns="0" rIns="0" bIns="0" rtlCol="0" anchor="ctr" upright="1"/>
                  <a:lstStyle/>
                  <a:p>
                    <a:pPr algn="l"/>
                    <a:endParaRPr lang="es-BO" sz="1100"/>
                  </a:p>
                </xdr:txBody>
              </xdr:sp>
              <xdr:sp macro="" textlink="">
                <xdr:nvSpPr>
                  <xdr:cNvPr id="1212121" name="Rectángulo 1212120">
                    <a:extLst>
                      <a:ext uri="{FF2B5EF4-FFF2-40B4-BE49-F238E27FC236}">
                        <a16:creationId xmlns:a16="http://schemas.microsoft.com/office/drawing/2014/main" id="{000EEA1C-A099-421C-9EFB-7A3AAE156CDA}"/>
                      </a:ext>
                    </a:extLst>
                  </xdr:cNvPr>
                  <xdr:cNvSpPr/>
                </xdr:nvSpPr>
                <xdr:spPr bwMode="auto">
                  <a:xfrm>
                    <a:off x="18127980" y="5298440"/>
                    <a:ext cx="289560" cy="325120"/>
                  </a:xfrm>
                  <a:prstGeom prst="rect">
                    <a:avLst/>
                  </a:prstGeom>
                  <a:solidFill>
                    <a:schemeClr val="tx1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  <xdr:txBody>
                  <a:bodyPr vertOverflow="clip" wrap="square" lIns="18288" tIns="0" rIns="0" bIns="0" rtlCol="0" anchor="ctr" upright="1"/>
                  <a:lstStyle/>
                  <a:p>
                    <a:pPr algn="l"/>
                    <a:endParaRPr lang="es-BO" sz="1100"/>
                  </a:p>
                </xdr:txBody>
              </xdr:sp>
              <xdr:sp macro="" textlink="">
                <xdr:nvSpPr>
                  <xdr:cNvPr id="1212122" name="Rectángulo 1212121">
                    <a:extLst>
                      <a:ext uri="{FF2B5EF4-FFF2-40B4-BE49-F238E27FC236}">
                        <a16:creationId xmlns:a16="http://schemas.microsoft.com/office/drawing/2014/main" id="{C127713A-CB33-4521-8E20-921CE4A2F9FE}"/>
                      </a:ext>
                    </a:extLst>
                  </xdr:cNvPr>
                  <xdr:cNvSpPr/>
                </xdr:nvSpPr>
                <xdr:spPr bwMode="auto">
                  <a:xfrm>
                    <a:off x="18143220" y="4368800"/>
                    <a:ext cx="289560" cy="320040"/>
                  </a:xfrm>
                  <a:prstGeom prst="rect">
                    <a:avLst/>
                  </a:prstGeom>
                  <a:solidFill>
                    <a:schemeClr val="tx1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  <xdr:txBody>
                  <a:bodyPr vertOverflow="clip" wrap="square" lIns="18288" tIns="0" rIns="0" bIns="0" rtlCol="0" anchor="ctr" upright="1"/>
                  <a:lstStyle/>
                  <a:p>
                    <a:pPr algn="l"/>
                    <a:endParaRPr lang="es-BO" sz="1100"/>
                  </a:p>
                </xdr:txBody>
              </xdr:sp>
              <xdr:sp macro="" textlink="">
                <xdr:nvSpPr>
                  <xdr:cNvPr id="1212123" name="Rectángulo 1212122">
                    <a:extLst>
                      <a:ext uri="{FF2B5EF4-FFF2-40B4-BE49-F238E27FC236}">
                        <a16:creationId xmlns:a16="http://schemas.microsoft.com/office/drawing/2014/main" id="{57ECF42C-CB83-47C9-9B7E-C3BBEA18221F}"/>
                      </a:ext>
                    </a:extLst>
                  </xdr:cNvPr>
                  <xdr:cNvSpPr/>
                </xdr:nvSpPr>
                <xdr:spPr bwMode="auto">
                  <a:xfrm>
                    <a:off x="18143220" y="3484880"/>
                    <a:ext cx="289560" cy="314960"/>
                  </a:xfrm>
                  <a:prstGeom prst="rect">
                    <a:avLst/>
                  </a:prstGeom>
                  <a:solidFill>
                    <a:schemeClr val="tx1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  <xdr:txBody>
                  <a:bodyPr vertOverflow="clip" wrap="square" lIns="18288" tIns="0" rIns="0" bIns="0" rtlCol="0" anchor="ctr" upright="1"/>
                  <a:lstStyle/>
                  <a:p>
                    <a:pPr algn="l"/>
                    <a:endParaRPr lang="es-BO" sz="1100"/>
                  </a:p>
                </xdr:txBody>
              </xdr:sp>
              <xdr:sp macro="" textlink="">
                <xdr:nvSpPr>
                  <xdr:cNvPr id="1212124" name="Rectángulo 1212123">
                    <a:extLst>
                      <a:ext uri="{FF2B5EF4-FFF2-40B4-BE49-F238E27FC236}">
                        <a16:creationId xmlns:a16="http://schemas.microsoft.com/office/drawing/2014/main" id="{9AB3DCCE-08CC-4FB8-BDB2-3486B685F0A1}"/>
                      </a:ext>
                    </a:extLst>
                  </xdr:cNvPr>
                  <xdr:cNvSpPr/>
                </xdr:nvSpPr>
                <xdr:spPr bwMode="auto">
                  <a:xfrm>
                    <a:off x="18143220" y="2453640"/>
                    <a:ext cx="289560" cy="330200"/>
                  </a:xfrm>
                  <a:prstGeom prst="rect">
                    <a:avLst/>
                  </a:prstGeom>
                  <a:solidFill>
                    <a:schemeClr val="tx1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  <xdr:txBody>
                  <a:bodyPr vertOverflow="clip" wrap="square" lIns="18288" tIns="0" rIns="0" bIns="0" rtlCol="0" anchor="ctr" upright="1"/>
                  <a:lstStyle/>
                  <a:p>
                    <a:pPr algn="l"/>
                    <a:endParaRPr lang="es-BO" sz="1100"/>
                  </a:p>
                </xdr:txBody>
              </xdr:sp>
              <xdr:sp macro="" textlink="">
                <xdr:nvSpPr>
                  <xdr:cNvPr id="1212125" name="Rectángulo 1212124">
                    <a:extLst>
                      <a:ext uri="{FF2B5EF4-FFF2-40B4-BE49-F238E27FC236}">
                        <a16:creationId xmlns:a16="http://schemas.microsoft.com/office/drawing/2014/main" id="{71B0C9DD-0D13-4045-96C8-C6F450CCBE7F}"/>
                      </a:ext>
                    </a:extLst>
                  </xdr:cNvPr>
                  <xdr:cNvSpPr/>
                </xdr:nvSpPr>
                <xdr:spPr bwMode="auto">
                  <a:xfrm>
                    <a:off x="19367500" y="1465580"/>
                    <a:ext cx="289560" cy="320040"/>
                  </a:xfrm>
                  <a:prstGeom prst="rect">
                    <a:avLst/>
                  </a:prstGeom>
                  <a:solidFill>
                    <a:schemeClr val="tx1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  <xdr:txBody>
                  <a:bodyPr vertOverflow="clip" wrap="square" lIns="18288" tIns="0" rIns="0" bIns="0" rtlCol="0" anchor="ctr" upright="1"/>
                  <a:lstStyle/>
                  <a:p>
                    <a:pPr algn="l"/>
                    <a:endParaRPr lang="es-BO" sz="1100"/>
                  </a:p>
                </xdr:txBody>
              </xdr:sp>
              <xdr:sp macro="" textlink="">
                <xdr:nvSpPr>
                  <xdr:cNvPr id="1212126" name="Rectángulo 1212125">
                    <a:extLst>
                      <a:ext uri="{FF2B5EF4-FFF2-40B4-BE49-F238E27FC236}">
                        <a16:creationId xmlns:a16="http://schemas.microsoft.com/office/drawing/2014/main" id="{87EA1CB9-666A-492D-94E3-D2D7D6AB228D}"/>
                      </a:ext>
                    </a:extLst>
                  </xdr:cNvPr>
                  <xdr:cNvSpPr/>
                </xdr:nvSpPr>
                <xdr:spPr bwMode="auto">
                  <a:xfrm>
                    <a:off x="19352260" y="5283200"/>
                    <a:ext cx="289560" cy="325120"/>
                  </a:xfrm>
                  <a:prstGeom prst="rect">
                    <a:avLst/>
                  </a:prstGeom>
                  <a:solidFill>
                    <a:schemeClr val="tx1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  <xdr:txBody>
                  <a:bodyPr vertOverflow="clip" wrap="square" lIns="18288" tIns="0" rIns="0" bIns="0" rtlCol="0" anchor="ctr" upright="1"/>
                  <a:lstStyle/>
                  <a:p>
                    <a:pPr algn="l"/>
                    <a:endParaRPr lang="es-BO" sz="1100"/>
                  </a:p>
                </xdr:txBody>
              </xdr:sp>
              <xdr:sp macro="" textlink="">
                <xdr:nvSpPr>
                  <xdr:cNvPr id="1212127" name="Rectángulo 1212126">
                    <a:extLst>
                      <a:ext uri="{FF2B5EF4-FFF2-40B4-BE49-F238E27FC236}">
                        <a16:creationId xmlns:a16="http://schemas.microsoft.com/office/drawing/2014/main" id="{F394EB8C-C053-4B05-B4CE-4F2FB4E823FC}"/>
                      </a:ext>
                    </a:extLst>
                  </xdr:cNvPr>
                  <xdr:cNvSpPr/>
                </xdr:nvSpPr>
                <xdr:spPr bwMode="auto">
                  <a:xfrm>
                    <a:off x="19367500" y="4353560"/>
                    <a:ext cx="289560" cy="320040"/>
                  </a:xfrm>
                  <a:prstGeom prst="rect">
                    <a:avLst/>
                  </a:prstGeom>
                  <a:solidFill>
                    <a:schemeClr val="tx1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  <xdr:txBody>
                  <a:bodyPr vertOverflow="clip" wrap="square" lIns="18288" tIns="0" rIns="0" bIns="0" rtlCol="0" anchor="ctr" upright="1"/>
                  <a:lstStyle/>
                  <a:p>
                    <a:pPr algn="l"/>
                    <a:endParaRPr lang="es-BO" sz="1100"/>
                  </a:p>
                </xdr:txBody>
              </xdr:sp>
              <xdr:sp macro="" textlink="">
                <xdr:nvSpPr>
                  <xdr:cNvPr id="1212128" name="Rectángulo 1212127">
                    <a:extLst>
                      <a:ext uri="{FF2B5EF4-FFF2-40B4-BE49-F238E27FC236}">
                        <a16:creationId xmlns:a16="http://schemas.microsoft.com/office/drawing/2014/main" id="{0063E20A-585C-4C75-849A-E75080981B0A}"/>
                      </a:ext>
                    </a:extLst>
                  </xdr:cNvPr>
                  <xdr:cNvSpPr/>
                </xdr:nvSpPr>
                <xdr:spPr bwMode="auto">
                  <a:xfrm>
                    <a:off x="19367500" y="3469640"/>
                    <a:ext cx="289560" cy="314960"/>
                  </a:xfrm>
                  <a:prstGeom prst="rect">
                    <a:avLst/>
                  </a:prstGeom>
                  <a:solidFill>
                    <a:schemeClr val="tx1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  <xdr:txBody>
                  <a:bodyPr vertOverflow="clip" wrap="square" lIns="18288" tIns="0" rIns="0" bIns="0" rtlCol="0" anchor="ctr" upright="1"/>
                  <a:lstStyle/>
                  <a:p>
                    <a:pPr algn="l"/>
                    <a:endParaRPr lang="es-BO" sz="1100"/>
                  </a:p>
                </xdr:txBody>
              </xdr:sp>
              <xdr:sp macro="" textlink="">
                <xdr:nvSpPr>
                  <xdr:cNvPr id="1212129" name="Rectángulo 1212128">
                    <a:extLst>
                      <a:ext uri="{FF2B5EF4-FFF2-40B4-BE49-F238E27FC236}">
                        <a16:creationId xmlns:a16="http://schemas.microsoft.com/office/drawing/2014/main" id="{1D783C74-CE07-4CE4-AFA7-CD8DADD9092F}"/>
                      </a:ext>
                    </a:extLst>
                  </xdr:cNvPr>
                  <xdr:cNvSpPr/>
                </xdr:nvSpPr>
                <xdr:spPr bwMode="auto">
                  <a:xfrm>
                    <a:off x="20581620" y="1480820"/>
                    <a:ext cx="284480" cy="320040"/>
                  </a:xfrm>
                  <a:prstGeom prst="rect">
                    <a:avLst/>
                  </a:prstGeom>
                  <a:solidFill>
                    <a:schemeClr val="tx1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  <xdr:txBody>
                  <a:bodyPr vertOverflow="clip" wrap="square" lIns="18288" tIns="0" rIns="0" bIns="0" rtlCol="0" anchor="ctr" upright="1"/>
                  <a:lstStyle/>
                  <a:p>
                    <a:pPr algn="l"/>
                    <a:endParaRPr lang="es-BO" sz="1100"/>
                  </a:p>
                </xdr:txBody>
              </xdr:sp>
              <xdr:sp macro="" textlink="">
                <xdr:nvSpPr>
                  <xdr:cNvPr id="1212130" name="Rectángulo 1212129">
                    <a:extLst>
                      <a:ext uri="{FF2B5EF4-FFF2-40B4-BE49-F238E27FC236}">
                        <a16:creationId xmlns:a16="http://schemas.microsoft.com/office/drawing/2014/main" id="{84C763DB-913D-49A6-917A-708D14A2CF2D}"/>
                      </a:ext>
                    </a:extLst>
                  </xdr:cNvPr>
                  <xdr:cNvSpPr/>
                </xdr:nvSpPr>
                <xdr:spPr bwMode="auto">
                  <a:xfrm>
                    <a:off x="20566380" y="5298440"/>
                    <a:ext cx="289560" cy="325120"/>
                  </a:xfrm>
                  <a:prstGeom prst="rect">
                    <a:avLst/>
                  </a:prstGeom>
                  <a:solidFill>
                    <a:schemeClr val="tx1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  <xdr:txBody>
                  <a:bodyPr vertOverflow="clip" wrap="square" lIns="18288" tIns="0" rIns="0" bIns="0" rtlCol="0" anchor="ctr" upright="1"/>
                  <a:lstStyle/>
                  <a:p>
                    <a:pPr algn="l"/>
                    <a:endParaRPr lang="es-BO" sz="1100"/>
                  </a:p>
                </xdr:txBody>
              </xdr:sp>
              <xdr:sp macro="" textlink="">
                <xdr:nvSpPr>
                  <xdr:cNvPr id="1212131" name="Rectángulo 1212130">
                    <a:extLst>
                      <a:ext uri="{FF2B5EF4-FFF2-40B4-BE49-F238E27FC236}">
                        <a16:creationId xmlns:a16="http://schemas.microsoft.com/office/drawing/2014/main" id="{902E52D9-1EF7-42E3-975A-E47A814A21A9}"/>
                      </a:ext>
                    </a:extLst>
                  </xdr:cNvPr>
                  <xdr:cNvSpPr/>
                </xdr:nvSpPr>
                <xdr:spPr bwMode="auto">
                  <a:xfrm>
                    <a:off x="20581620" y="4368800"/>
                    <a:ext cx="284480" cy="320040"/>
                  </a:xfrm>
                  <a:prstGeom prst="rect">
                    <a:avLst/>
                  </a:prstGeom>
                  <a:solidFill>
                    <a:schemeClr val="tx1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  <xdr:txBody>
                  <a:bodyPr vertOverflow="clip" wrap="square" lIns="18288" tIns="0" rIns="0" bIns="0" rtlCol="0" anchor="ctr" upright="1"/>
                  <a:lstStyle/>
                  <a:p>
                    <a:pPr algn="l"/>
                    <a:endParaRPr lang="es-BO" sz="1100"/>
                  </a:p>
                </xdr:txBody>
              </xdr:sp>
              <xdr:sp macro="" textlink="">
                <xdr:nvSpPr>
                  <xdr:cNvPr id="1212132" name="Rectángulo 1212131">
                    <a:extLst>
                      <a:ext uri="{FF2B5EF4-FFF2-40B4-BE49-F238E27FC236}">
                        <a16:creationId xmlns:a16="http://schemas.microsoft.com/office/drawing/2014/main" id="{74028247-D0CF-4969-9F82-072B362BA5E5}"/>
                      </a:ext>
                    </a:extLst>
                  </xdr:cNvPr>
                  <xdr:cNvSpPr/>
                </xdr:nvSpPr>
                <xdr:spPr bwMode="auto">
                  <a:xfrm>
                    <a:off x="20581620" y="3484880"/>
                    <a:ext cx="284480" cy="314960"/>
                  </a:xfrm>
                  <a:prstGeom prst="rect">
                    <a:avLst/>
                  </a:prstGeom>
                  <a:solidFill>
                    <a:schemeClr val="tx1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  <xdr:txBody>
                  <a:bodyPr vertOverflow="clip" wrap="square" lIns="18288" tIns="0" rIns="0" bIns="0" rtlCol="0" anchor="ctr" upright="1"/>
                  <a:lstStyle/>
                  <a:p>
                    <a:pPr algn="l"/>
                    <a:endParaRPr lang="es-BO" sz="1100"/>
                  </a:p>
                </xdr:txBody>
              </xdr:sp>
              <xdr:sp macro="" textlink="">
                <xdr:nvSpPr>
                  <xdr:cNvPr id="1212133" name="Rectángulo 1212132">
                    <a:extLst>
                      <a:ext uri="{FF2B5EF4-FFF2-40B4-BE49-F238E27FC236}">
                        <a16:creationId xmlns:a16="http://schemas.microsoft.com/office/drawing/2014/main" id="{817DE1F9-D070-4BF7-BB9B-E61815094475}"/>
                      </a:ext>
                    </a:extLst>
                  </xdr:cNvPr>
                  <xdr:cNvSpPr/>
                </xdr:nvSpPr>
                <xdr:spPr bwMode="auto">
                  <a:xfrm>
                    <a:off x="21775420" y="1496060"/>
                    <a:ext cx="289560" cy="320040"/>
                  </a:xfrm>
                  <a:prstGeom prst="rect">
                    <a:avLst/>
                  </a:prstGeom>
                  <a:solidFill>
                    <a:schemeClr val="tx1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  <xdr:txBody>
                  <a:bodyPr vertOverflow="clip" wrap="square" lIns="18288" tIns="0" rIns="0" bIns="0" rtlCol="0" anchor="ctr" upright="1"/>
                  <a:lstStyle/>
                  <a:p>
                    <a:pPr algn="l"/>
                    <a:endParaRPr lang="es-BO" sz="1100"/>
                  </a:p>
                </xdr:txBody>
              </xdr:sp>
              <xdr:sp macro="" textlink="">
                <xdr:nvSpPr>
                  <xdr:cNvPr id="1212134" name="Rectángulo 1212133">
                    <a:extLst>
                      <a:ext uri="{FF2B5EF4-FFF2-40B4-BE49-F238E27FC236}">
                        <a16:creationId xmlns:a16="http://schemas.microsoft.com/office/drawing/2014/main" id="{30233F7A-D95C-4326-8ED2-41391DBB37A6}"/>
                      </a:ext>
                    </a:extLst>
                  </xdr:cNvPr>
                  <xdr:cNvSpPr/>
                </xdr:nvSpPr>
                <xdr:spPr bwMode="auto">
                  <a:xfrm>
                    <a:off x="21760180" y="5313680"/>
                    <a:ext cx="289560" cy="325120"/>
                  </a:xfrm>
                  <a:prstGeom prst="rect">
                    <a:avLst/>
                  </a:prstGeom>
                  <a:solidFill>
                    <a:schemeClr val="tx1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  <xdr:txBody>
                  <a:bodyPr vertOverflow="clip" wrap="square" lIns="18288" tIns="0" rIns="0" bIns="0" rtlCol="0" anchor="ctr" upright="1"/>
                  <a:lstStyle/>
                  <a:p>
                    <a:pPr algn="l"/>
                    <a:endParaRPr lang="es-BO" sz="1100"/>
                  </a:p>
                </xdr:txBody>
              </xdr:sp>
              <xdr:sp macro="" textlink="">
                <xdr:nvSpPr>
                  <xdr:cNvPr id="1212135" name="Rectángulo 1212134">
                    <a:extLst>
                      <a:ext uri="{FF2B5EF4-FFF2-40B4-BE49-F238E27FC236}">
                        <a16:creationId xmlns:a16="http://schemas.microsoft.com/office/drawing/2014/main" id="{84F098B6-238F-4327-81AC-83F072ADD828}"/>
                      </a:ext>
                    </a:extLst>
                  </xdr:cNvPr>
                  <xdr:cNvSpPr/>
                </xdr:nvSpPr>
                <xdr:spPr bwMode="auto">
                  <a:xfrm>
                    <a:off x="21775420" y="4384040"/>
                    <a:ext cx="289560" cy="320040"/>
                  </a:xfrm>
                  <a:prstGeom prst="rect">
                    <a:avLst/>
                  </a:prstGeom>
                  <a:solidFill>
                    <a:schemeClr val="tx1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  <xdr:txBody>
                  <a:bodyPr vertOverflow="clip" wrap="square" lIns="18288" tIns="0" rIns="0" bIns="0" rtlCol="0" anchor="ctr" upright="1"/>
                  <a:lstStyle/>
                  <a:p>
                    <a:pPr algn="l"/>
                    <a:endParaRPr lang="es-BO" sz="1100"/>
                  </a:p>
                </xdr:txBody>
              </xdr:sp>
              <xdr:sp macro="" textlink="">
                <xdr:nvSpPr>
                  <xdr:cNvPr id="1212136" name="Rectángulo 1212135">
                    <a:extLst>
                      <a:ext uri="{FF2B5EF4-FFF2-40B4-BE49-F238E27FC236}">
                        <a16:creationId xmlns:a16="http://schemas.microsoft.com/office/drawing/2014/main" id="{4F8B3F38-8006-42B5-82E1-8A59DADAAE8D}"/>
                      </a:ext>
                    </a:extLst>
                  </xdr:cNvPr>
                  <xdr:cNvSpPr/>
                </xdr:nvSpPr>
                <xdr:spPr bwMode="auto">
                  <a:xfrm>
                    <a:off x="21775420" y="3500120"/>
                    <a:ext cx="289560" cy="314960"/>
                  </a:xfrm>
                  <a:prstGeom prst="rect">
                    <a:avLst/>
                  </a:prstGeom>
                  <a:solidFill>
                    <a:schemeClr val="tx1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  <xdr:txBody>
                  <a:bodyPr vertOverflow="clip" wrap="square" lIns="18288" tIns="0" rIns="0" bIns="0" rtlCol="0" anchor="ctr" upright="1"/>
                  <a:lstStyle/>
                  <a:p>
                    <a:pPr algn="l"/>
                    <a:endParaRPr lang="es-BO" sz="1100"/>
                  </a:p>
                </xdr:txBody>
              </xdr:sp>
              <xdr:sp macro="" textlink="">
                <xdr:nvSpPr>
                  <xdr:cNvPr id="1212137" name="Rectángulo 1212136">
                    <a:extLst>
                      <a:ext uri="{FF2B5EF4-FFF2-40B4-BE49-F238E27FC236}">
                        <a16:creationId xmlns:a16="http://schemas.microsoft.com/office/drawing/2014/main" id="{641346AF-02D5-440B-8B9E-6E43C2CAB369}"/>
                      </a:ext>
                    </a:extLst>
                  </xdr:cNvPr>
                  <xdr:cNvSpPr/>
                </xdr:nvSpPr>
                <xdr:spPr bwMode="auto">
                  <a:xfrm>
                    <a:off x="19382740" y="2484120"/>
                    <a:ext cx="289560" cy="330200"/>
                  </a:xfrm>
                  <a:prstGeom prst="rect">
                    <a:avLst/>
                  </a:prstGeom>
                  <a:solidFill>
                    <a:schemeClr val="tx1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  <xdr:txBody>
                  <a:bodyPr vertOverflow="clip" wrap="square" lIns="18288" tIns="0" rIns="0" bIns="0" rtlCol="0" anchor="ctr" upright="1"/>
                  <a:lstStyle/>
                  <a:p>
                    <a:pPr algn="l"/>
                    <a:endParaRPr lang="es-BO" sz="1100"/>
                  </a:p>
                </xdr:txBody>
              </xdr:sp>
              <xdr:sp macro="" textlink="">
                <xdr:nvSpPr>
                  <xdr:cNvPr id="1212138" name="Rectángulo 1212137">
                    <a:extLst>
                      <a:ext uri="{FF2B5EF4-FFF2-40B4-BE49-F238E27FC236}">
                        <a16:creationId xmlns:a16="http://schemas.microsoft.com/office/drawing/2014/main" id="{E640119E-B660-4877-AB46-52CB5360D252}"/>
                      </a:ext>
                    </a:extLst>
                  </xdr:cNvPr>
                  <xdr:cNvSpPr/>
                </xdr:nvSpPr>
                <xdr:spPr bwMode="auto">
                  <a:xfrm>
                    <a:off x="20581620" y="2484120"/>
                    <a:ext cx="284480" cy="330200"/>
                  </a:xfrm>
                  <a:prstGeom prst="rect">
                    <a:avLst/>
                  </a:prstGeom>
                  <a:solidFill>
                    <a:schemeClr val="tx1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  <xdr:txBody>
                  <a:bodyPr vertOverflow="clip" wrap="square" lIns="18288" tIns="0" rIns="0" bIns="0" rtlCol="0" anchor="ctr" upright="1"/>
                  <a:lstStyle/>
                  <a:p>
                    <a:pPr algn="l"/>
                    <a:endParaRPr lang="es-BO" sz="1100"/>
                  </a:p>
                </xdr:txBody>
              </xdr:sp>
              <xdr:sp macro="" textlink="">
                <xdr:nvSpPr>
                  <xdr:cNvPr id="1212139" name="Rectángulo 1212138">
                    <a:extLst>
                      <a:ext uri="{FF2B5EF4-FFF2-40B4-BE49-F238E27FC236}">
                        <a16:creationId xmlns:a16="http://schemas.microsoft.com/office/drawing/2014/main" id="{B1B69CBF-491A-49DF-96F8-DE7AF1E37542}"/>
                      </a:ext>
                    </a:extLst>
                  </xdr:cNvPr>
                  <xdr:cNvSpPr/>
                </xdr:nvSpPr>
                <xdr:spPr bwMode="auto">
                  <a:xfrm>
                    <a:off x="21775420" y="2484120"/>
                    <a:ext cx="289560" cy="330200"/>
                  </a:xfrm>
                  <a:prstGeom prst="rect">
                    <a:avLst/>
                  </a:prstGeom>
                  <a:solidFill>
                    <a:schemeClr val="tx1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  <xdr:txBody>
                  <a:bodyPr vertOverflow="clip" wrap="square" lIns="18288" tIns="0" rIns="0" bIns="0" rtlCol="0" anchor="ctr" upright="1"/>
                  <a:lstStyle/>
                  <a:p>
                    <a:pPr algn="l"/>
                    <a:endParaRPr lang="es-BO" sz="1100"/>
                  </a:p>
                </xdr:txBody>
              </xdr:sp>
              <xdr:cxnSp macro="">
                <xdr:nvCxnSpPr>
                  <xdr:cNvPr id="1212140" name="Conector recto 1212139">
                    <a:extLst>
                      <a:ext uri="{FF2B5EF4-FFF2-40B4-BE49-F238E27FC236}">
                        <a16:creationId xmlns:a16="http://schemas.microsoft.com/office/drawing/2014/main" id="{22F1D176-A681-46B7-850B-0FC0A336C618}"/>
                      </a:ext>
                    </a:extLst>
                  </xdr:cNvPr>
                  <xdr:cNvCxnSpPr/>
                </xdr:nvCxnSpPr>
                <xdr:spPr bwMode="auto">
                  <a:xfrm flipV="1">
                    <a:off x="18279820" y="6265333"/>
                    <a:ext cx="303017" cy="378582"/>
                  </a:xfrm>
                  <a:prstGeom prst="line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</xdr:cxnSp>
              <xdr:cxnSp macro="">
                <xdr:nvCxnSpPr>
                  <xdr:cNvPr id="1212141" name="Conector recto 1212140">
                    <a:extLst>
                      <a:ext uri="{FF2B5EF4-FFF2-40B4-BE49-F238E27FC236}">
                        <a16:creationId xmlns:a16="http://schemas.microsoft.com/office/drawing/2014/main" id="{E0105C6E-78D5-40D1-B994-0C2764790816}"/>
                      </a:ext>
                    </a:extLst>
                  </xdr:cNvPr>
                  <xdr:cNvCxnSpPr/>
                </xdr:nvCxnSpPr>
                <xdr:spPr bwMode="auto">
                  <a:xfrm flipH="1" flipV="1">
                    <a:off x="18569214" y="195943"/>
                    <a:ext cx="10886" cy="6114142"/>
                  </a:xfrm>
                  <a:prstGeom prst="line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</xdr:cxnSp>
              <xdr:cxnSp macro="">
                <xdr:nvCxnSpPr>
                  <xdr:cNvPr id="1212142" name="Conector recto 1212141">
                    <a:extLst>
                      <a:ext uri="{FF2B5EF4-FFF2-40B4-BE49-F238E27FC236}">
                        <a16:creationId xmlns:a16="http://schemas.microsoft.com/office/drawing/2014/main" id="{AABCA3B7-793D-4878-AE33-FDEF7224CE9F}"/>
                      </a:ext>
                    </a:extLst>
                  </xdr:cNvPr>
                  <xdr:cNvCxnSpPr/>
                </xdr:nvCxnSpPr>
                <xdr:spPr bwMode="auto">
                  <a:xfrm flipV="1">
                    <a:off x="18282557" y="195939"/>
                    <a:ext cx="275771" cy="304800"/>
                  </a:xfrm>
                  <a:prstGeom prst="line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</xdr:cxnSp>
              <xdr:cxnSp macro="">
                <xdr:nvCxnSpPr>
                  <xdr:cNvPr id="1212147" name="Conector recto 1212146">
                    <a:extLst>
                      <a:ext uri="{FF2B5EF4-FFF2-40B4-BE49-F238E27FC236}">
                        <a16:creationId xmlns:a16="http://schemas.microsoft.com/office/drawing/2014/main" id="{700B163B-FA9B-41CE-8A4C-9AAA7B6D281D}"/>
                      </a:ext>
                    </a:extLst>
                  </xdr:cNvPr>
                  <xdr:cNvCxnSpPr/>
                </xdr:nvCxnSpPr>
                <xdr:spPr bwMode="auto">
                  <a:xfrm flipV="1">
                    <a:off x="19511398" y="6311370"/>
                    <a:ext cx="301430" cy="342070"/>
                  </a:xfrm>
                  <a:prstGeom prst="line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</xdr:cxnSp>
              <xdr:cxnSp macro="">
                <xdr:nvCxnSpPr>
                  <xdr:cNvPr id="1212148" name="Conector recto 1212147">
                    <a:extLst>
                      <a:ext uri="{FF2B5EF4-FFF2-40B4-BE49-F238E27FC236}">
                        <a16:creationId xmlns:a16="http://schemas.microsoft.com/office/drawing/2014/main" id="{DF7C2BBB-EF0C-499C-9F7B-7336D7BD8461}"/>
                      </a:ext>
                    </a:extLst>
                  </xdr:cNvPr>
                  <xdr:cNvCxnSpPr/>
                </xdr:nvCxnSpPr>
                <xdr:spPr bwMode="auto">
                  <a:xfrm flipH="1" flipV="1">
                    <a:off x="19799205" y="205468"/>
                    <a:ext cx="10886" cy="6114142"/>
                  </a:xfrm>
                  <a:prstGeom prst="line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</xdr:cxnSp>
              <xdr:cxnSp macro="">
                <xdr:nvCxnSpPr>
                  <xdr:cNvPr id="1212149" name="Conector recto 1212148">
                    <a:extLst>
                      <a:ext uri="{FF2B5EF4-FFF2-40B4-BE49-F238E27FC236}">
                        <a16:creationId xmlns:a16="http://schemas.microsoft.com/office/drawing/2014/main" id="{5414C4ED-1D28-4D8B-8948-A1A57FC85C61}"/>
                      </a:ext>
                    </a:extLst>
                  </xdr:cNvPr>
                  <xdr:cNvCxnSpPr/>
                </xdr:nvCxnSpPr>
                <xdr:spPr bwMode="auto">
                  <a:xfrm flipV="1">
                    <a:off x="19514135" y="205464"/>
                    <a:ext cx="274184" cy="304800"/>
                  </a:xfrm>
                  <a:prstGeom prst="line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</xdr:cxnSp>
              <xdr:cxnSp macro="">
                <xdr:nvCxnSpPr>
                  <xdr:cNvPr id="1212154" name="Conector recto 1212153">
                    <a:extLst>
                      <a:ext uri="{FF2B5EF4-FFF2-40B4-BE49-F238E27FC236}">
                        <a16:creationId xmlns:a16="http://schemas.microsoft.com/office/drawing/2014/main" id="{994C654C-B5CD-4A42-91D6-3A0C0565F93D}"/>
                      </a:ext>
                    </a:extLst>
                  </xdr:cNvPr>
                  <xdr:cNvCxnSpPr/>
                </xdr:nvCxnSpPr>
                <xdr:spPr bwMode="auto">
                  <a:xfrm flipV="1">
                    <a:off x="20713135" y="6306608"/>
                    <a:ext cx="303018" cy="342070"/>
                  </a:xfrm>
                  <a:prstGeom prst="line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</xdr:cxnSp>
              <xdr:cxnSp macro="">
                <xdr:nvCxnSpPr>
                  <xdr:cNvPr id="1212155" name="Conector recto 1212154">
                    <a:extLst>
                      <a:ext uri="{FF2B5EF4-FFF2-40B4-BE49-F238E27FC236}">
                        <a16:creationId xmlns:a16="http://schemas.microsoft.com/office/drawing/2014/main" id="{C0D57F64-B7E2-48BA-B6DD-C0F62998D8CD}"/>
                      </a:ext>
                    </a:extLst>
                  </xdr:cNvPr>
                  <xdr:cNvCxnSpPr/>
                </xdr:nvCxnSpPr>
                <xdr:spPr bwMode="auto">
                  <a:xfrm flipH="1" flipV="1">
                    <a:off x="21002530" y="200706"/>
                    <a:ext cx="10886" cy="6114142"/>
                  </a:xfrm>
                  <a:prstGeom prst="line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</xdr:cxnSp>
              <xdr:cxnSp macro="">
                <xdr:nvCxnSpPr>
                  <xdr:cNvPr id="1212156" name="Conector recto 1212155">
                    <a:extLst>
                      <a:ext uri="{FF2B5EF4-FFF2-40B4-BE49-F238E27FC236}">
                        <a16:creationId xmlns:a16="http://schemas.microsoft.com/office/drawing/2014/main" id="{B9DFAAEE-167F-4873-8713-F9CC44D35F86}"/>
                      </a:ext>
                    </a:extLst>
                  </xdr:cNvPr>
                  <xdr:cNvCxnSpPr/>
                </xdr:nvCxnSpPr>
                <xdr:spPr bwMode="auto">
                  <a:xfrm flipV="1">
                    <a:off x="20715872" y="200702"/>
                    <a:ext cx="275772" cy="304800"/>
                  </a:xfrm>
                  <a:prstGeom prst="line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</xdr:cxnSp>
              <xdr:cxnSp macro="">
                <xdr:nvCxnSpPr>
                  <xdr:cNvPr id="1212161" name="Conector recto 1212160">
                    <a:extLst>
                      <a:ext uri="{FF2B5EF4-FFF2-40B4-BE49-F238E27FC236}">
                        <a16:creationId xmlns:a16="http://schemas.microsoft.com/office/drawing/2014/main" id="{F5011C0D-52A1-47F7-B27C-5146E6FEDEAB}"/>
                      </a:ext>
                    </a:extLst>
                  </xdr:cNvPr>
                  <xdr:cNvCxnSpPr/>
                </xdr:nvCxnSpPr>
                <xdr:spPr bwMode="auto">
                  <a:xfrm flipV="1">
                    <a:off x="21921222" y="6301845"/>
                    <a:ext cx="301430" cy="342070"/>
                  </a:xfrm>
                  <a:prstGeom prst="line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</xdr:cxnSp>
              <xdr:cxnSp macro="">
                <xdr:nvCxnSpPr>
                  <xdr:cNvPr id="1212162" name="Conector recto 1212161">
                    <a:extLst>
                      <a:ext uri="{FF2B5EF4-FFF2-40B4-BE49-F238E27FC236}">
                        <a16:creationId xmlns:a16="http://schemas.microsoft.com/office/drawing/2014/main" id="{87008857-920E-44BF-8E57-6679A576CB8D}"/>
                      </a:ext>
                    </a:extLst>
                  </xdr:cNvPr>
                  <xdr:cNvCxnSpPr/>
                </xdr:nvCxnSpPr>
                <xdr:spPr bwMode="auto">
                  <a:xfrm flipH="1" flipV="1">
                    <a:off x="22209029" y="195943"/>
                    <a:ext cx="10886" cy="6114142"/>
                  </a:xfrm>
                  <a:prstGeom prst="line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</xdr:cxnSp>
              <xdr:cxnSp macro="">
                <xdr:nvCxnSpPr>
                  <xdr:cNvPr id="1212163" name="Conector recto 1212162">
                    <a:extLst>
                      <a:ext uri="{FF2B5EF4-FFF2-40B4-BE49-F238E27FC236}">
                        <a16:creationId xmlns:a16="http://schemas.microsoft.com/office/drawing/2014/main" id="{103FDA56-3F27-4CD6-B73D-1257DBA2514C}"/>
                      </a:ext>
                    </a:extLst>
                  </xdr:cNvPr>
                  <xdr:cNvCxnSpPr/>
                </xdr:nvCxnSpPr>
                <xdr:spPr bwMode="auto">
                  <a:xfrm flipV="1">
                    <a:off x="21923959" y="195939"/>
                    <a:ext cx="274184" cy="304800"/>
                  </a:xfrm>
                  <a:prstGeom prst="line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</xdr:cxnSp>
            </xdr:grpSp>
            <xdr:cxnSp macro="">
              <xdr:nvCxnSpPr>
                <xdr:cNvPr id="1212164" name="Conector recto 1212163">
                  <a:extLst>
                    <a:ext uri="{FF2B5EF4-FFF2-40B4-BE49-F238E27FC236}">
                      <a16:creationId xmlns:a16="http://schemas.microsoft.com/office/drawing/2014/main" id="{F7145A4B-175B-4E4F-BFC4-7653753119F7}"/>
                    </a:ext>
                  </a:extLst>
                </xdr:cNvPr>
                <xdr:cNvCxnSpPr/>
              </xdr:nvCxnSpPr>
              <xdr:spPr bwMode="auto">
                <a:xfrm flipV="1">
                  <a:off x="22128996" y="310057"/>
                  <a:ext cx="66996" cy="83827"/>
                </a:xfrm>
                <a:prstGeom prst="lin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</xdr:cxnSp>
            <xdr:cxnSp macro="">
              <xdr:nvCxnSpPr>
                <xdr:cNvPr id="1212165" name="Conector recto 1212164">
                  <a:extLst>
                    <a:ext uri="{FF2B5EF4-FFF2-40B4-BE49-F238E27FC236}">
                      <a16:creationId xmlns:a16="http://schemas.microsoft.com/office/drawing/2014/main" id="{11A186C5-03C6-46A0-A9A4-89BF87F59579}"/>
                    </a:ext>
                  </a:extLst>
                </xdr:cNvPr>
                <xdr:cNvCxnSpPr/>
              </xdr:nvCxnSpPr>
              <xdr:spPr bwMode="auto">
                <a:xfrm flipV="1">
                  <a:off x="22130468" y="268725"/>
                  <a:ext cx="2209" cy="122950"/>
                </a:xfrm>
                <a:prstGeom prst="lin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</xdr:cxnSp>
          </xdr:grpSp>
          <xdr:cxnSp macro="">
            <xdr:nvCxnSpPr>
              <xdr:cNvPr id="1212166" name="Conector recto 1212165">
                <a:extLst>
                  <a:ext uri="{FF2B5EF4-FFF2-40B4-BE49-F238E27FC236}">
                    <a16:creationId xmlns:a16="http://schemas.microsoft.com/office/drawing/2014/main" id="{5FE038AA-4C68-4469-A9CD-8A47EB030A19}"/>
                  </a:ext>
                </a:extLst>
              </xdr:cNvPr>
              <xdr:cNvCxnSpPr/>
            </xdr:nvCxnSpPr>
            <xdr:spPr bwMode="auto">
              <a:xfrm flipV="1">
                <a:off x="22130468" y="6046605"/>
                <a:ext cx="66996" cy="83827"/>
              </a:xfrm>
              <a:prstGeom prst="line">
                <a:avLst/>
              </a:prstGeom>
              <a:solidFill>
                <a:srgbClr val="FFFFFF"/>
              </a:solid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xdr:spPr>
          </xdr:cxnSp>
          <xdr:cxnSp macro="">
            <xdr:nvCxnSpPr>
              <xdr:cNvPr id="1212167" name="Conector recto 1212166">
                <a:extLst>
                  <a:ext uri="{FF2B5EF4-FFF2-40B4-BE49-F238E27FC236}">
                    <a16:creationId xmlns:a16="http://schemas.microsoft.com/office/drawing/2014/main" id="{FCB03A32-F857-4F48-A8AA-3DDB3B075682}"/>
                  </a:ext>
                </a:extLst>
              </xdr:cNvPr>
              <xdr:cNvCxnSpPr/>
            </xdr:nvCxnSpPr>
            <xdr:spPr bwMode="auto">
              <a:xfrm flipV="1">
                <a:off x="22131940" y="6123070"/>
                <a:ext cx="2209" cy="150425"/>
              </a:xfrm>
              <a:prstGeom prst="line">
                <a:avLst/>
              </a:prstGeom>
              <a:solidFill>
                <a:srgbClr val="FFFFFF"/>
              </a:solid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xdr:spPr>
          </xdr:cxnSp>
        </xdr:grpSp>
        <xdr:cxnSp macro="">
          <xdr:nvCxnSpPr>
            <xdr:cNvPr id="1212173" name="Conector recto 1212172">
              <a:extLst>
                <a:ext uri="{FF2B5EF4-FFF2-40B4-BE49-F238E27FC236}">
                  <a16:creationId xmlns:a16="http://schemas.microsoft.com/office/drawing/2014/main" id="{25FFD0E0-CC5D-43EB-B38F-304B5BFBEAE1}"/>
                </a:ext>
              </a:extLst>
            </xdr:cNvPr>
            <xdr:cNvCxnSpPr/>
          </xdr:nvCxnSpPr>
          <xdr:spPr bwMode="auto">
            <a:xfrm flipV="1">
              <a:off x="20917152" y="6055630"/>
              <a:ext cx="66996" cy="83827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212174" name="Conector recto 1212173">
              <a:extLst>
                <a:ext uri="{FF2B5EF4-FFF2-40B4-BE49-F238E27FC236}">
                  <a16:creationId xmlns:a16="http://schemas.microsoft.com/office/drawing/2014/main" id="{5062C590-6E33-4E79-ABFB-B5D02820AE30}"/>
                </a:ext>
              </a:extLst>
            </xdr:cNvPr>
            <xdr:cNvCxnSpPr/>
          </xdr:nvCxnSpPr>
          <xdr:spPr bwMode="auto">
            <a:xfrm flipV="1">
              <a:off x="20918624" y="6132095"/>
              <a:ext cx="2209" cy="150425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212175" name="Conector recto 1212174">
              <a:extLst>
                <a:ext uri="{FF2B5EF4-FFF2-40B4-BE49-F238E27FC236}">
                  <a16:creationId xmlns:a16="http://schemas.microsoft.com/office/drawing/2014/main" id="{877A613E-64BD-41BD-B98C-C23F97891828}"/>
                </a:ext>
              </a:extLst>
            </xdr:cNvPr>
            <xdr:cNvCxnSpPr/>
          </xdr:nvCxnSpPr>
          <xdr:spPr bwMode="auto">
            <a:xfrm flipV="1">
              <a:off x="19737313" y="6046547"/>
              <a:ext cx="66996" cy="83827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212176" name="Conector recto 1212175">
              <a:extLst>
                <a:ext uri="{FF2B5EF4-FFF2-40B4-BE49-F238E27FC236}">
                  <a16:creationId xmlns:a16="http://schemas.microsoft.com/office/drawing/2014/main" id="{AA9BE5A3-52CB-47F9-ACDB-664C1BE5FBB9}"/>
                </a:ext>
              </a:extLst>
            </xdr:cNvPr>
            <xdr:cNvCxnSpPr/>
          </xdr:nvCxnSpPr>
          <xdr:spPr bwMode="auto">
            <a:xfrm flipV="1">
              <a:off x="19738785" y="6123012"/>
              <a:ext cx="2209" cy="150425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212177" name="Conector recto 1212176">
              <a:extLst>
                <a:ext uri="{FF2B5EF4-FFF2-40B4-BE49-F238E27FC236}">
                  <a16:creationId xmlns:a16="http://schemas.microsoft.com/office/drawing/2014/main" id="{43008AE3-BB28-4F33-BA53-FF82E30B8C1F}"/>
                </a:ext>
              </a:extLst>
            </xdr:cNvPr>
            <xdr:cNvCxnSpPr/>
          </xdr:nvCxnSpPr>
          <xdr:spPr bwMode="auto">
            <a:xfrm flipV="1">
              <a:off x="18496918" y="6017278"/>
              <a:ext cx="66996" cy="83827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212178" name="Conector recto 1212177">
              <a:extLst>
                <a:ext uri="{FF2B5EF4-FFF2-40B4-BE49-F238E27FC236}">
                  <a16:creationId xmlns:a16="http://schemas.microsoft.com/office/drawing/2014/main" id="{33D8146C-A71D-4FCC-87B1-DC0FFC26265C}"/>
                </a:ext>
              </a:extLst>
            </xdr:cNvPr>
            <xdr:cNvCxnSpPr/>
          </xdr:nvCxnSpPr>
          <xdr:spPr bwMode="auto">
            <a:xfrm flipV="1">
              <a:off x="18498390" y="6093743"/>
              <a:ext cx="2209" cy="150425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</xdr:grp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385" name="Group 1">
          <a:extLst>
            <a:ext uri="{FF2B5EF4-FFF2-40B4-BE49-F238E27FC236}">
              <a16:creationId xmlns:a16="http://schemas.microsoft.com/office/drawing/2014/main" id="{00000000-0008-0000-0500-000011781200}"/>
            </a:ext>
          </a:extLst>
        </xdr:cNvPr>
        <xdr:cNvGrpSpPr>
          <a:grpSpLocks/>
        </xdr:cNvGrpSpPr>
      </xdr:nvGrpSpPr>
      <xdr:grpSpPr bwMode="auto">
        <a:xfrm>
          <a:off x="5724525" y="1273175"/>
          <a:ext cx="0" cy="393700"/>
          <a:chOff x="632" y="220"/>
          <a:chExt cx="195" cy="136"/>
        </a:xfrm>
      </xdr:grpSpPr>
      <xdr:sp macro="" textlink="">
        <xdr:nvSpPr>
          <xdr:cNvPr id="1215558" name="Rectangle 2">
            <a:extLst>
              <a:ext uri="{FF2B5EF4-FFF2-40B4-BE49-F238E27FC236}">
                <a16:creationId xmlns:a16="http://schemas.microsoft.com/office/drawing/2014/main" id="{00000000-0008-0000-0500-0000468C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59" name="Rectangle 3">
            <a:extLst>
              <a:ext uri="{FF2B5EF4-FFF2-40B4-BE49-F238E27FC236}">
                <a16:creationId xmlns:a16="http://schemas.microsoft.com/office/drawing/2014/main" id="{00000000-0008-0000-0500-0000478C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60" name="Rectangle 4">
            <a:extLst>
              <a:ext uri="{FF2B5EF4-FFF2-40B4-BE49-F238E27FC236}">
                <a16:creationId xmlns:a16="http://schemas.microsoft.com/office/drawing/2014/main" id="{00000000-0008-0000-0500-0000488C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61" name="Rectangle 5">
            <a:extLst>
              <a:ext uri="{FF2B5EF4-FFF2-40B4-BE49-F238E27FC236}">
                <a16:creationId xmlns:a16="http://schemas.microsoft.com/office/drawing/2014/main" id="{00000000-0008-0000-0500-0000498C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62" name="Line 6">
            <a:extLst>
              <a:ext uri="{FF2B5EF4-FFF2-40B4-BE49-F238E27FC236}">
                <a16:creationId xmlns:a16="http://schemas.microsoft.com/office/drawing/2014/main" id="{00000000-0008-0000-0500-00004A8C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63" name="Line 7">
            <a:extLst>
              <a:ext uri="{FF2B5EF4-FFF2-40B4-BE49-F238E27FC236}">
                <a16:creationId xmlns:a16="http://schemas.microsoft.com/office/drawing/2014/main" id="{00000000-0008-0000-0500-00004B8C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64" name="Line 8">
            <a:extLst>
              <a:ext uri="{FF2B5EF4-FFF2-40B4-BE49-F238E27FC236}">
                <a16:creationId xmlns:a16="http://schemas.microsoft.com/office/drawing/2014/main" id="{00000000-0008-0000-0500-00004C8C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386" name="Group 9">
          <a:extLst>
            <a:ext uri="{FF2B5EF4-FFF2-40B4-BE49-F238E27FC236}">
              <a16:creationId xmlns:a16="http://schemas.microsoft.com/office/drawing/2014/main" id="{00000000-0008-0000-0500-000012781200}"/>
            </a:ext>
          </a:extLst>
        </xdr:cNvPr>
        <xdr:cNvGrpSpPr>
          <a:grpSpLocks/>
        </xdr:cNvGrpSpPr>
      </xdr:nvGrpSpPr>
      <xdr:grpSpPr bwMode="auto">
        <a:xfrm>
          <a:off x="5724525" y="1273175"/>
          <a:ext cx="0" cy="393700"/>
          <a:chOff x="632" y="220"/>
          <a:chExt cx="195" cy="136"/>
        </a:xfrm>
      </xdr:grpSpPr>
      <xdr:sp macro="" textlink="">
        <xdr:nvSpPr>
          <xdr:cNvPr id="1215551" name="Rectangle 10">
            <a:extLst>
              <a:ext uri="{FF2B5EF4-FFF2-40B4-BE49-F238E27FC236}">
                <a16:creationId xmlns:a16="http://schemas.microsoft.com/office/drawing/2014/main" id="{00000000-0008-0000-0500-00003F8C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52" name="Rectangle 11">
            <a:extLst>
              <a:ext uri="{FF2B5EF4-FFF2-40B4-BE49-F238E27FC236}">
                <a16:creationId xmlns:a16="http://schemas.microsoft.com/office/drawing/2014/main" id="{00000000-0008-0000-0500-0000408C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53" name="Rectangle 12">
            <a:extLst>
              <a:ext uri="{FF2B5EF4-FFF2-40B4-BE49-F238E27FC236}">
                <a16:creationId xmlns:a16="http://schemas.microsoft.com/office/drawing/2014/main" id="{00000000-0008-0000-0500-0000418C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54" name="Rectangle 13">
            <a:extLst>
              <a:ext uri="{FF2B5EF4-FFF2-40B4-BE49-F238E27FC236}">
                <a16:creationId xmlns:a16="http://schemas.microsoft.com/office/drawing/2014/main" id="{00000000-0008-0000-0500-0000428C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55" name="Line 14">
            <a:extLst>
              <a:ext uri="{FF2B5EF4-FFF2-40B4-BE49-F238E27FC236}">
                <a16:creationId xmlns:a16="http://schemas.microsoft.com/office/drawing/2014/main" id="{00000000-0008-0000-0500-0000438C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56" name="Line 15">
            <a:extLst>
              <a:ext uri="{FF2B5EF4-FFF2-40B4-BE49-F238E27FC236}">
                <a16:creationId xmlns:a16="http://schemas.microsoft.com/office/drawing/2014/main" id="{00000000-0008-0000-0500-0000448C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57" name="Line 16">
            <a:extLst>
              <a:ext uri="{FF2B5EF4-FFF2-40B4-BE49-F238E27FC236}">
                <a16:creationId xmlns:a16="http://schemas.microsoft.com/office/drawing/2014/main" id="{00000000-0008-0000-0500-0000458C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190500</xdr:rowOff>
    </xdr:from>
    <xdr:to>
      <xdr:col>7</xdr:col>
      <xdr:colOff>0</xdr:colOff>
      <xdr:row>3</xdr:row>
      <xdr:rowOff>0</xdr:rowOff>
    </xdr:to>
    <xdr:grpSp>
      <xdr:nvGrpSpPr>
        <xdr:cNvPr id="1210387" name="Group 17">
          <a:extLst>
            <a:ext uri="{FF2B5EF4-FFF2-40B4-BE49-F238E27FC236}">
              <a16:creationId xmlns:a16="http://schemas.microsoft.com/office/drawing/2014/main" id="{00000000-0008-0000-0500-000013781200}"/>
            </a:ext>
          </a:extLst>
        </xdr:cNvPr>
        <xdr:cNvGrpSpPr>
          <a:grpSpLocks/>
        </xdr:cNvGrpSpPr>
      </xdr:nvGrpSpPr>
      <xdr:grpSpPr bwMode="auto">
        <a:xfrm>
          <a:off x="5724525" y="1285875"/>
          <a:ext cx="0" cy="381000"/>
          <a:chOff x="570" y="224"/>
          <a:chExt cx="377" cy="136"/>
        </a:xfrm>
      </xdr:grpSpPr>
      <xdr:sp macro="" textlink="">
        <xdr:nvSpPr>
          <xdr:cNvPr id="1215538" name="Rectangle 18">
            <a:extLst>
              <a:ext uri="{FF2B5EF4-FFF2-40B4-BE49-F238E27FC236}">
                <a16:creationId xmlns:a16="http://schemas.microsoft.com/office/drawing/2014/main" id="{00000000-0008-0000-0500-0000328C1200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39" name="Rectangle 19">
            <a:extLst>
              <a:ext uri="{FF2B5EF4-FFF2-40B4-BE49-F238E27FC236}">
                <a16:creationId xmlns:a16="http://schemas.microsoft.com/office/drawing/2014/main" id="{00000000-0008-0000-0500-0000338C1200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40" name="Rectangle 20">
            <a:extLst>
              <a:ext uri="{FF2B5EF4-FFF2-40B4-BE49-F238E27FC236}">
                <a16:creationId xmlns:a16="http://schemas.microsoft.com/office/drawing/2014/main" id="{00000000-0008-0000-0500-0000348C1200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41" name="Rectangle 21">
            <a:extLst>
              <a:ext uri="{FF2B5EF4-FFF2-40B4-BE49-F238E27FC236}">
                <a16:creationId xmlns:a16="http://schemas.microsoft.com/office/drawing/2014/main" id="{00000000-0008-0000-0500-0000358C1200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42" name="Line 22">
            <a:extLst>
              <a:ext uri="{FF2B5EF4-FFF2-40B4-BE49-F238E27FC236}">
                <a16:creationId xmlns:a16="http://schemas.microsoft.com/office/drawing/2014/main" id="{00000000-0008-0000-0500-0000368C1200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43" name="Line 23">
            <a:extLst>
              <a:ext uri="{FF2B5EF4-FFF2-40B4-BE49-F238E27FC236}">
                <a16:creationId xmlns:a16="http://schemas.microsoft.com/office/drawing/2014/main" id="{00000000-0008-0000-0500-0000378C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44" name="Line 24">
            <a:extLst>
              <a:ext uri="{FF2B5EF4-FFF2-40B4-BE49-F238E27FC236}">
                <a16:creationId xmlns:a16="http://schemas.microsoft.com/office/drawing/2014/main" id="{00000000-0008-0000-0500-0000388C1200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45" name="Rectangle 25">
            <a:extLst>
              <a:ext uri="{FF2B5EF4-FFF2-40B4-BE49-F238E27FC236}">
                <a16:creationId xmlns:a16="http://schemas.microsoft.com/office/drawing/2014/main" id="{00000000-0008-0000-0500-0000398C1200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46" name="Line 26">
            <a:extLst>
              <a:ext uri="{FF2B5EF4-FFF2-40B4-BE49-F238E27FC236}">
                <a16:creationId xmlns:a16="http://schemas.microsoft.com/office/drawing/2014/main" id="{00000000-0008-0000-0500-00003A8C1200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47" name="Rectangle 27">
            <a:extLst>
              <a:ext uri="{FF2B5EF4-FFF2-40B4-BE49-F238E27FC236}">
                <a16:creationId xmlns:a16="http://schemas.microsoft.com/office/drawing/2014/main" id="{00000000-0008-0000-0500-00003B8C1200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48" name="Line 28">
            <a:extLst>
              <a:ext uri="{FF2B5EF4-FFF2-40B4-BE49-F238E27FC236}">
                <a16:creationId xmlns:a16="http://schemas.microsoft.com/office/drawing/2014/main" id="{00000000-0008-0000-0500-00003C8C1200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49" name="Line 29">
            <a:extLst>
              <a:ext uri="{FF2B5EF4-FFF2-40B4-BE49-F238E27FC236}">
                <a16:creationId xmlns:a16="http://schemas.microsoft.com/office/drawing/2014/main" id="{00000000-0008-0000-0500-00003D8C12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50" name="Line 30">
            <a:extLst>
              <a:ext uri="{FF2B5EF4-FFF2-40B4-BE49-F238E27FC236}">
                <a16:creationId xmlns:a16="http://schemas.microsoft.com/office/drawing/2014/main" id="{00000000-0008-0000-0500-00003E8C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190500</xdr:rowOff>
    </xdr:from>
    <xdr:to>
      <xdr:col>7</xdr:col>
      <xdr:colOff>0</xdr:colOff>
      <xdr:row>3</xdr:row>
      <xdr:rowOff>0</xdr:rowOff>
    </xdr:to>
    <xdr:grpSp>
      <xdr:nvGrpSpPr>
        <xdr:cNvPr id="1210388" name="Group 31">
          <a:extLst>
            <a:ext uri="{FF2B5EF4-FFF2-40B4-BE49-F238E27FC236}">
              <a16:creationId xmlns:a16="http://schemas.microsoft.com/office/drawing/2014/main" id="{00000000-0008-0000-0500-000014781200}"/>
            </a:ext>
          </a:extLst>
        </xdr:cNvPr>
        <xdr:cNvGrpSpPr>
          <a:grpSpLocks/>
        </xdr:cNvGrpSpPr>
      </xdr:nvGrpSpPr>
      <xdr:grpSpPr bwMode="auto">
        <a:xfrm>
          <a:off x="5724525" y="1285875"/>
          <a:ext cx="0" cy="381000"/>
          <a:chOff x="570" y="224"/>
          <a:chExt cx="377" cy="136"/>
        </a:xfrm>
      </xdr:grpSpPr>
      <xdr:sp macro="" textlink="">
        <xdr:nvSpPr>
          <xdr:cNvPr id="1215525" name="Rectangle 32">
            <a:extLst>
              <a:ext uri="{FF2B5EF4-FFF2-40B4-BE49-F238E27FC236}">
                <a16:creationId xmlns:a16="http://schemas.microsoft.com/office/drawing/2014/main" id="{00000000-0008-0000-0500-0000258C1200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26" name="Rectangle 33">
            <a:extLst>
              <a:ext uri="{FF2B5EF4-FFF2-40B4-BE49-F238E27FC236}">
                <a16:creationId xmlns:a16="http://schemas.microsoft.com/office/drawing/2014/main" id="{00000000-0008-0000-0500-0000268C1200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27" name="Rectangle 34">
            <a:extLst>
              <a:ext uri="{FF2B5EF4-FFF2-40B4-BE49-F238E27FC236}">
                <a16:creationId xmlns:a16="http://schemas.microsoft.com/office/drawing/2014/main" id="{00000000-0008-0000-0500-0000278C1200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28" name="Rectangle 35">
            <a:extLst>
              <a:ext uri="{FF2B5EF4-FFF2-40B4-BE49-F238E27FC236}">
                <a16:creationId xmlns:a16="http://schemas.microsoft.com/office/drawing/2014/main" id="{00000000-0008-0000-0500-0000288C1200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29" name="Line 36">
            <a:extLst>
              <a:ext uri="{FF2B5EF4-FFF2-40B4-BE49-F238E27FC236}">
                <a16:creationId xmlns:a16="http://schemas.microsoft.com/office/drawing/2014/main" id="{00000000-0008-0000-0500-0000298C1200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30" name="Line 37">
            <a:extLst>
              <a:ext uri="{FF2B5EF4-FFF2-40B4-BE49-F238E27FC236}">
                <a16:creationId xmlns:a16="http://schemas.microsoft.com/office/drawing/2014/main" id="{00000000-0008-0000-0500-00002A8C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31" name="Line 38">
            <a:extLst>
              <a:ext uri="{FF2B5EF4-FFF2-40B4-BE49-F238E27FC236}">
                <a16:creationId xmlns:a16="http://schemas.microsoft.com/office/drawing/2014/main" id="{00000000-0008-0000-0500-00002B8C1200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32" name="Rectangle 39">
            <a:extLst>
              <a:ext uri="{FF2B5EF4-FFF2-40B4-BE49-F238E27FC236}">
                <a16:creationId xmlns:a16="http://schemas.microsoft.com/office/drawing/2014/main" id="{00000000-0008-0000-0500-00002C8C1200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33" name="Line 40">
            <a:extLst>
              <a:ext uri="{FF2B5EF4-FFF2-40B4-BE49-F238E27FC236}">
                <a16:creationId xmlns:a16="http://schemas.microsoft.com/office/drawing/2014/main" id="{00000000-0008-0000-0500-00002D8C1200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34" name="Rectangle 41">
            <a:extLst>
              <a:ext uri="{FF2B5EF4-FFF2-40B4-BE49-F238E27FC236}">
                <a16:creationId xmlns:a16="http://schemas.microsoft.com/office/drawing/2014/main" id="{00000000-0008-0000-0500-00002E8C1200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35" name="Line 42">
            <a:extLst>
              <a:ext uri="{FF2B5EF4-FFF2-40B4-BE49-F238E27FC236}">
                <a16:creationId xmlns:a16="http://schemas.microsoft.com/office/drawing/2014/main" id="{00000000-0008-0000-0500-00002F8C1200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36" name="Line 43">
            <a:extLst>
              <a:ext uri="{FF2B5EF4-FFF2-40B4-BE49-F238E27FC236}">
                <a16:creationId xmlns:a16="http://schemas.microsoft.com/office/drawing/2014/main" id="{00000000-0008-0000-0500-0000308C12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37" name="Line 44">
            <a:extLst>
              <a:ext uri="{FF2B5EF4-FFF2-40B4-BE49-F238E27FC236}">
                <a16:creationId xmlns:a16="http://schemas.microsoft.com/office/drawing/2014/main" id="{00000000-0008-0000-0500-0000318C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190500</xdr:rowOff>
    </xdr:from>
    <xdr:to>
      <xdr:col>7</xdr:col>
      <xdr:colOff>0</xdr:colOff>
      <xdr:row>3</xdr:row>
      <xdr:rowOff>0</xdr:rowOff>
    </xdr:to>
    <xdr:grpSp>
      <xdr:nvGrpSpPr>
        <xdr:cNvPr id="1210389" name="Group 45">
          <a:extLst>
            <a:ext uri="{FF2B5EF4-FFF2-40B4-BE49-F238E27FC236}">
              <a16:creationId xmlns:a16="http://schemas.microsoft.com/office/drawing/2014/main" id="{00000000-0008-0000-0500-000015781200}"/>
            </a:ext>
          </a:extLst>
        </xdr:cNvPr>
        <xdr:cNvGrpSpPr>
          <a:grpSpLocks/>
        </xdr:cNvGrpSpPr>
      </xdr:nvGrpSpPr>
      <xdr:grpSpPr bwMode="auto">
        <a:xfrm>
          <a:off x="5724525" y="1285875"/>
          <a:ext cx="0" cy="381000"/>
          <a:chOff x="570" y="224"/>
          <a:chExt cx="377" cy="136"/>
        </a:xfrm>
      </xdr:grpSpPr>
      <xdr:sp macro="" textlink="">
        <xdr:nvSpPr>
          <xdr:cNvPr id="1215512" name="Rectangle 46">
            <a:extLst>
              <a:ext uri="{FF2B5EF4-FFF2-40B4-BE49-F238E27FC236}">
                <a16:creationId xmlns:a16="http://schemas.microsoft.com/office/drawing/2014/main" id="{00000000-0008-0000-0500-0000188C1200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13" name="Rectangle 47">
            <a:extLst>
              <a:ext uri="{FF2B5EF4-FFF2-40B4-BE49-F238E27FC236}">
                <a16:creationId xmlns:a16="http://schemas.microsoft.com/office/drawing/2014/main" id="{00000000-0008-0000-0500-0000198C1200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14" name="Rectangle 48">
            <a:extLst>
              <a:ext uri="{FF2B5EF4-FFF2-40B4-BE49-F238E27FC236}">
                <a16:creationId xmlns:a16="http://schemas.microsoft.com/office/drawing/2014/main" id="{00000000-0008-0000-0500-00001A8C1200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15" name="Rectangle 49">
            <a:extLst>
              <a:ext uri="{FF2B5EF4-FFF2-40B4-BE49-F238E27FC236}">
                <a16:creationId xmlns:a16="http://schemas.microsoft.com/office/drawing/2014/main" id="{00000000-0008-0000-0500-00001B8C1200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16" name="Line 50">
            <a:extLst>
              <a:ext uri="{FF2B5EF4-FFF2-40B4-BE49-F238E27FC236}">
                <a16:creationId xmlns:a16="http://schemas.microsoft.com/office/drawing/2014/main" id="{00000000-0008-0000-0500-00001C8C1200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17" name="Line 51">
            <a:extLst>
              <a:ext uri="{FF2B5EF4-FFF2-40B4-BE49-F238E27FC236}">
                <a16:creationId xmlns:a16="http://schemas.microsoft.com/office/drawing/2014/main" id="{00000000-0008-0000-0500-00001D8C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18" name="Line 52">
            <a:extLst>
              <a:ext uri="{FF2B5EF4-FFF2-40B4-BE49-F238E27FC236}">
                <a16:creationId xmlns:a16="http://schemas.microsoft.com/office/drawing/2014/main" id="{00000000-0008-0000-0500-00001E8C1200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19" name="Rectangle 53">
            <a:extLst>
              <a:ext uri="{FF2B5EF4-FFF2-40B4-BE49-F238E27FC236}">
                <a16:creationId xmlns:a16="http://schemas.microsoft.com/office/drawing/2014/main" id="{00000000-0008-0000-0500-00001F8C1200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20" name="Line 54">
            <a:extLst>
              <a:ext uri="{FF2B5EF4-FFF2-40B4-BE49-F238E27FC236}">
                <a16:creationId xmlns:a16="http://schemas.microsoft.com/office/drawing/2014/main" id="{00000000-0008-0000-0500-0000208C1200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21" name="Rectangle 55">
            <a:extLst>
              <a:ext uri="{FF2B5EF4-FFF2-40B4-BE49-F238E27FC236}">
                <a16:creationId xmlns:a16="http://schemas.microsoft.com/office/drawing/2014/main" id="{00000000-0008-0000-0500-0000218C1200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22" name="Line 56">
            <a:extLst>
              <a:ext uri="{FF2B5EF4-FFF2-40B4-BE49-F238E27FC236}">
                <a16:creationId xmlns:a16="http://schemas.microsoft.com/office/drawing/2014/main" id="{00000000-0008-0000-0500-0000228C1200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23" name="Line 57">
            <a:extLst>
              <a:ext uri="{FF2B5EF4-FFF2-40B4-BE49-F238E27FC236}">
                <a16:creationId xmlns:a16="http://schemas.microsoft.com/office/drawing/2014/main" id="{00000000-0008-0000-0500-0000238C12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24" name="Line 58">
            <a:extLst>
              <a:ext uri="{FF2B5EF4-FFF2-40B4-BE49-F238E27FC236}">
                <a16:creationId xmlns:a16="http://schemas.microsoft.com/office/drawing/2014/main" id="{00000000-0008-0000-0500-0000248C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190500</xdr:rowOff>
    </xdr:from>
    <xdr:to>
      <xdr:col>7</xdr:col>
      <xdr:colOff>0</xdr:colOff>
      <xdr:row>3</xdr:row>
      <xdr:rowOff>0</xdr:rowOff>
    </xdr:to>
    <xdr:grpSp>
      <xdr:nvGrpSpPr>
        <xdr:cNvPr id="1210390" name="Group 59">
          <a:extLst>
            <a:ext uri="{FF2B5EF4-FFF2-40B4-BE49-F238E27FC236}">
              <a16:creationId xmlns:a16="http://schemas.microsoft.com/office/drawing/2014/main" id="{00000000-0008-0000-0500-000016781200}"/>
            </a:ext>
          </a:extLst>
        </xdr:cNvPr>
        <xdr:cNvGrpSpPr>
          <a:grpSpLocks/>
        </xdr:cNvGrpSpPr>
      </xdr:nvGrpSpPr>
      <xdr:grpSpPr bwMode="auto">
        <a:xfrm>
          <a:off x="5724525" y="1285875"/>
          <a:ext cx="0" cy="381000"/>
          <a:chOff x="570" y="224"/>
          <a:chExt cx="377" cy="136"/>
        </a:xfrm>
      </xdr:grpSpPr>
      <xdr:sp macro="" textlink="">
        <xdr:nvSpPr>
          <xdr:cNvPr id="1215499" name="Rectangle 60">
            <a:extLst>
              <a:ext uri="{FF2B5EF4-FFF2-40B4-BE49-F238E27FC236}">
                <a16:creationId xmlns:a16="http://schemas.microsoft.com/office/drawing/2014/main" id="{00000000-0008-0000-0500-00000B8C1200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00" name="Rectangle 61">
            <a:extLst>
              <a:ext uri="{FF2B5EF4-FFF2-40B4-BE49-F238E27FC236}">
                <a16:creationId xmlns:a16="http://schemas.microsoft.com/office/drawing/2014/main" id="{00000000-0008-0000-0500-00000C8C1200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01" name="Rectangle 62">
            <a:extLst>
              <a:ext uri="{FF2B5EF4-FFF2-40B4-BE49-F238E27FC236}">
                <a16:creationId xmlns:a16="http://schemas.microsoft.com/office/drawing/2014/main" id="{00000000-0008-0000-0500-00000D8C1200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02" name="Rectangle 63">
            <a:extLst>
              <a:ext uri="{FF2B5EF4-FFF2-40B4-BE49-F238E27FC236}">
                <a16:creationId xmlns:a16="http://schemas.microsoft.com/office/drawing/2014/main" id="{00000000-0008-0000-0500-00000E8C1200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03" name="Line 64">
            <a:extLst>
              <a:ext uri="{FF2B5EF4-FFF2-40B4-BE49-F238E27FC236}">
                <a16:creationId xmlns:a16="http://schemas.microsoft.com/office/drawing/2014/main" id="{00000000-0008-0000-0500-00000F8C1200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04" name="Line 65">
            <a:extLst>
              <a:ext uri="{FF2B5EF4-FFF2-40B4-BE49-F238E27FC236}">
                <a16:creationId xmlns:a16="http://schemas.microsoft.com/office/drawing/2014/main" id="{00000000-0008-0000-0500-0000108C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05" name="Line 66">
            <a:extLst>
              <a:ext uri="{FF2B5EF4-FFF2-40B4-BE49-F238E27FC236}">
                <a16:creationId xmlns:a16="http://schemas.microsoft.com/office/drawing/2014/main" id="{00000000-0008-0000-0500-0000118C1200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06" name="Rectangle 67">
            <a:extLst>
              <a:ext uri="{FF2B5EF4-FFF2-40B4-BE49-F238E27FC236}">
                <a16:creationId xmlns:a16="http://schemas.microsoft.com/office/drawing/2014/main" id="{00000000-0008-0000-0500-0000128C1200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07" name="Line 68">
            <a:extLst>
              <a:ext uri="{FF2B5EF4-FFF2-40B4-BE49-F238E27FC236}">
                <a16:creationId xmlns:a16="http://schemas.microsoft.com/office/drawing/2014/main" id="{00000000-0008-0000-0500-0000138C1200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08" name="Rectangle 69">
            <a:extLst>
              <a:ext uri="{FF2B5EF4-FFF2-40B4-BE49-F238E27FC236}">
                <a16:creationId xmlns:a16="http://schemas.microsoft.com/office/drawing/2014/main" id="{00000000-0008-0000-0500-0000148C1200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09" name="Line 70">
            <a:extLst>
              <a:ext uri="{FF2B5EF4-FFF2-40B4-BE49-F238E27FC236}">
                <a16:creationId xmlns:a16="http://schemas.microsoft.com/office/drawing/2014/main" id="{00000000-0008-0000-0500-0000158C1200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10" name="Line 71">
            <a:extLst>
              <a:ext uri="{FF2B5EF4-FFF2-40B4-BE49-F238E27FC236}">
                <a16:creationId xmlns:a16="http://schemas.microsoft.com/office/drawing/2014/main" id="{00000000-0008-0000-0500-0000168C12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11" name="Line 72">
            <a:extLst>
              <a:ext uri="{FF2B5EF4-FFF2-40B4-BE49-F238E27FC236}">
                <a16:creationId xmlns:a16="http://schemas.microsoft.com/office/drawing/2014/main" id="{00000000-0008-0000-0500-0000178C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391" name="Group 73">
          <a:extLst>
            <a:ext uri="{FF2B5EF4-FFF2-40B4-BE49-F238E27FC236}">
              <a16:creationId xmlns:a16="http://schemas.microsoft.com/office/drawing/2014/main" id="{00000000-0008-0000-0500-000017781200}"/>
            </a:ext>
          </a:extLst>
        </xdr:cNvPr>
        <xdr:cNvGrpSpPr>
          <a:grpSpLocks/>
        </xdr:cNvGrpSpPr>
      </xdr:nvGrpSpPr>
      <xdr:grpSpPr bwMode="auto">
        <a:xfrm>
          <a:off x="5724525" y="1273175"/>
          <a:ext cx="0" cy="393700"/>
          <a:chOff x="632" y="220"/>
          <a:chExt cx="195" cy="136"/>
        </a:xfrm>
      </xdr:grpSpPr>
      <xdr:sp macro="" textlink="">
        <xdr:nvSpPr>
          <xdr:cNvPr id="1215492" name="Rectangle 74">
            <a:extLst>
              <a:ext uri="{FF2B5EF4-FFF2-40B4-BE49-F238E27FC236}">
                <a16:creationId xmlns:a16="http://schemas.microsoft.com/office/drawing/2014/main" id="{00000000-0008-0000-0500-0000048C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493" name="Rectangle 75">
            <a:extLst>
              <a:ext uri="{FF2B5EF4-FFF2-40B4-BE49-F238E27FC236}">
                <a16:creationId xmlns:a16="http://schemas.microsoft.com/office/drawing/2014/main" id="{00000000-0008-0000-0500-0000058C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494" name="Rectangle 76">
            <a:extLst>
              <a:ext uri="{FF2B5EF4-FFF2-40B4-BE49-F238E27FC236}">
                <a16:creationId xmlns:a16="http://schemas.microsoft.com/office/drawing/2014/main" id="{00000000-0008-0000-0500-0000068C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495" name="Rectangle 77">
            <a:extLst>
              <a:ext uri="{FF2B5EF4-FFF2-40B4-BE49-F238E27FC236}">
                <a16:creationId xmlns:a16="http://schemas.microsoft.com/office/drawing/2014/main" id="{00000000-0008-0000-0500-0000078C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496" name="Line 78">
            <a:extLst>
              <a:ext uri="{FF2B5EF4-FFF2-40B4-BE49-F238E27FC236}">
                <a16:creationId xmlns:a16="http://schemas.microsoft.com/office/drawing/2014/main" id="{00000000-0008-0000-0500-0000088C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497" name="Line 79">
            <a:extLst>
              <a:ext uri="{FF2B5EF4-FFF2-40B4-BE49-F238E27FC236}">
                <a16:creationId xmlns:a16="http://schemas.microsoft.com/office/drawing/2014/main" id="{00000000-0008-0000-0500-0000098C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498" name="Line 80">
            <a:extLst>
              <a:ext uri="{FF2B5EF4-FFF2-40B4-BE49-F238E27FC236}">
                <a16:creationId xmlns:a16="http://schemas.microsoft.com/office/drawing/2014/main" id="{00000000-0008-0000-0500-00000A8C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392" name="Group 81">
          <a:extLst>
            <a:ext uri="{FF2B5EF4-FFF2-40B4-BE49-F238E27FC236}">
              <a16:creationId xmlns:a16="http://schemas.microsoft.com/office/drawing/2014/main" id="{00000000-0008-0000-0500-000018781200}"/>
            </a:ext>
          </a:extLst>
        </xdr:cNvPr>
        <xdr:cNvGrpSpPr>
          <a:grpSpLocks/>
        </xdr:cNvGrpSpPr>
      </xdr:nvGrpSpPr>
      <xdr:grpSpPr bwMode="auto">
        <a:xfrm>
          <a:off x="5724525" y="1273175"/>
          <a:ext cx="0" cy="393700"/>
          <a:chOff x="632" y="220"/>
          <a:chExt cx="195" cy="136"/>
        </a:xfrm>
      </xdr:grpSpPr>
      <xdr:sp macro="" textlink="">
        <xdr:nvSpPr>
          <xdr:cNvPr id="1211389" name="Rectangle 82">
            <a:extLst>
              <a:ext uri="{FF2B5EF4-FFF2-40B4-BE49-F238E27FC236}">
                <a16:creationId xmlns:a16="http://schemas.microsoft.com/office/drawing/2014/main" id="{00000000-0008-0000-0500-0000FD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90" name="Rectangle 83">
            <a:extLst>
              <a:ext uri="{FF2B5EF4-FFF2-40B4-BE49-F238E27FC236}">
                <a16:creationId xmlns:a16="http://schemas.microsoft.com/office/drawing/2014/main" id="{00000000-0008-0000-0500-0000FE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91" name="Rectangle 84">
            <a:extLst>
              <a:ext uri="{FF2B5EF4-FFF2-40B4-BE49-F238E27FC236}">
                <a16:creationId xmlns:a16="http://schemas.microsoft.com/office/drawing/2014/main" id="{00000000-0008-0000-0500-0000FF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488" name="Rectangle 85">
            <a:extLst>
              <a:ext uri="{FF2B5EF4-FFF2-40B4-BE49-F238E27FC236}">
                <a16:creationId xmlns:a16="http://schemas.microsoft.com/office/drawing/2014/main" id="{00000000-0008-0000-0500-0000008C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489" name="Line 86">
            <a:extLst>
              <a:ext uri="{FF2B5EF4-FFF2-40B4-BE49-F238E27FC236}">
                <a16:creationId xmlns:a16="http://schemas.microsoft.com/office/drawing/2014/main" id="{00000000-0008-0000-0500-0000018C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490" name="Line 87">
            <a:extLst>
              <a:ext uri="{FF2B5EF4-FFF2-40B4-BE49-F238E27FC236}">
                <a16:creationId xmlns:a16="http://schemas.microsoft.com/office/drawing/2014/main" id="{00000000-0008-0000-0500-0000028C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491" name="Line 88">
            <a:extLst>
              <a:ext uri="{FF2B5EF4-FFF2-40B4-BE49-F238E27FC236}">
                <a16:creationId xmlns:a16="http://schemas.microsoft.com/office/drawing/2014/main" id="{00000000-0008-0000-0500-0000038C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393" name="Group 89">
          <a:extLst>
            <a:ext uri="{FF2B5EF4-FFF2-40B4-BE49-F238E27FC236}">
              <a16:creationId xmlns:a16="http://schemas.microsoft.com/office/drawing/2014/main" id="{00000000-0008-0000-0500-000019781200}"/>
            </a:ext>
          </a:extLst>
        </xdr:cNvPr>
        <xdr:cNvGrpSpPr>
          <a:grpSpLocks/>
        </xdr:cNvGrpSpPr>
      </xdr:nvGrpSpPr>
      <xdr:grpSpPr bwMode="auto">
        <a:xfrm>
          <a:off x="5724525" y="1273175"/>
          <a:ext cx="0" cy="393700"/>
          <a:chOff x="632" y="220"/>
          <a:chExt cx="195" cy="136"/>
        </a:xfrm>
      </xdr:grpSpPr>
      <xdr:sp macro="" textlink="">
        <xdr:nvSpPr>
          <xdr:cNvPr id="1211382" name="Rectangle 90">
            <a:extLst>
              <a:ext uri="{FF2B5EF4-FFF2-40B4-BE49-F238E27FC236}">
                <a16:creationId xmlns:a16="http://schemas.microsoft.com/office/drawing/2014/main" id="{00000000-0008-0000-0500-0000F6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83" name="Rectangle 91">
            <a:extLst>
              <a:ext uri="{FF2B5EF4-FFF2-40B4-BE49-F238E27FC236}">
                <a16:creationId xmlns:a16="http://schemas.microsoft.com/office/drawing/2014/main" id="{00000000-0008-0000-0500-0000F7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84" name="Rectangle 92">
            <a:extLst>
              <a:ext uri="{FF2B5EF4-FFF2-40B4-BE49-F238E27FC236}">
                <a16:creationId xmlns:a16="http://schemas.microsoft.com/office/drawing/2014/main" id="{00000000-0008-0000-0500-0000F8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85" name="Rectangle 93">
            <a:extLst>
              <a:ext uri="{FF2B5EF4-FFF2-40B4-BE49-F238E27FC236}">
                <a16:creationId xmlns:a16="http://schemas.microsoft.com/office/drawing/2014/main" id="{00000000-0008-0000-0500-0000F9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86" name="Line 94">
            <a:extLst>
              <a:ext uri="{FF2B5EF4-FFF2-40B4-BE49-F238E27FC236}">
                <a16:creationId xmlns:a16="http://schemas.microsoft.com/office/drawing/2014/main" id="{00000000-0008-0000-0500-0000FA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87" name="Line 95">
            <a:extLst>
              <a:ext uri="{FF2B5EF4-FFF2-40B4-BE49-F238E27FC236}">
                <a16:creationId xmlns:a16="http://schemas.microsoft.com/office/drawing/2014/main" id="{00000000-0008-0000-0500-0000FB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88" name="Line 96">
            <a:extLst>
              <a:ext uri="{FF2B5EF4-FFF2-40B4-BE49-F238E27FC236}">
                <a16:creationId xmlns:a16="http://schemas.microsoft.com/office/drawing/2014/main" id="{00000000-0008-0000-0500-0000FC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394" name="Group 97">
          <a:extLst>
            <a:ext uri="{FF2B5EF4-FFF2-40B4-BE49-F238E27FC236}">
              <a16:creationId xmlns:a16="http://schemas.microsoft.com/office/drawing/2014/main" id="{00000000-0008-0000-0500-00001A781200}"/>
            </a:ext>
          </a:extLst>
        </xdr:cNvPr>
        <xdr:cNvGrpSpPr>
          <a:grpSpLocks/>
        </xdr:cNvGrpSpPr>
      </xdr:nvGrpSpPr>
      <xdr:grpSpPr bwMode="auto">
        <a:xfrm>
          <a:off x="5724525" y="1273175"/>
          <a:ext cx="0" cy="393700"/>
          <a:chOff x="632" y="220"/>
          <a:chExt cx="195" cy="136"/>
        </a:xfrm>
      </xdr:grpSpPr>
      <xdr:sp macro="" textlink="">
        <xdr:nvSpPr>
          <xdr:cNvPr id="1211375" name="Rectangle 98">
            <a:extLst>
              <a:ext uri="{FF2B5EF4-FFF2-40B4-BE49-F238E27FC236}">
                <a16:creationId xmlns:a16="http://schemas.microsoft.com/office/drawing/2014/main" id="{00000000-0008-0000-0500-0000EF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76" name="Rectangle 99">
            <a:extLst>
              <a:ext uri="{FF2B5EF4-FFF2-40B4-BE49-F238E27FC236}">
                <a16:creationId xmlns:a16="http://schemas.microsoft.com/office/drawing/2014/main" id="{00000000-0008-0000-0500-0000F0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77" name="Rectangle 100">
            <a:extLst>
              <a:ext uri="{FF2B5EF4-FFF2-40B4-BE49-F238E27FC236}">
                <a16:creationId xmlns:a16="http://schemas.microsoft.com/office/drawing/2014/main" id="{00000000-0008-0000-0500-0000F1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78" name="Rectangle 101">
            <a:extLst>
              <a:ext uri="{FF2B5EF4-FFF2-40B4-BE49-F238E27FC236}">
                <a16:creationId xmlns:a16="http://schemas.microsoft.com/office/drawing/2014/main" id="{00000000-0008-0000-0500-0000F2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79" name="Line 102">
            <a:extLst>
              <a:ext uri="{FF2B5EF4-FFF2-40B4-BE49-F238E27FC236}">
                <a16:creationId xmlns:a16="http://schemas.microsoft.com/office/drawing/2014/main" id="{00000000-0008-0000-0500-0000F3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80" name="Line 103">
            <a:extLst>
              <a:ext uri="{FF2B5EF4-FFF2-40B4-BE49-F238E27FC236}">
                <a16:creationId xmlns:a16="http://schemas.microsoft.com/office/drawing/2014/main" id="{00000000-0008-0000-0500-0000F4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81" name="Line 104">
            <a:extLst>
              <a:ext uri="{FF2B5EF4-FFF2-40B4-BE49-F238E27FC236}">
                <a16:creationId xmlns:a16="http://schemas.microsoft.com/office/drawing/2014/main" id="{00000000-0008-0000-0500-0000F5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395" name="Group 105">
          <a:extLst>
            <a:ext uri="{FF2B5EF4-FFF2-40B4-BE49-F238E27FC236}">
              <a16:creationId xmlns:a16="http://schemas.microsoft.com/office/drawing/2014/main" id="{00000000-0008-0000-0500-00001B781200}"/>
            </a:ext>
          </a:extLst>
        </xdr:cNvPr>
        <xdr:cNvGrpSpPr>
          <a:grpSpLocks/>
        </xdr:cNvGrpSpPr>
      </xdr:nvGrpSpPr>
      <xdr:grpSpPr bwMode="auto">
        <a:xfrm>
          <a:off x="5724525" y="1273175"/>
          <a:ext cx="0" cy="393700"/>
          <a:chOff x="632" y="220"/>
          <a:chExt cx="195" cy="136"/>
        </a:xfrm>
      </xdr:grpSpPr>
      <xdr:sp macro="" textlink="">
        <xdr:nvSpPr>
          <xdr:cNvPr id="1211368" name="Rectangle 106">
            <a:extLst>
              <a:ext uri="{FF2B5EF4-FFF2-40B4-BE49-F238E27FC236}">
                <a16:creationId xmlns:a16="http://schemas.microsoft.com/office/drawing/2014/main" id="{00000000-0008-0000-0500-0000E8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69" name="Rectangle 107">
            <a:extLst>
              <a:ext uri="{FF2B5EF4-FFF2-40B4-BE49-F238E27FC236}">
                <a16:creationId xmlns:a16="http://schemas.microsoft.com/office/drawing/2014/main" id="{00000000-0008-0000-0500-0000E9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70" name="Rectangle 108">
            <a:extLst>
              <a:ext uri="{FF2B5EF4-FFF2-40B4-BE49-F238E27FC236}">
                <a16:creationId xmlns:a16="http://schemas.microsoft.com/office/drawing/2014/main" id="{00000000-0008-0000-0500-0000EA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71" name="Rectangle 109">
            <a:extLst>
              <a:ext uri="{FF2B5EF4-FFF2-40B4-BE49-F238E27FC236}">
                <a16:creationId xmlns:a16="http://schemas.microsoft.com/office/drawing/2014/main" id="{00000000-0008-0000-0500-0000EB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72" name="Line 110">
            <a:extLst>
              <a:ext uri="{FF2B5EF4-FFF2-40B4-BE49-F238E27FC236}">
                <a16:creationId xmlns:a16="http://schemas.microsoft.com/office/drawing/2014/main" id="{00000000-0008-0000-0500-0000EC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73" name="Line 111">
            <a:extLst>
              <a:ext uri="{FF2B5EF4-FFF2-40B4-BE49-F238E27FC236}">
                <a16:creationId xmlns:a16="http://schemas.microsoft.com/office/drawing/2014/main" id="{00000000-0008-0000-0500-0000ED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74" name="Line 112">
            <a:extLst>
              <a:ext uri="{FF2B5EF4-FFF2-40B4-BE49-F238E27FC236}">
                <a16:creationId xmlns:a16="http://schemas.microsoft.com/office/drawing/2014/main" id="{00000000-0008-0000-0500-0000EE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396" name="Group 113">
          <a:extLst>
            <a:ext uri="{FF2B5EF4-FFF2-40B4-BE49-F238E27FC236}">
              <a16:creationId xmlns:a16="http://schemas.microsoft.com/office/drawing/2014/main" id="{00000000-0008-0000-0500-00001C781200}"/>
            </a:ext>
          </a:extLst>
        </xdr:cNvPr>
        <xdr:cNvGrpSpPr>
          <a:grpSpLocks/>
        </xdr:cNvGrpSpPr>
      </xdr:nvGrpSpPr>
      <xdr:grpSpPr bwMode="auto">
        <a:xfrm>
          <a:off x="5724525" y="1273175"/>
          <a:ext cx="0" cy="393700"/>
          <a:chOff x="632" y="220"/>
          <a:chExt cx="195" cy="136"/>
        </a:xfrm>
      </xdr:grpSpPr>
      <xdr:sp macro="" textlink="">
        <xdr:nvSpPr>
          <xdr:cNvPr id="1211361" name="Rectangle 114">
            <a:extLst>
              <a:ext uri="{FF2B5EF4-FFF2-40B4-BE49-F238E27FC236}">
                <a16:creationId xmlns:a16="http://schemas.microsoft.com/office/drawing/2014/main" id="{00000000-0008-0000-0500-0000E1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62" name="Rectangle 115">
            <a:extLst>
              <a:ext uri="{FF2B5EF4-FFF2-40B4-BE49-F238E27FC236}">
                <a16:creationId xmlns:a16="http://schemas.microsoft.com/office/drawing/2014/main" id="{00000000-0008-0000-0500-0000E2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63" name="Rectangle 116">
            <a:extLst>
              <a:ext uri="{FF2B5EF4-FFF2-40B4-BE49-F238E27FC236}">
                <a16:creationId xmlns:a16="http://schemas.microsoft.com/office/drawing/2014/main" id="{00000000-0008-0000-0500-0000E3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64" name="Rectangle 117">
            <a:extLst>
              <a:ext uri="{FF2B5EF4-FFF2-40B4-BE49-F238E27FC236}">
                <a16:creationId xmlns:a16="http://schemas.microsoft.com/office/drawing/2014/main" id="{00000000-0008-0000-0500-0000E4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65" name="Line 118">
            <a:extLst>
              <a:ext uri="{FF2B5EF4-FFF2-40B4-BE49-F238E27FC236}">
                <a16:creationId xmlns:a16="http://schemas.microsoft.com/office/drawing/2014/main" id="{00000000-0008-0000-0500-0000E5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66" name="Line 119">
            <a:extLst>
              <a:ext uri="{FF2B5EF4-FFF2-40B4-BE49-F238E27FC236}">
                <a16:creationId xmlns:a16="http://schemas.microsoft.com/office/drawing/2014/main" id="{00000000-0008-0000-0500-0000E6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67" name="Line 120">
            <a:extLst>
              <a:ext uri="{FF2B5EF4-FFF2-40B4-BE49-F238E27FC236}">
                <a16:creationId xmlns:a16="http://schemas.microsoft.com/office/drawing/2014/main" id="{00000000-0008-0000-0500-0000E7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397" name="Group 121">
          <a:extLst>
            <a:ext uri="{FF2B5EF4-FFF2-40B4-BE49-F238E27FC236}">
              <a16:creationId xmlns:a16="http://schemas.microsoft.com/office/drawing/2014/main" id="{00000000-0008-0000-0500-00001D781200}"/>
            </a:ext>
          </a:extLst>
        </xdr:cNvPr>
        <xdr:cNvGrpSpPr>
          <a:grpSpLocks/>
        </xdr:cNvGrpSpPr>
      </xdr:nvGrpSpPr>
      <xdr:grpSpPr bwMode="auto">
        <a:xfrm>
          <a:off x="5724525" y="1273175"/>
          <a:ext cx="0" cy="393700"/>
          <a:chOff x="632" y="220"/>
          <a:chExt cx="195" cy="136"/>
        </a:xfrm>
      </xdr:grpSpPr>
      <xdr:sp macro="" textlink="">
        <xdr:nvSpPr>
          <xdr:cNvPr id="1211354" name="Rectangle 122">
            <a:extLst>
              <a:ext uri="{FF2B5EF4-FFF2-40B4-BE49-F238E27FC236}">
                <a16:creationId xmlns:a16="http://schemas.microsoft.com/office/drawing/2014/main" id="{00000000-0008-0000-0500-0000DA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55" name="Rectangle 123">
            <a:extLst>
              <a:ext uri="{FF2B5EF4-FFF2-40B4-BE49-F238E27FC236}">
                <a16:creationId xmlns:a16="http://schemas.microsoft.com/office/drawing/2014/main" id="{00000000-0008-0000-0500-0000DB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56" name="Rectangle 124">
            <a:extLst>
              <a:ext uri="{FF2B5EF4-FFF2-40B4-BE49-F238E27FC236}">
                <a16:creationId xmlns:a16="http://schemas.microsoft.com/office/drawing/2014/main" id="{00000000-0008-0000-0500-0000DC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57" name="Rectangle 125">
            <a:extLst>
              <a:ext uri="{FF2B5EF4-FFF2-40B4-BE49-F238E27FC236}">
                <a16:creationId xmlns:a16="http://schemas.microsoft.com/office/drawing/2014/main" id="{00000000-0008-0000-0500-0000DD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58" name="Line 126">
            <a:extLst>
              <a:ext uri="{FF2B5EF4-FFF2-40B4-BE49-F238E27FC236}">
                <a16:creationId xmlns:a16="http://schemas.microsoft.com/office/drawing/2014/main" id="{00000000-0008-0000-0500-0000DE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59" name="Line 127">
            <a:extLst>
              <a:ext uri="{FF2B5EF4-FFF2-40B4-BE49-F238E27FC236}">
                <a16:creationId xmlns:a16="http://schemas.microsoft.com/office/drawing/2014/main" id="{00000000-0008-0000-0500-0000DF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60" name="Line 128">
            <a:extLst>
              <a:ext uri="{FF2B5EF4-FFF2-40B4-BE49-F238E27FC236}">
                <a16:creationId xmlns:a16="http://schemas.microsoft.com/office/drawing/2014/main" id="{00000000-0008-0000-0500-0000E0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398" name="Group 129">
          <a:extLst>
            <a:ext uri="{FF2B5EF4-FFF2-40B4-BE49-F238E27FC236}">
              <a16:creationId xmlns:a16="http://schemas.microsoft.com/office/drawing/2014/main" id="{00000000-0008-0000-0500-00001E781200}"/>
            </a:ext>
          </a:extLst>
        </xdr:cNvPr>
        <xdr:cNvGrpSpPr>
          <a:grpSpLocks/>
        </xdr:cNvGrpSpPr>
      </xdr:nvGrpSpPr>
      <xdr:grpSpPr bwMode="auto">
        <a:xfrm>
          <a:off x="5724525" y="1273175"/>
          <a:ext cx="0" cy="393700"/>
          <a:chOff x="632" y="220"/>
          <a:chExt cx="195" cy="136"/>
        </a:xfrm>
      </xdr:grpSpPr>
      <xdr:sp macro="" textlink="">
        <xdr:nvSpPr>
          <xdr:cNvPr id="1211347" name="Rectangle 130">
            <a:extLst>
              <a:ext uri="{FF2B5EF4-FFF2-40B4-BE49-F238E27FC236}">
                <a16:creationId xmlns:a16="http://schemas.microsoft.com/office/drawing/2014/main" id="{00000000-0008-0000-0500-0000D3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48" name="Rectangle 131">
            <a:extLst>
              <a:ext uri="{FF2B5EF4-FFF2-40B4-BE49-F238E27FC236}">
                <a16:creationId xmlns:a16="http://schemas.microsoft.com/office/drawing/2014/main" id="{00000000-0008-0000-0500-0000D4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49" name="Rectangle 132">
            <a:extLst>
              <a:ext uri="{FF2B5EF4-FFF2-40B4-BE49-F238E27FC236}">
                <a16:creationId xmlns:a16="http://schemas.microsoft.com/office/drawing/2014/main" id="{00000000-0008-0000-0500-0000D5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50" name="Rectangle 133">
            <a:extLst>
              <a:ext uri="{FF2B5EF4-FFF2-40B4-BE49-F238E27FC236}">
                <a16:creationId xmlns:a16="http://schemas.microsoft.com/office/drawing/2014/main" id="{00000000-0008-0000-0500-0000D6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51" name="Line 134">
            <a:extLst>
              <a:ext uri="{FF2B5EF4-FFF2-40B4-BE49-F238E27FC236}">
                <a16:creationId xmlns:a16="http://schemas.microsoft.com/office/drawing/2014/main" id="{00000000-0008-0000-0500-0000D7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52" name="Line 135">
            <a:extLst>
              <a:ext uri="{FF2B5EF4-FFF2-40B4-BE49-F238E27FC236}">
                <a16:creationId xmlns:a16="http://schemas.microsoft.com/office/drawing/2014/main" id="{00000000-0008-0000-0500-0000D8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53" name="Line 136">
            <a:extLst>
              <a:ext uri="{FF2B5EF4-FFF2-40B4-BE49-F238E27FC236}">
                <a16:creationId xmlns:a16="http://schemas.microsoft.com/office/drawing/2014/main" id="{00000000-0008-0000-0500-0000D9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399" name="Group 137">
          <a:extLst>
            <a:ext uri="{FF2B5EF4-FFF2-40B4-BE49-F238E27FC236}">
              <a16:creationId xmlns:a16="http://schemas.microsoft.com/office/drawing/2014/main" id="{00000000-0008-0000-0500-00001F781200}"/>
            </a:ext>
          </a:extLst>
        </xdr:cNvPr>
        <xdr:cNvGrpSpPr>
          <a:grpSpLocks/>
        </xdr:cNvGrpSpPr>
      </xdr:nvGrpSpPr>
      <xdr:grpSpPr bwMode="auto">
        <a:xfrm>
          <a:off x="5724525" y="1273175"/>
          <a:ext cx="0" cy="393700"/>
          <a:chOff x="632" y="220"/>
          <a:chExt cx="195" cy="136"/>
        </a:xfrm>
      </xdr:grpSpPr>
      <xdr:sp macro="" textlink="">
        <xdr:nvSpPr>
          <xdr:cNvPr id="1211340" name="Rectangle 138">
            <a:extLst>
              <a:ext uri="{FF2B5EF4-FFF2-40B4-BE49-F238E27FC236}">
                <a16:creationId xmlns:a16="http://schemas.microsoft.com/office/drawing/2014/main" id="{00000000-0008-0000-0500-0000CC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41" name="Rectangle 139">
            <a:extLst>
              <a:ext uri="{FF2B5EF4-FFF2-40B4-BE49-F238E27FC236}">
                <a16:creationId xmlns:a16="http://schemas.microsoft.com/office/drawing/2014/main" id="{00000000-0008-0000-0500-0000CD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42" name="Rectangle 140">
            <a:extLst>
              <a:ext uri="{FF2B5EF4-FFF2-40B4-BE49-F238E27FC236}">
                <a16:creationId xmlns:a16="http://schemas.microsoft.com/office/drawing/2014/main" id="{00000000-0008-0000-0500-0000CE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43" name="Rectangle 141">
            <a:extLst>
              <a:ext uri="{FF2B5EF4-FFF2-40B4-BE49-F238E27FC236}">
                <a16:creationId xmlns:a16="http://schemas.microsoft.com/office/drawing/2014/main" id="{00000000-0008-0000-0500-0000CF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44" name="Line 142">
            <a:extLst>
              <a:ext uri="{FF2B5EF4-FFF2-40B4-BE49-F238E27FC236}">
                <a16:creationId xmlns:a16="http://schemas.microsoft.com/office/drawing/2014/main" id="{00000000-0008-0000-0500-0000D0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45" name="Line 143">
            <a:extLst>
              <a:ext uri="{FF2B5EF4-FFF2-40B4-BE49-F238E27FC236}">
                <a16:creationId xmlns:a16="http://schemas.microsoft.com/office/drawing/2014/main" id="{00000000-0008-0000-0500-0000D1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46" name="Line 144">
            <a:extLst>
              <a:ext uri="{FF2B5EF4-FFF2-40B4-BE49-F238E27FC236}">
                <a16:creationId xmlns:a16="http://schemas.microsoft.com/office/drawing/2014/main" id="{00000000-0008-0000-0500-0000D2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400" name="Group 145">
          <a:extLst>
            <a:ext uri="{FF2B5EF4-FFF2-40B4-BE49-F238E27FC236}">
              <a16:creationId xmlns:a16="http://schemas.microsoft.com/office/drawing/2014/main" id="{00000000-0008-0000-0500-000020781200}"/>
            </a:ext>
          </a:extLst>
        </xdr:cNvPr>
        <xdr:cNvGrpSpPr>
          <a:grpSpLocks/>
        </xdr:cNvGrpSpPr>
      </xdr:nvGrpSpPr>
      <xdr:grpSpPr bwMode="auto">
        <a:xfrm>
          <a:off x="5724525" y="1273175"/>
          <a:ext cx="0" cy="393700"/>
          <a:chOff x="632" y="220"/>
          <a:chExt cx="195" cy="136"/>
        </a:xfrm>
      </xdr:grpSpPr>
      <xdr:sp macro="" textlink="">
        <xdr:nvSpPr>
          <xdr:cNvPr id="1211333" name="Rectangle 146">
            <a:extLst>
              <a:ext uri="{FF2B5EF4-FFF2-40B4-BE49-F238E27FC236}">
                <a16:creationId xmlns:a16="http://schemas.microsoft.com/office/drawing/2014/main" id="{00000000-0008-0000-0500-0000C5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34" name="Rectangle 147">
            <a:extLst>
              <a:ext uri="{FF2B5EF4-FFF2-40B4-BE49-F238E27FC236}">
                <a16:creationId xmlns:a16="http://schemas.microsoft.com/office/drawing/2014/main" id="{00000000-0008-0000-0500-0000C6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35" name="Rectangle 148">
            <a:extLst>
              <a:ext uri="{FF2B5EF4-FFF2-40B4-BE49-F238E27FC236}">
                <a16:creationId xmlns:a16="http://schemas.microsoft.com/office/drawing/2014/main" id="{00000000-0008-0000-0500-0000C7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36" name="Rectangle 149">
            <a:extLst>
              <a:ext uri="{FF2B5EF4-FFF2-40B4-BE49-F238E27FC236}">
                <a16:creationId xmlns:a16="http://schemas.microsoft.com/office/drawing/2014/main" id="{00000000-0008-0000-0500-0000C8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37" name="Line 150">
            <a:extLst>
              <a:ext uri="{FF2B5EF4-FFF2-40B4-BE49-F238E27FC236}">
                <a16:creationId xmlns:a16="http://schemas.microsoft.com/office/drawing/2014/main" id="{00000000-0008-0000-0500-0000C9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38" name="Line 151">
            <a:extLst>
              <a:ext uri="{FF2B5EF4-FFF2-40B4-BE49-F238E27FC236}">
                <a16:creationId xmlns:a16="http://schemas.microsoft.com/office/drawing/2014/main" id="{00000000-0008-0000-0500-0000CA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39" name="Line 152">
            <a:extLst>
              <a:ext uri="{FF2B5EF4-FFF2-40B4-BE49-F238E27FC236}">
                <a16:creationId xmlns:a16="http://schemas.microsoft.com/office/drawing/2014/main" id="{00000000-0008-0000-0500-0000CB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401" name="Group 153">
          <a:extLst>
            <a:ext uri="{FF2B5EF4-FFF2-40B4-BE49-F238E27FC236}">
              <a16:creationId xmlns:a16="http://schemas.microsoft.com/office/drawing/2014/main" id="{00000000-0008-0000-0500-000021781200}"/>
            </a:ext>
          </a:extLst>
        </xdr:cNvPr>
        <xdr:cNvGrpSpPr>
          <a:grpSpLocks/>
        </xdr:cNvGrpSpPr>
      </xdr:nvGrpSpPr>
      <xdr:grpSpPr bwMode="auto">
        <a:xfrm>
          <a:off x="5724525" y="1273175"/>
          <a:ext cx="0" cy="393700"/>
          <a:chOff x="632" y="220"/>
          <a:chExt cx="195" cy="136"/>
        </a:xfrm>
      </xdr:grpSpPr>
      <xdr:sp macro="" textlink="">
        <xdr:nvSpPr>
          <xdr:cNvPr id="1211326" name="Rectangle 154">
            <a:extLst>
              <a:ext uri="{FF2B5EF4-FFF2-40B4-BE49-F238E27FC236}">
                <a16:creationId xmlns:a16="http://schemas.microsoft.com/office/drawing/2014/main" id="{00000000-0008-0000-0500-0000BE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27" name="Rectangle 155">
            <a:extLst>
              <a:ext uri="{FF2B5EF4-FFF2-40B4-BE49-F238E27FC236}">
                <a16:creationId xmlns:a16="http://schemas.microsoft.com/office/drawing/2014/main" id="{00000000-0008-0000-0500-0000BF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28" name="Rectangle 156">
            <a:extLst>
              <a:ext uri="{FF2B5EF4-FFF2-40B4-BE49-F238E27FC236}">
                <a16:creationId xmlns:a16="http://schemas.microsoft.com/office/drawing/2014/main" id="{00000000-0008-0000-0500-0000C0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29" name="Rectangle 157">
            <a:extLst>
              <a:ext uri="{FF2B5EF4-FFF2-40B4-BE49-F238E27FC236}">
                <a16:creationId xmlns:a16="http://schemas.microsoft.com/office/drawing/2014/main" id="{00000000-0008-0000-0500-0000C1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30" name="Line 158">
            <a:extLst>
              <a:ext uri="{FF2B5EF4-FFF2-40B4-BE49-F238E27FC236}">
                <a16:creationId xmlns:a16="http://schemas.microsoft.com/office/drawing/2014/main" id="{00000000-0008-0000-0500-0000C2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31" name="Line 159">
            <a:extLst>
              <a:ext uri="{FF2B5EF4-FFF2-40B4-BE49-F238E27FC236}">
                <a16:creationId xmlns:a16="http://schemas.microsoft.com/office/drawing/2014/main" id="{00000000-0008-0000-0500-0000C3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32" name="Line 160">
            <a:extLst>
              <a:ext uri="{FF2B5EF4-FFF2-40B4-BE49-F238E27FC236}">
                <a16:creationId xmlns:a16="http://schemas.microsoft.com/office/drawing/2014/main" id="{00000000-0008-0000-0500-0000C4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402" name="Group 161">
          <a:extLst>
            <a:ext uri="{FF2B5EF4-FFF2-40B4-BE49-F238E27FC236}">
              <a16:creationId xmlns:a16="http://schemas.microsoft.com/office/drawing/2014/main" id="{00000000-0008-0000-0500-000022781200}"/>
            </a:ext>
          </a:extLst>
        </xdr:cNvPr>
        <xdr:cNvGrpSpPr>
          <a:grpSpLocks/>
        </xdr:cNvGrpSpPr>
      </xdr:nvGrpSpPr>
      <xdr:grpSpPr bwMode="auto">
        <a:xfrm>
          <a:off x="5724525" y="1273175"/>
          <a:ext cx="0" cy="393700"/>
          <a:chOff x="632" y="220"/>
          <a:chExt cx="195" cy="136"/>
        </a:xfrm>
      </xdr:grpSpPr>
      <xdr:sp macro="" textlink="">
        <xdr:nvSpPr>
          <xdr:cNvPr id="1211319" name="Rectangle 162">
            <a:extLst>
              <a:ext uri="{FF2B5EF4-FFF2-40B4-BE49-F238E27FC236}">
                <a16:creationId xmlns:a16="http://schemas.microsoft.com/office/drawing/2014/main" id="{00000000-0008-0000-0500-0000B7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20" name="Rectangle 163">
            <a:extLst>
              <a:ext uri="{FF2B5EF4-FFF2-40B4-BE49-F238E27FC236}">
                <a16:creationId xmlns:a16="http://schemas.microsoft.com/office/drawing/2014/main" id="{00000000-0008-0000-0500-0000B8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21" name="Rectangle 164">
            <a:extLst>
              <a:ext uri="{FF2B5EF4-FFF2-40B4-BE49-F238E27FC236}">
                <a16:creationId xmlns:a16="http://schemas.microsoft.com/office/drawing/2014/main" id="{00000000-0008-0000-0500-0000B9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22" name="Rectangle 165">
            <a:extLst>
              <a:ext uri="{FF2B5EF4-FFF2-40B4-BE49-F238E27FC236}">
                <a16:creationId xmlns:a16="http://schemas.microsoft.com/office/drawing/2014/main" id="{00000000-0008-0000-0500-0000BA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23" name="Line 166">
            <a:extLst>
              <a:ext uri="{FF2B5EF4-FFF2-40B4-BE49-F238E27FC236}">
                <a16:creationId xmlns:a16="http://schemas.microsoft.com/office/drawing/2014/main" id="{00000000-0008-0000-0500-0000BB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24" name="Line 167">
            <a:extLst>
              <a:ext uri="{FF2B5EF4-FFF2-40B4-BE49-F238E27FC236}">
                <a16:creationId xmlns:a16="http://schemas.microsoft.com/office/drawing/2014/main" id="{00000000-0008-0000-0500-0000BC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25" name="Line 168">
            <a:extLst>
              <a:ext uri="{FF2B5EF4-FFF2-40B4-BE49-F238E27FC236}">
                <a16:creationId xmlns:a16="http://schemas.microsoft.com/office/drawing/2014/main" id="{00000000-0008-0000-0500-0000BD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403" name="Group 169">
          <a:extLst>
            <a:ext uri="{FF2B5EF4-FFF2-40B4-BE49-F238E27FC236}">
              <a16:creationId xmlns:a16="http://schemas.microsoft.com/office/drawing/2014/main" id="{00000000-0008-0000-0500-000023781200}"/>
            </a:ext>
          </a:extLst>
        </xdr:cNvPr>
        <xdr:cNvGrpSpPr>
          <a:grpSpLocks/>
        </xdr:cNvGrpSpPr>
      </xdr:nvGrpSpPr>
      <xdr:grpSpPr bwMode="auto">
        <a:xfrm>
          <a:off x="5724525" y="1273175"/>
          <a:ext cx="0" cy="393700"/>
          <a:chOff x="632" y="220"/>
          <a:chExt cx="195" cy="136"/>
        </a:xfrm>
      </xdr:grpSpPr>
      <xdr:sp macro="" textlink="">
        <xdr:nvSpPr>
          <xdr:cNvPr id="1211312" name="Rectangle 170">
            <a:extLst>
              <a:ext uri="{FF2B5EF4-FFF2-40B4-BE49-F238E27FC236}">
                <a16:creationId xmlns:a16="http://schemas.microsoft.com/office/drawing/2014/main" id="{00000000-0008-0000-0500-0000B0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13" name="Rectangle 171">
            <a:extLst>
              <a:ext uri="{FF2B5EF4-FFF2-40B4-BE49-F238E27FC236}">
                <a16:creationId xmlns:a16="http://schemas.microsoft.com/office/drawing/2014/main" id="{00000000-0008-0000-0500-0000B1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14" name="Rectangle 172">
            <a:extLst>
              <a:ext uri="{FF2B5EF4-FFF2-40B4-BE49-F238E27FC236}">
                <a16:creationId xmlns:a16="http://schemas.microsoft.com/office/drawing/2014/main" id="{00000000-0008-0000-0500-0000B2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15" name="Rectangle 173">
            <a:extLst>
              <a:ext uri="{FF2B5EF4-FFF2-40B4-BE49-F238E27FC236}">
                <a16:creationId xmlns:a16="http://schemas.microsoft.com/office/drawing/2014/main" id="{00000000-0008-0000-0500-0000B3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16" name="Line 174">
            <a:extLst>
              <a:ext uri="{FF2B5EF4-FFF2-40B4-BE49-F238E27FC236}">
                <a16:creationId xmlns:a16="http://schemas.microsoft.com/office/drawing/2014/main" id="{00000000-0008-0000-0500-0000B4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17" name="Line 175">
            <a:extLst>
              <a:ext uri="{FF2B5EF4-FFF2-40B4-BE49-F238E27FC236}">
                <a16:creationId xmlns:a16="http://schemas.microsoft.com/office/drawing/2014/main" id="{00000000-0008-0000-0500-0000B5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18" name="Line 176">
            <a:extLst>
              <a:ext uri="{FF2B5EF4-FFF2-40B4-BE49-F238E27FC236}">
                <a16:creationId xmlns:a16="http://schemas.microsoft.com/office/drawing/2014/main" id="{00000000-0008-0000-0500-0000B6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404" name="Group 177">
          <a:extLst>
            <a:ext uri="{FF2B5EF4-FFF2-40B4-BE49-F238E27FC236}">
              <a16:creationId xmlns:a16="http://schemas.microsoft.com/office/drawing/2014/main" id="{00000000-0008-0000-0500-000024781200}"/>
            </a:ext>
          </a:extLst>
        </xdr:cNvPr>
        <xdr:cNvGrpSpPr>
          <a:grpSpLocks/>
        </xdr:cNvGrpSpPr>
      </xdr:nvGrpSpPr>
      <xdr:grpSpPr bwMode="auto">
        <a:xfrm>
          <a:off x="5724525" y="1273175"/>
          <a:ext cx="0" cy="393700"/>
          <a:chOff x="632" y="220"/>
          <a:chExt cx="195" cy="136"/>
        </a:xfrm>
      </xdr:grpSpPr>
      <xdr:sp macro="" textlink="">
        <xdr:nvSpPr>
          <xdr:cNvPr id="1211305" name="Rectangle 178">
            <a:extLst>
              <a:ext uri="{FF2B5EF4-FFF2-40B4-BE49-F238E27FC236}">
                <a16:creationId xmlns:a16="http://schemas.microsoft.com/office/drawing/2014/main" id="{00000000-0008-0000-0500-0000A9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06" name="Rectangle 179">
            <a:extLst>
              <a:ext uri="{FF2B5EF4-FFF2-40B4-BE49-F238E27FC236}">
                <a16:creationId xmlns:a16="http://schemas.microsoft.com/office/drawing/2014/main" id="{00000000-0008-0000-0500-0000AA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07" name="Rectangle 180">
            <a:extLst>
              <a:ext uri="{FF2B5EF4-FFF2-40B4-BE49-F238E27FC236}">
                <a16:creationId xmlns:a16="http://schemas.microsoft.com/office/drawing/2014/main" id="{00000000-0008-0000-0500-0000AB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08" name="Rectangle 181">
            <a:extLst>
              <a:ext uri="{FF2B5EF4-FFF2-40B4-BE49-F238E27FC236}">
                <a16:creationId xmlns:a16="http://schemas.microsoft.com/office/drawing/2014/main" id="{00000000-0008-0000-0500-0000AC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09" name="Line 182">
            <a:extLst>
              <a:ext uri="{FF2B5EF4-FFF2-40B4-BE49-F238E27FC236}">
                <a16:creationId xmlns:a16="http://schemas.microsoft.com/office/drawing/2014/main" id="{00000000-0008-0000-0500-0000AD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10" name="Line 183">
            <a:extLst>
              <a:ext uri="{FF2B5EF4-FFF2-40B4-BE49-F238E27FC236}">
                <a16:creationId xmlns:a16="http://schemas.microsoft.com/office/drawing/2014/main" id="{00000000-0008-0000-0500-0000AE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11" name="Line 184">
            <a:extLst>
              <a:ext uri="{FF2B5EF4-FFF2-40B4-BE49-F238E27FC236}">
                <a16:creationId xmlns:a16="http://schemas.microsoft.com/office/drawing/2014/main" id="{00000000-0008-0000-0500-0000AF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405" name="Group 185">
          <a:extLst>
            <a:ext uri="{FF2B5EF4-FFF2-40B4-BE49-F238E27FC236}">
              <a16:creationId xmlns:a16="http://schemas.microsoft.com/office/drawing/2014/main" id="{00000000-0008-0000-0500-000025781200}"/>
            </a:ext>
          </a:extLst>
        </xdr:cNvPr>
        <xdr:cNvGrpSpPr>
          <a:grpSpLocks/>
        </xdr:cNvGrpSpPr>
      </xdr:nvGrpSpPr>
      <xdr:grpSpPr bwMode="auto">
        <a:xfrm>
          <a:off x="5724525" y="1273175"/>
          <a:ext cx="0" cy="393700"/>
          <a:chOff x="632" y="220"/>
          <a:chExt cx="195" cy="136"/>
        </a:xfrm>
      </xdr:grpSpPr>
      <xdr:sp macro="" textlink="">
        <xdr:nvSpPr>
          <xdr:cNvPr id="1211298" name="Rectangle 186">
            <a:extLst>
              <a:ext uri="{FF2B5EF4-FFF2-40B4-BE49-F238E27FC236}">
                <a16:creationId xmlns:a16="http://schemas.microsoft.com/office/drawing/2014/main" id="{00000000-0008-0000-0500-0000A2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99" name="Rectangle 187">
            <a:extLst>
              <a:ext uri="{FF2B5EF4-FFF2-40B4-BE49-F238E27FC236}">
                <a16:creationId xmlns:a16="http://schemas.microsoft.com/office/drawing/2014/main" id="{00000000-0008-0000-0500-0000A3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00" name="Rectangle 188">
            <a:extLst>
              <a:ext uri="{FF2B5EF4-FFF2-40B4-BE49-F238E27FC236}">
                <a16:creationId xmlns:a16="http://schemas.microsoft.com/office/drawing/2014/main" id="{00000000-0008-0000-0500-0000A4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01" name="Rectangle 189">
            <a:extLst>
              <a:ext uri="{FF2B5EF4-FFF2-40B4-BE49-F238E27FC236}">
                <a16:creationId xmlns:a16="http://schemas.microsoft.com/office/drawing/2014/main" id="{00000000-0008-0000-0500-0000A5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02" name="Line 190">
            <a:extLst>
              <a:ext uri="{FF2B5EF4-FFF2-40B4-BE49-F238E27FC236}">
                <a16:creationId xmlns:a16="http://schemas.microsoft.com/office/drawing/2014/main" id="{00000000-0008-0000-0500-0000A6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03" name="Line 191">
            <a:extLst>
              <a:ext uri="{FF2B5EF4-FFF2-40B4-BE49-F238E27FC236}">
                <a16:creationId xmlns:a16="http://schemas.microsoft.com/office/drawing/2014/main" id="{00000000-0008-0000-0500-0000A7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04" name="Line 192">
            <a:extLst>
              <a:ext uri="{FF2B5EF4-FFF2-40B4-BE49-F238E27FC236}">
                <a16:creationId xmlns:a16="http://schemas.microsoft.com/office/drawing/2014/main" id="{00000000-0008-0000-0500-0000A8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406" name="Group 193">
          <a:extLst>
            <a:ext uri="{FF2B5EF4-FFF2-40B4-BE49-F238E27FC236}">
              <a16:creationId xmlns:a16="http://schemas.microsoft.com/office/drawing/2014/main" id="{00000000-0008-0000-0500-000026781200}"/>
            </a:ext>
          </a:extLst>
        </xdr:cNvPr>
        <xdr:cNvGrpSpPr>
          <a:grpSpLocks/>
        </xdr:cNvGrpSpPr>
      </xdr:nvGrpSpPr>
      <xdr:grpSpPr bwMode="auto">
        <a:xfrm>
          <a:off x="5724525" y="1273175"/>
          <a:ext cx="0" cy="393700"/>
          <a:chOff x="632" y="220"/>
          <a:chExt cx="195" cy="136"/>
        </a:xfrm>
      </xdr:grpSpPr>
      <xdr:sp macro="" textlink="">
        <xdr:nvSpPr>
          <xdr:cNvPr id="1211291" name="Rectangle 194">
            <a:extLst>
              <a:ext uri="{FF2B5EF4-FFF2-40B4-BE49-F238E27FC236}">
                <a16:creationId xmlns:a16="http://schemas.microsoft.com/office/drawing/2014/main" id="{00000000-0008-0000-0500-00009B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92" name="Rectangle 195">
            <a:extLst>
              <a:ext uri="{FF2B5EF4-FFF2-40B4-BE49-F238E27FC236}">
                <a16:creationId xmlns:a16="http://schemas.microsoft.com/office/drawing/2014/main" id="{00000000-0008-0000-0500-00009C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93" name="Rectangle 196">
            <a:extLst>
              <a:ext uri="{FF2B5EF4-FFF2-40B4-BE49-F238E27FC236}">
                <a16:creationId xmlns:a16="http://schemas.microsoft.com/office/drawing/2014/main" id="{00000000-0008-0000-0500-00009D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94" name="Rectangle 197">
            <a:extLst>
              <a:ext uri="{FF2B5EF4-FFF2-40B4-BE49-F238E27FC236}">
                <a16:creationId xmlns:a16="http://schemas.microsoft.com/office/drawing/2014/main" id="{00000000-0008-0000-0500-00009E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95" name="Line 198">
            <a:extLst>
              <a:ext uri="{FF2B5EF4-FFF2-40B4-BE49-F238E27FC236}">
                <a16:creationId xmlns:a16="http://schemas.microsoft.com/office/drawing/2014/main" id="{00000000-0008-0000-0500-00009F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96" name="Line 199">
            <a:extLst>
              <a:ext uri="{FF2B5EF4-FFF2-40B4-BE49-F238E27FC236}">
                <a16:creationId xmlns:a16="http://schemas.microsoft.com/office/drawing/2014/main" id="{00000000-0008-0000-0500-0000A0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97" name="Line 200">
            <a:extLst>
              <a:ext uri="{FF2B5EF4-FFF2-40B4-BE49-F238E27FC236}">
                <a16:creationId xmlns:a16="http://schemas.microsoft.com/office/drawing/2014/main" id="{00000000-0008-0000-0500-0000A1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407" name="Group 201">
          <a:extLst>
            <a:ext uri="{FF2B5EF4-FFF2-40B4-BE49-F238E27FC236}">
              <a16:creationId xmlns:a16="http://schemas.microsoft.com/office/drawing/2014/main" id="{00000000-0008-0000-0500-000027781200}"/>
            </a:ext>
          </a:extLst>
        </xdr:cNvPr>
        <xdr:cNvGrpSpPr>
          <a:grpSpLocks/>
        </xdr:cNvGrpSpPr>
      </xdr:nvGrpSpPr>
      <xdr:grpSpPr bwMode="auto">
        <a:xfrm>
          <a:off x="5724525" y="1273175"/>
          <a:ext cx="0" cy="393700"/>
          <a:chOff x="632" y="220"/>
          <a:chExt cx="195" cy="136"/>
        </a:xfrm>
      </xdr:grpSpPr>
      <xdr:sp macro="" textlink="">
        <xdr:nvSpPr>
          <xdr:cNvPr id="1211284" name="Rectangle 202">
            <a:extLst>
              <a:ext uri="{FF2B5EF4-FFF2-40B4-BE49-F238E27FC236}">
                <a16:creationId xmlns:a16="http://schemas.microsoft.com/office/drawing/2014/main" id="{00000000-0008-0000-0500-000094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85" name="Rectangle 203">
            <a:extLst>
              <a:ext uri="{FF2B5EF4-FFF2-40B4-BE49-F238E27FC236}">
                <a16:creationId xmlns:a16="http://schemas.microsoft.com/office/drawing/2014/main" id="{00000000-0008-0000-0500-000095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86" name="Rectangle 204">
            <a:extLst>
              <a:ext uri="{FF2B5EF4-FFF2-40B4-BE49-F238E27FC236}">
                <a16:creationId xmlns:a16="http://schemas.microsoft.com/office/drawing/2014/main" id="{00000000-0008-0000-0500-000096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87" name="Rectangle 205">
            <a:extLst>
              <a:ext uri="{FF2B5EF4-FFF2-40B4-BE49-F238E27FC236}">
                <a16:creationId xmlns:a16="http://schemas.microsoft.com/office/drawing/2014/main" id="{00000000-0008-0000-0500-000097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88" name="Line 206">
            <a:extLst>
              <a:ext uri="{FF2B5EF4-FFF2-40B4-BE49-F238E27FC236}">
                <a16:creationId xmlns:a16="http://schemas.microsoft.com/office/drawing/2014/main" id="{00000000-0008-0000-0500-000098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89" name="Line 207">
            <a:extLst>
              <a:ext uri="{FF2B5EF4-FFF2-40B4-BE49-F238E27FC236}">
                <a16:creationId xmlns:a16="http://schemas.microsoft.com/office/drawing/2014/main" id="{00000000-0008-0000-0500-000099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90" name="Line 208">
            <a:extLst>
              <a:ext uri="{FF2B5EF4-FFF2-40B4-BE49-F238E27FC236}">
                <a16:creationId xmlns:a16="http://schemas.microsoft.com/office/drawing/2014/main" id="{00000000-0008-0000-0500-00009A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408" name="Group 209">
          <a:extLst>
            <a:ext uri="{FF2B5EF4-FFF2-40B4-BE49-F238E27FC236}">
              <a16:creationId xmlns:a16="http://schemas.microsoft.com/office/drawing/2014/main" id="{00000000-0008-0000-0500-000028781200}"/>
            </a:ext>
          </a:extLst>
        </xdr:cNvPr>
        <xdr:cNvGrpSpPr>
          <a:grpSpLocks/>
        </xdr:cNvGrpSpPr>
      </xdr:nvGrpSpPr>
      <xdr:grpSpPr bwMode="auto">
        <a:xfrm>
          <a:off x="5724525" y="1273175"/>
          <a:ext cx="0" cy="393700"/>
          <a:chOff x="632" y="220"/>
          <a:chExt cx="195" cy="136"/>
        </a:xfrm>
      </xdr:grpSpPr>
      <xdr:sp macro="" textlink="">
        <xdr:nvSpPr>
          <xdr:cNvPr id="1211277" name="Rectangle 210">
            <a:extLst>
              <a:ext uri="{FF2B5EF4-FFF2-40B4-BE49-F238E27FC236}">
                <a16:creationId xmlns:a16="http://schemas.microsoft.com/office/drawing/2014/main" id="{00000000-0008-0000-0500-00008D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78" name="Rectangle 211">
            <a:extLst>
              <a:ext uri="{FF2B5EF4-FFF2-40B4-BE49-F238E27FC236}">
                <a16:creationId xmlns:a16="http://schemas.microsoft.com/office/drawing/2014/main" id="{00000000-0008-0000-0500-00008E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79" name="Rectangle 212">
            <a:extLst>
              <a:ext uri="{FF2B5EF4-FFF2-40B4-BE49-F238E27FC236}">
                <a16:creationId xmlns:a16="http://schemas.microsoft.com/office/drawing/2014/main" id="{00000000-0008-0000-0500-00008F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80" name="Rectangle 213">
            <a:extLst>
              <a:ext uri="{FF2B5EF4-FFF2-40B4-BE49-F238E27FC236}">
                <a16:creationId xmlns:a16="http://schemas.microsoft.com/office/drawing/2014/main" id="{00000000-0008-0000-0500-000090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81" name="Line 214">
            <a:extLst>
              <a:ext uri="{FF2B5EF4-FFF2-40B4-BE49-F238E27FC236}">
                <a16:creationId xmlns:a16="http://schemas.microsoft.com/office/drawing/2014/main" id="{00000000-0008-0000-0500-000091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82" name="Line 215">
            <a:extLst>
              <a:ext uri="{FF2B5EF4-FFF2-40B4-BE49-F238E27FC236}">
                <a16:creationId xmlns:a16="http://schemas.microsoft.com/office/drawing/2014/main" id="{00000000-0008-0000-0500-000092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83" name="Line 216">
            <a:extLst>
              <a:ext uri="{FF2B5EF4-FFF2-40B4-BE49-F238E27FC236}">
                <a16:creationId xmlns:a16="http://schemas.microsoft.com/office/drawing/2014/main" id="{00000000-0008-0000-0500-000093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409" name="Group 217">
          <a:extLst>
            <a:ext uri="{FF2B5EF4-FFF2-40B4-BE49-F238E27FC236}">
              <a16:creationId xmlns:a16="http://schemas.microsoft.com/office/drawing/2014/main" id="{00000000-0008-0000-0500-000029781200}"/>
            </a:ext>
          </a:extLst>
        </xdr:cNvPr>
        <xdr:cNvGrpSpPr>
          <a:grpSpLocks/>
        </xdr:cNvGrpSpPr>
      </xdr:nvGrpSpPr>
      <xdr:grpSpPr bwMode="auto">
        <a:xfrm>
          <a:off x="5724525" y="1273175"/>
          <a:ext cx="0" cy="393700"/>
          <a:chOff x="632" y="220"/>
          <a:chExt cx="195" cy="136"/>
        </a:xfrm>
      </xdr:grpSpPr>
      <xdr:sp macro="" textlink="">
        <xdr:nvSpPr>
          <xdr:cNvPr id="1211270" name="Rectangle 218">
            <a:extLst>
              <a:ext uri="{FF2B5EF4-FFF2-40B4-BE49-F238E27FC236}">
                <a16:creationId xmlns:a16="http://schemas.microsoft.com/office/drawing/2014/main" id="{00000000-0008-0000-0500-000086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71" name="Rectangle 219">
            <a:extLst>
              <a:ext uri="{FF2B5EF4-FFF2-40B4-BE49-F238E27FC236}">
                <a16:creationId xmlns:a16="http://schemas.microsoft.com/office/drawing/2014/main" id="{00000000-0008-0000-0500-000087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72" name="Rectangle 220">
            <a:extLst>
              <a:ext uri="{FF2B5EF4-FFF2-40B4-BE49-F238E27FC236}">
                <a16:creationId xmlns:a16="http://schemas.microsoft.com/office/drawing/2014/main" id="{00000000-0008-0000-0500-000088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73" name="Rectangle 221">
            <a:extLst>
              <a:ext uri="{FF2B5EF4-FFF2-40B4-BE49-F238E27FC236}">
                <a16:creationId xmlns:a16="http://schemas.microsoft.com/office/drawing/2014/main" id="{00000000-0008-0000-0500-000089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74" name="Line 222">
            <a:extLst>
              <a:ext uri="{FF2B5EF4-FFF2-40B4-BE49-F238E27FC236}">
                <a16:creationId xmlns:a16="http://schemas.microsoft.com/office/drawing/2014/main" id="{00000000-0008-0000-0500-00008A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75" name="Line 223">
            <a:extLst>
              <a:ext uri="{FF2B5EF4-FFF2-40B4-BE49-F238E27FC236}">
                <a16:creationId xmlns:a16="http://schemas.microsoft.com/office/drawing/2014/main" id="{00000000-0008-0000-0500-00008B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76" name="Line 224">
            <a:extLst>
              <a:ext uri="{FF2B5EF4-FFF2-40B4-BE49-F238E27FC236}">
                <a16:creationId xmlns:a16="http://schemas.microsoft.com/office/drawing/2014/main" id="{00000000-0008-0000-0500-00008C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410" name="Group 225">
          <a:extLst>
            <a:ext uri="{FF2B5EF4-FFF2-40B4-BE49-F238E27FC236}">
              <a16:creationId xmlns:a16="http://schemas.microsoft.com/office/drawing/2014/main" id="{00000000-0008-0000-0500-00002A781200}"/>
            </a:ext>
          </a:extLst>
        </xdr:cNvPr>
        <xdr:cNvGrpSpPr>
          <a:grpSpLocks/>
        </xdr:cNvGrpSpPr>
      </xdr:nvGrpSpPr>
      <xdr:grpSpPr bwMode="auto">
        <a:xfrm>
          <a:off x="5724525" y="1273175"/>
          <a:ext cx="0" cy="393700"/>
          <a:chOff x="632" y="220"/>
          <a:chExt cx="195" cy="136"/>
        </a:xfrm>
      </xdr:grpSpPr>
      <xdr:sp macro="" textlink="">
        <xdr:nvSpPr>
          <xdr:cNvPr id="1211263" name="Rectangle 226">
            <a:extLst>
              <a:ext uri="{FF2B5EF4-FFF2-40B4-BE49-F238E27FC236}">
                <a16:creationId xmlns:a16="http://schemas.microsoft.com/office/drawing/2014/main" id="{00000000-0008-0000-0500-00007F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64" name="Rectangle 227">
            <a:extLst>
              <a:ext uri="{FF2B5EF4-FFF2-40B4-BE49-F238E27FC236}">
                <a16:creationId xmlns:a16="http://schemas.microsoft.com/office/drawing/2014/main" id="{00000000-0008-0000-0500-000080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65" name="Rectangle 228">
            <a:extLst>
              <a:ext uri="{FF2B5EF4-FFF2-40B4-BE49-F238E27FC236}">
                <a16:creationId xmlns:a16="http://schemas.microsoft.com/office/drawing/2014/main" id="{00000000-0008-0000-0500-000081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66" name="Rectangle 229">
            <a:extLst>
              <a:ext uri="{FF2B5EF4-FFF2-40B4-BE49-F238E27FC236}">
                <a16:creationId xmlns:a16="http://schemas.microsoft.com/office/drawing/2014/main" id="{00000000-0008-0000-0500-000082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67" name="Line 230">
            <a:extLst>
              <a:ext uri="{FF2B5EF4-FFF2-40B4-BE49-F238E27FC236}">
                <a16:creationId xmlns:a16="http://schemas.microsoft.com/office/drawing/2014/main" id="{00000000-0008-0000-0500-000083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68" name="Line 231">
            <a:extLst>
              <a:ext uri="{FF2B5EF4-FFF2-40B4-BE49-F238E27FC236}">
                <a16:creationId xmlns:a16="http://schemas.microsoft.com/office/drawing/2014/main" id="{00000000-0008-0000-0500-000084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69" name="Line 232">
            <a:extLst>
              <a:ext uri="{FF2B5EF4-FFF2-40B4-BE49-F238E27FC236}">
                <a16:creationId xmlns:a16="http://schemas.microsoft.com/office/drawing/2014/main" id="{00000000-0008-0000-0500-000085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411" name="Group 233">
          <a:extLst>
            <a:ext uri="{FF2B5EF4-FFF2-40B4-BE49-F238E27FC236}">
              <a16:creationId xmlns:a16="http://schemas.microsoft.com/office/drawing/2014/main" id="{00000000-0008-0000-0500-00002B781200}"/>
            </a:ext>
          </a:extLst>
        </xdr:cNvPr>
        <xdr:cNvGrpSpPr>
          <a:grpSpLocks/>
        </xdr:cNvGrpSpPr>
      </xdr:nvGrpSpPr>
      <xdr:grpSpPr bwMode="auto">
        <a:xfrm>
          <a:off x="5724525" y="1273175"/>
          <a:ext cx="0" cy="393700"/>
          <a:chOff x="632" y="220"/>
          <a:chExt cx="195" cy="136"/>
        </a:xfrm>
      </xdr:grpSpPr>
      <xdr:sp macro="" textlink="">
        <xdr:nvSpPr>
          <xdr:cNvPr id="1211256" name="Rectangle 234">
            <a:extLst>
              <a:ext uri="{FF2B5EF4-FFF2-40B4-BE49-F238E27FC236}">
                <a16:creationId xmlns:a16="http://schemas.microsoft.com/office/drawing/2014/main" id="{00000000-0008-0000-0500-000078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57" name="Rectangle 235">
            <a:extLst>
              <a:ext uri="{FF2B5EF4-FFF2-40B4-BE49-F238E27FC236}">
                <a16:creationId xmlns:a16="http://schemas.microsoft.com/office/drawing/2014/main" id="{00000000-0008-0000-0500-000079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58" name="Rectangle 236">
            <a:extLst>
              <a:ext uri="{FF2B5EF4-FFF2-40B4-BE49-F238E27FC236}">
                <a16:creationId xmlns:a16="http://schemas.microsoft.com/office/drawing/2014/main" id="{00000000-0008-0000-0500-00007A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59" name="Rectangle 237">
            <a:extLst>
              <a:ext uri="{FF2B5EF4-FFF2-40B4-BE49-F238E27FC236}">
                <a16:creationId xmlns:a16="http://schemas.microsoft.com/office/drawing/2014/main" id="{00000000-0008-0000-0500-00007B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60" name="Line 238">
            <a:extLst>
              <a:ext uri="{FF2B5EF4-FFF2-40B4-BE49-F238E27FC236}">
                <a16:creationId xmlns:a16="http://schemas.microsoft.com/office/drawing/2014/main" id="{00000000-0008-0000-0500-00007C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61" name="Line 239">
            <a:extLst>
              <a:ext uri="{FF2B5EF4-FFF2-40B4-BE49-F238E27FC236}">
                <a16:creationId xmlns:a16="http://schemas.microsoft.com/office/drawing/2014/main" id="{00000000-0008-0000-0500-00007D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62" name="Line 240">
            <a:extLst>
              <a:ext uri="{FF2B5EF4-FFF2-40B4-BE49-F238E27FC236}">
                <a16:creationId xmlns:a16="http://schemas.microsoft.com/office/drawing/2014/main" id="{00000000-0008-0000-0500-00007E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412" name="Group 241">
          <a:extLst>
            <a:ext uri="{FF2B5EF4-FFF2-40B4-BE49-F238E27FC236}">
              <a16:creationId xmlns:a16="http://schemas.microsoft.com/office/drawing/2014/main" id="{00000000-0008-0000-0500-00002C781200}"/>
            </a:ext>
          </a:extLst>
        </xdr:cNvPr>
        <xdr:cNvGrpSpPr>
          <a:grpSpLocks/>
        </xdr:cNvGrpSpPr>
      </xdr:nvGrpSpPr>
      <xdr:grpSpPr bwMode="auto">
        <a:xfrm>
          <a:off x="5724525" y="1273175"/>
          <a:ext cx="0" cy="393700"/>
          <a:chOff x="632" y="220"/>
          <a:chExt cx="195" cy="136"/>
        </a:xfrm>
      </xdr:grpSpPr>
      <xdr:sp macro="" textlink="">
        <xdr:nvSpPr>
          <xdr:cNvPr id="1211249" name="Rectangle 242">
            <a:extLst>
              <a:ext uri="{FF2B5EF4-FFF2-40B4-BE49-F238E27FC236}">
                <a16:creationId xmlns:a16="http://schemas.microsoft.com/office/drawing/2014/main" id="{00000000-0008-0000-0500-000071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50" name="Rectangle 243">
            <a:extLst>
              <a:ext uri="{FF2B5EF4-FFF2-40B4-BE49-F238E27FC236}">
                <a16:creationId xmlns:a16="http://schemas.microsoft.com/office/drawing/2014/main" id="{00000000-0008-0000-0500-000072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51" name="Rectangle 244">
            <a:extLst>
              <a:ext uri="{FF2B5EF4-FFF2-40B4-BE49-F238E27FC236}">
                <a16:creationId xmlns:a16="http://schemas.microsoft.com/office/drawing/2014/main" id="{00000000-0008-0000-0500-000073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52" name="Rectangle 245">
            <a:extLst>
              <a:ext uri="{FF2B5EF4-FFF2-40B4-BE49-F238E27FC236}">
                <a16:creationId xmlns:a16="http://schemas.microsoft.com/office/drawing/2014/main" id="{00000000-0008-0000-0500-000074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53" name="Line 246">
            <a:extLst>
              <a:ext uri="{FF2B5EF4-FFF2-40B4-BE49-F238E27FC236}">
                <a16:creationId xmlns:a16="http://schemas.microsoft.com/office/drawing/2014/main" id="{00000000-0008-0000-0500-000075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54" name="Line 247">
            <a:extLst>
              <a:ext uri="{FF2B5EF4-FFF2-40B4-BE49-F238E27FC236}">
                <a16:creationId xmlns:a16="http://schemas.microsoft.com/office/drawing/2014/main" id="{00000000-0008-0000-0500-000076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55" name="Line 248">
            <a:extLst>
              <a:ext uri="{FF2B5EF4-FFF2-40B4-BE49-F238E27FC236}">
                <a16:creationId xmlns:a16="http://schemas.microsoft.com/office/drawing/2014/main" id="{00000000-0008-0000-0500-000077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413" name="Group 249">
          <a:extLst>
            <a:ext uri="{FF2B5EF4-FFF2-40B4-BE49-F238E27FC236}">
              <a16:creationId xmlns:a16="http://schemas.microsoft.com/office/drawing/2014/main" id="{00000000-0008-0000-0500-00002D781200}"/>
            </a:ext>
          </a:extLst>
        </xdr:cNvPr>
        <xdr:cNvGrpSpPr>
          <a:grpSpLocks/>
        </xdr:cNvGrpSpPr>
      </xdr:nvGrpSpPr>
      <xdr:grpSpPr bwMode="auto">
        <a:xfrm>
          <a:off x="5724525" y="1273175"/>
          <a:ext cx="0" cy="393700"/>
          <a:chOff x="632" y="220"/>
          <a:chExt cx="195" cy="136"/>
        </a:xfrm>
      </xdr:grpSpPr>
      <xdr:sp macro="" textlink="">
        <xdr:nvSpPr>
          <xdr:cNvPr id="1211242" name="Rectangle 250">
            <a:extLst>
              <a:ext uri="{FF2B5EF4-FFF2-40B4-BE49-F238E27FC236}">
                <a16:creationId xmlns:a16="http://schemas.microsoft.com/office/drawing/2014/main" id="{00000000-0008-0000-0500-00006A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43" name="Rectangle 251">
            <a:extLst>
              <a:ext uri="{FF2B5EF4-FFF2-40B4-BE49-F238E27FC236}">
                <a16:creationId xmlns:a16="http://schemas.microsoft.com/office/drawing/2014/main" id="{00000000-0008-0000-0500-00006B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44" name="Rectangle 252">
            <a:extLst>
              <a:ext uri="{FF2B5EF4-FFF2-40B4-BE49-F238E27FC236}">
                <a16:creationId xmlns:a16="http://schemas.microsoft.com/office/drawing/2014/main" id="{00000000-0008-0000-0500-00006C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45" name="Rectangle 253">
            <a:extLst>
              <a:ext uri="{FF2B5EF4-FFF2-40B4-BE49-F238E27FC236}">
                <a16:creationId xmlns:a16="http://schemas.microsoft.com/office/drawing/2014/main" id="{00000000-0008-0000-0500-00006D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46" name="Line 254">
            <a:extLst>
              <a:ext uri="{FF2B5EF4-FFF2-40B4-BE49-F238E27FC236}">
                <a16:creationId xmlns:a16="http://schemas.microsoft.com/office/drawing/2014/main" id="{00000000-0008-0000-0500-00006E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47" name="Line 255">
            <a:extLst>
              <a:ext uri="{FF2B5EF4-FFF2-40B4-BE49-F238E27FC236}">
                <a16:creationId xmlns:a16="http://schemas.microsoft.com/office/drawing/2014/main" id="{00000000-0008-0000-0500-00006F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48" name="Line 256">
            <a:extLst>
              <a:ext uri="{FF2B5EF4-FFF2-40B4-BE49-F238E27FC236}">
                <a16:creationId xmlns:a16="http://schemas.microsoft.com/office/drawing/2014/main" id="{00000000-0008-0000-0500-000070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414" name="Group 257">
          <a:extLst>
            <a:ext uri="{FF2B5EF4-FFF2-40B4-BE49-F238E27FC236}">
              <a16:creationId xmlns:a16="http://schemas.microsoft.com/office/drawing/2014/main" id="{00000000-0008-0000-0500-00002E781200}"/>
            </a:ext>
          </a:extLst>
        </xdr:cNvPr>
        <xdr:cNvGrpSpPr>
          <a:grpSpLocks/>
        </xdr:cNvGrpSpPr>
      </xdr:nvGrpSpPr>
      <xdr:grpSpPr bwMode="auto">
        <a:xfrm>
          <a:off x="5724525" y="1273175"/>
          <a:ext cx="0" cy="393700"/>
          <a:chOff x="632" y="220"/>
          <a:chExt cx="195" cy="136"/>
        </a:xfrm>
      </xdr:grpSpPr>
      <xdr:sp macro="" textlink="">
        <xdr:nvSpPr>
          <xdr:cNvPr id="1211235" name="Rectangle 258">
            <a:extLst>
              <a:ext uri="{FF2B5EF4-FFF2-40B4-BE49-F238E27FC236}">
                <a16:creationId xmlns:a16="http://schemas.microsoft.com/office/drawing/2014/main" id="{00000000-0008-0000-0500-000063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36" name="Rectangle 259">
            <a:extLst>
              <a:ext uri="{FF2B5EF4-FFF2-40B4-BE49-F238E27FC236}">
                <a16:creationId xmlns:a16="http://schemas.microsoft.com/office/drawing/2014/main" id="{00000000-0008-0000-0500-000064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37" name="Rectangle 260">
            <a:extLst>
              <a:ext uri="{FF2B5EF4-FFF2-40B4-BE49-F238E27FC236}">
                <a16:creationId xmlns:a16="http://schemas.microsoft.com/office/drawing/2014/main" id="{00000000-0008-0000-0500-000065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38" name="Rectangle 261">
            <a:extLst>
              <a:ext uri="{FF2B5EF4-FFF2-40B4-BE49-F238E27FC236}">
                <a16:creationId xmlns:a16="http://schemas.microsoft.com/office/drawing/2014/main" id="{00000000-0008-0000-0500-000066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39" name="Line 262">
            <a:extLst>
              <a:ext uri="{FF2B5EF4-FFF2-40B4-BE49-F238E27FC236}">
                <a16:creationId xmlns:a16="http://schemas.microsoft.com/office/drawing/2014/main" id="{00000000-0008-0000-0500-000067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40" name="Line 263">
            <a:extLst>
              <a:ext uri="{FF2B5EF4-FFF2-40B4-BE49-F238E27FC236}">
                <a16:creationId xmlns:a16="http://schemas.microsoft.com/office/drawing/2014/main" id="{00000000-0008-0000-0500-000068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41" name="Line 264">
            <a:extLst>
              <a:ext uri="{FF2B5EF4-FFF2-40B4-BE49-F238E27FC236}">
                <a16:creationId xmlns:a16="http://schemas.microsoft.com/office/drawing/2014/main" id="{00000000-0008-0000-0500-000069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415" name="Group 265">
          <a:extLst>
            <a:ext uri="{FF2B5EF4-FFF2-40B4-BE49-F238E27FC236}">
              <a16:creationId xmlns:a16="http://schemas.microsoft.com/office/drawing/2014/main" id="{00000000-0008-0000-0500-00002F781200}"/>
            </a:ext>
          </a:extLst>
        </xdr:cNvPr>
        <xdr:cNvGrpSpPr>
          <a:grpSpLocks/>
        </xdr:cNvGrpSpPr>
      </xdr:nvGrpSpPr>
      <xdr:grpSpPr bwMode="auto">
        <a:xfrm>
          <a:off x="5724525" y="1273175"/>
          <a:ext cx="0" cy="393700"/>
          <a:chOff x="632" y="220"/>
          <a:chExt cx="195" cy="136"/>
        </a:xfrm>
      </xdr:grpSpPr>
      <xdr:sp macro="" textlink="">
        <xdr:nvSpPr>
          <xdr:cNvPr id="1211228" name="Rectangle 266">
            <a:extLst>
              <a:ext uri="{FF2B5EF4-FFF2-40B4-BE49-F238E27FC236}">
                <a16:creationId xmlns:a16="http://schemas.microsoft.com/office/drawing/2014/main" id="{00000000-0008-0000-0500-00005C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29" name="Rectangle 267">
            <a:extLst>
              <a:ext uri="{FF2B5EF4-FFF2-40B4-BE49-F238E27FC236}">
                <a16:creationId xmlns:a16="http://schemas.microsoft.com/office/drawing/2014/main" id="{00000000-0008-0000-0500-00005D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30" name="Rectangle 268">
            <a:extLst>
              <a:ext uri="{FF2B5EF4-FFF2-40B4-BE49-F238E27FC236}">
                <a16:creationId xmlns:a16="http://schemas.microsoft.com/office/drawing/2014/main" id="{00000000-0008-0000-0500-00005E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31" name="Rectangle 269">
            <a:extLst>
              <a:ext uri="{FF2B5EF4-FFF2-40B4-BE49-F238E27FC236}">
                <a16:creationId xmlns:a16="http://schemas.microsoft.com/office/drawing/2014/main" id="{00000000-0008-0000-0500-00005F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32" name="Line 270">
            <a:extLst>
              <a:ext uri="{FF2B5EF4-FFF2-40B4-BE49-F238E27FC236}">
                <a16:creationId xmlns:a16="http://schemas.microsoft.com/office/drawing/2014/main" id="{00000000-0008-0000-0500-000060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33" name="Line 271">
            <a:extLst>
              <a:ext uri="{FF2B5EF4-FFF2-40B4-BE49-F238E27FC236}">
                <a16:creationId xmlns:a16="http://schemas.microsoft.com/office/drawing/2014/main" id="{00000000-0008-0000-0500-000061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34" name="Line 272">
            <a:extLst>
              <a:ext uri="{FF2B5EF4-FFF2-40B4-BE49-F238E27FC236}">
                <a16:creationId xmlns:a16="http://schemas.microsoft.com/office/drawing/2014/main" id="{00000000-0008-0000-0500-000062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416" name="Group 273">
          <a:extLst>
            <a:ext uri="{FF2B5EF4-FFF2-40B4-BE49-F238E27FC236}">
              <a16:creationId xmlns:a16="http://schemas.microsoft.com/office/drawing/2014/main" id="{00000000-0008-0000-0500-000030781200}"/>
            </a:ext>
          </a:extLst>
        </xdr:cNvPr>
        <xdr:cNvGrpSpPr>
          <a:grpSpLocks/>
        </xdr:cNvGrpSpPr>
      </xdr:nvGrpSpPr>
      <xdr:grpSpPr bwMode="auto">
        <a:xfrm>
          <a:off x="5724525" y="1273175"/>
          <a:ext cx="0" cy="393700"/>
          <a:chOff x="632" y="220"/>
          <a:chExt cx="195" cy="136"/>
        </a:xfrm>
      </xdr:grpSpPr>
      <xdr:sp macro="" textlink="">
        <xdr:nvSpPr>
          <xdr:cNvPr id="1211221" name="Rectangle 274">
            <a:extLst>
              <a:ext uri="{FF2B5EF4-FFF2-40B4-BE49-F238E27FC236}">
                <a16:creationId xmlns:a16="http://schemas.microsoft.com/office/drawing/2014/main" id="{00000000-0008-0000-0500-000055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22" name="Rectangle 275">
            <a:extLst>
              <a:ext uri="{FF2B5EF4-FFF2-40B4-BE49-F238E27FC236}">
                <a16:creationId xmlns:a16="http://schemas.microsoft.com/office/drawing/2014/main" id="{00000000-0008-0000-0500-000056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23" name="Rectangle 276">
            <a:extLst>
              <a:ext uri="{FF2B5EF4-FFF2-40B4-BE49-F238E27FC236}">
                <a16:creationId xmlns:a16="http://schemas.microsoft.com/office/drawing/2014/main" id="{00000000-0008-0000-0500-000057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24" name="Rectangle 277">
            <a:extLst>
              <a:ext uri="{FF2B5EF4-FFF2-40B4-BE49-F238E27FC236}">
                <a16:creationId xmlns:a16="http://schemas.microsoft.com/office/drawing/2014/main" id="{00000000-0008-0000-0500-000058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25" name="Line 278">
            <a:extLst>
              <a:ext uri="{FF2B5EF4-FFF2-40B4-BE49-F238E27FC236}">
                <a16:creationId xmlns:a16="http://schemas.microsoft.com/office/drawing/2014/main" id="{00000000-0008-0000-0500-000059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26" name="Line 279">
            <a:extLst>
              <a:ext uri="{FF2B5EF4-FFF2-40B4-BE49-F238E27FC236}">
                <a16:creationId xmlns:a16="http://schemas.microsoft.com/office/drawing/2014/main" id="{00000000-0008-0000-0500-00005A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27" name="Line 280">
            <a:extLst>
              <a:ext uri="{FF2B5EF4-FFF2-40B4-BE49-F238E27FC236}">
                <a16:creationId xmlns:a16="http://schemas.microsoft.com/office/drawing/2014/main" id="{00000000-0008-0000-0500-00005B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417" name="Group 281">
          <a:extLst>
            <a:ext uri="{FF2B5EF4-FFF2-40B4-BE49-F238E27FC236}">
              <a16:creationId xmlns:a16="http://schemas.microsoft.com/office/drawing/2014/main" id="{00000000-0008-0000-0500-000031781200}"/>
            </a:ext>
          </a:extLst>
        </xdr:cNvPr>
        <xdr:cNvGrpSpPr>
          <a:grpSpLocks/>
        </xdr:cNvGrpSpPr>
      </xdr:nvGrpSpPr>
      <xdr:grpSpPr bwMode="auto">
        <a:xfrm>
          <a:off x="5724525" y="1273175"/>
          <a:ext cx="0" cy="393700"/>
          <a:chOff x="632" y="220"/>
          <a:chExt cx="195" cy="136"/>
        </a:xfrm>
      </xdr:grpSpPr>
      <xdr:sp macro="" textlink="">
        <xdr:nvSpPr>
          <xdr:cNvPr id="1211214" name="Rectangle 282">
            <a:extLst>
              <a:ext uri="{FF2B5EF4-FFF2-40B4-BE49-F238E27FC236}">
                <a16:creationId xmlns:a16="http://schemas.microsoft.com/office/drawing/2014/main" id="{00000000-0008-0000-0500-00004E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15" name="Rectangle 283">
            <a:extLst>
              <a:ext uri="{FF2B5EF4-FFF2-40B4-BE49-F238E27FC236}">
                <a16:creationId xmlns:a16="http://schemas.microsoft.com/office/drawing/2014/main" id="{00000000-0008-0000-0500-00004F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16" name="Rectangle 284">
            <a:extLst>
              <a:ext uri="{FF2B5EF4-FFF2-40B4-BE49-F238E27FC236}">
                <a16:creationId xmlns:a16="http://schemas.microsoft.com/office/drawing/2014/main" id="{00000000-0008-0000-0500-000050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17" name="Rectangle 285">
            <a:extLst>
              <a:ext uri="{FF2B5EF4-FFF2-40B4-BE49-F238E27FC236}">
                <a16:creationId xmlns:a16="http://schemas.microsoft.com/office/drawing/2014/main" id="{00000000-0008-0000-0500-000051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18" name="Line 286">
            <a:extLst>
              <a:ext uri="{FF2B5EF4-FFF2-40B4-BE49-F238E27FC236}">
                <a16:creationId xmlns:a16="http://schemas.microsoft.com/office/drawing/2014/main" id="{00000000-0008-0000-0500-000052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19" name="Line 287">
            <a:extLst>
              <a:ext uri="{FF2B5EF4-FFF2-40B4-BE49-F238E27FC236}">
                <a16:creationId xmlns:a16="http://schemas.microsoft.com/office/drawing/2014/main" id="{00000000-0008-0000-0500-000053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20" name="Line 288">
            <a:extLst>
              <a:ext uri="{FF2B5EF4-FFF2-40B4-BE49-F238E27FC236}">
                <a16:creationId xmlns:a16="http://schemas.microsoft.com/office/drawing/2014/main" id="{00000000-0008-0000-0500-000054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4</xdr:col>
      <xdr:colOff>0</xdr:colOff>
      <xdr:row>2</xdr:row>
      <xdr:rowOff>165100</xdr:rowOff>
    </xdr:from>
    <xdr:to>
      <xdr:col>4</xdr:col>
      <xdr:colOff>0</xdr:colOff>
      <xdr:row>3</xdr:row>
      <xdr:rowOff>0</xdr:rowOff>
    </xdr:to>
    <xdr:grpSp>
      <xdr:nvGrpSpPr>
        <xdr:cNvPr id="1210418" name="Group 289">
          <a:extLst>
            <a:ext uri="{FF2B5EF4-FFF2-40B4-BE49-F238E27FC236}">
              <a16:creationId xmlns:a16="http://schemas.microsoft.com/office/drawing/2014/main" id="{00000000-0008-0000-0500-000032781200}"/>
            </a:ext>
          </a:extLst>
        </xdr:cNvPr>
        <xdr:cNvGrpSpPr>
          <a:grpSpLocks/>
        </xdr:cNvGrpSpPr>
      </xdr:nvGrpSpPr>
      <xdr:grpSpPr bwMode="auto">
        <a:xfrm>
          <a:off x="3857625" y="1260475"/>
          <a:ext cx="0" cy="406400"/>
          <a:chOff x="220" y="176"/>
          <a:chExt cx="556" cy="247"/>
        </a:xfrm>
      </xdr:grpSpPr>
      <xdr:sp macro="" textlink="">
        <xdr:nvSpPr>
          <xdr:cNvPr id="1211191" name="Rectangle 290">
            <a:extLst>
              <a:ext uri="{FF2B5EF4-FFF2-40B4-BE49-F238E27FC236}">
                <a16:creationId xmlns:a16="http://schemas.microsoft.com/office/drawing/2014/main" id="{00000000-0008-0000-0500-0000377B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92" name="Line 291">
            <a:extLst>
              <a:ext uri="{FF2B5EF4-FFF2-40B4-BE49-F238E27FC236}">
                <a16:creationId xmlns:a16="http://schemas.microsoft.com/office/drawing/2014/main" id="{00000000-0008-0000-0500-0000387B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93" name="Line 292">
            <a:extLst>
              <a:ext uri="{FF2B5EF4-FFF2-40B4-BE49-F238E27FC236}">
                <a16:creationId xmlns:a16="http://schemas.microsoft.com/office/drawing/2014/main" id="{00000000-0008-0000-0500-0000397B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94" name="Rectangle 293">
            <a:extLst>
              <a:ext uri="{FF2B5EF4-FFF2-40B4-BE49-F238E27FC236}">
                <a16:creationId xmlns:a16="http://schemas.microsoft.com/office/drawing/2014/main" id="{00000000-0008-0000-0500-00003A7B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95" name="Oval 294">
            <a:extLst>
              <a:ext uri="{FF2B5EF4-FFF2-40B4-BE49-F238E27FC236}">
                <a16:creationId xmlns:a16="http://schemas.microsoft.com/office/drawing/2014/main" id="{00000000-0008-0000-0500-00003B7B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96" name="Oval 295">
            <a:extLst>
              <a:ext uri="{FF2B5EF4-FFF2-40B4-BE49-F238E27FC236}">
                <a16:creationId xmlns:a16="http://schemas.microsoft.com/office/drawing/2014/main" id="{00000000-0008-0000-0500-00003C7B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97" name="Rectangle 296">
            <a:extLst>
              <a:ext uri="{FF2B5EF4-FFF2-40B4-BE49-F238E27FC236}">
                <a16:creationId xmlns:a16="http://schemas.microsoft.com/office/drawing/2014/main" id="{00000000-0008-0000-0500-00003D7B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98" name="Rectangle 297">
            <a:extLst>
              <a:ext uri="{FF2B5EF4-FFF2-40B4-BE49-F238E27FC236}">
                <a16:creationId xmlns:a16="http://schemas.microsoft.com/office/drawing/2014/main" id="{00000000-0008-0000-0500-00003E7B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99" name="Rectangle 298">
            <a:extLst>
              <a:ext uri="{FF2B5EF4-FFF2-40B4-BE49-F238E27FC236}">
                <a16:creationId xmlns:a16="http://schemas.microsoft.com/office/drawing/2014/main" id="{00000000-0008-0000-0500-00003F7B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00" name="Rectangle 299">
            <a:extLst>
              <a:ext uri="{FF2B5EF4-FFF2-40B4-BE49-F238E27FC236}">
                <a16:creationId xmlns:a16="http://schemas.microsoft.com/office/drawing/2014/main" id="{00000000-0008-0000-0500-0000407B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1201" name="Group 300">
            <a:extLst>
              <a:ext uri="{FF2B5EF4-FFF2-40B4-BE49-F238E27FC236}">
                <a16:creationId xmlns:a16="http://schemas.microsoft.com/office/drawing/2014/main" id="{00000000-0008-0000-0500-0000417B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1204" name="Rectangle 301">
              <a:extLst>
                <a:ext uri="{FF2B5EF4-FFF2-40B4-BE49-F238E27FC236}">
                  <a16:creationId xmlns:a16="http://schemas.microsoft.com/office/drawing/2014/main" id="{00000000-0008-0000-0500-000044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205" name="Line 302">
              <a:extLst>
                <a:ext uri="{FF2B5EF4-FFF2-40B4-BE49-F238E27FC236}">
                  <a16:creationId xmlns:a16="http://schemas.microsoft.com/office/drawing/2014/main" id="{00000000-0008-0000-0500-0000457B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206" name="Line 303">
              <a:extLst>
                <a:ext uri="{FF2B5EF4-FFF2-40B4-BE49-F238E27FC236}">
                  <a16:creationId xmlns:a16="http://schemas.microsoft.com/office/drawing/2014/main" id="{00000000-0008-0000-0500-0000467B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207" name="Rectangle 304">
              <a:extLst>
                <a:ext uri="{FF2B5EF4-FFF2-40B4-BE49-F238E27FC236}">
                  <a16:creationId xmlns:a16="http://schemas.microsoft.com/office/drawing/2014/main" id="{00000000-0008-0000-0500-000047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208" name="Oval 305">
              <a:extLst>
                <a:ext uri="{FF2B5EF4-FFF2-40B4-BE49-F238E27FC236}">
                  <a16:creationId xmlns:a16="http://schemas.microsoft.com/office/drawing/2014/main" id="{00000000-0008-0000-0500-000048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209" name="Oval 306">
              <a:extLst>
                <a:ext uri="{FF2B5EF4-FFF2-40B4-BE49-F238E27FC236}">
                  <a16:creationId xmlns:a16="http://schemas.microsoft.com/office/drawing/2014/main" id="{00000000-0008-0000-0500-000049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210" name="Rectangle 307">
              <a:extLst>
                <a:ext uri="{FF2B5EF4-FFF2-40B4-BE49-F238E27FC236}">
                  <a16:creationId xmlns:a16="http://schemas.microsoft.com/office/drawing/2014/main" id="{00000000-0008-0000-0500-00004A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211" name="Rectangle 308">
              <a:extLst>
                <a:ext uri="{FF2B5EF4-FFF2-40B4-BE49-F238E27FC236}">
                  <a16:creationId xmlns:a16="http://schemas.microsoft.com/office/drawing/2014/main" id="{00000000-0008-0000-0500-00004B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212" name="Rectangle 309">
              <a:extLst>
                <a:ext uri="{FF2B5EF4-FFF2-40B4-BE49-F238E27FC236}">
                  <a16:creationId xmlns:a16="http://schemas.microsoft.com/office/drawing/2014/main" id="{00000000-0008-0000-0500-00004C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213" name="Rectangle 310">
              <a:extLst>
                <a:ext uri="{FF2B5EF4-FFF2-40B4-BE49-F238E27FC236}">
                  <a16:creationId xmlns:a16="http://schemas.microsoft.com/office/drawing/2014/main" id="{00000000-0008-0000-0500-00004D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1202" name="Rectangle 311">
            <a:extLst>
              <a:ext uri="{FF2B5EF4-FFF2-40B4-BE49-F238E27FC236}">
                <a16:creationId xmlns:a16="http://schemas.microsoft.com/office/drawing/2014/main" id="{00000000-0008-0000-0500-0000427B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03" name="Rectangle 312">
            <a:extLst>
              <a:ext uri="{FF2B5EF4-FFF2-40B4-BE49-F238E27FC236}">
                <a16:creationId xmlns:a16="http://schemas.microsoft.com/office/drawing/2014/main" id="{00000000-0008-0000-0500-0000437B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10419" name="Group 313">
          <a:extLst>
            <a:ext uri="{FF2B5EF4-FFF2-40B4-BE49-F238E27FC236}">
              <a16:creationId xmlns:a16="http://schemas.microsoft.com/office/drawing/2014/main" id="{00000000-0008-0000-0500-000033781200}"/>
            </a:ext>
          </a:extLst>
        </xdr:cNvPr>
        <xdr:cNvGrpSpPr>
          <a:grpSpLocks/>
        </xdr:cNvGrpSpPr>
      </xdr:nvGrpSpPr>
      <xdr:grpSpPr bwMode="auto">
        <a:xfrm>
          <a:off x="5724525" y="1260475"/>
          <a:ext cx="0" cy="406400"/>
          <a:chOff x="220" y="176"/>
          <a:chExt cx="556" cy="247"/>
        </a:xfrm>
      </xdr:grpSpPr>
      <xdr:sp macro="" textlink="">
        <xdr:nvSpPr>
          <xdr:cNvPr id="1211168" name="Rectangle 314">
            <a:extLst>
              <a:ext uri="{FF2B5EF4-FFF2-40B4-BE49-F238E27FC236}">
                <a16:creationId xmlns:a16="http://schemas.microsoft.com/office/drawing/2014/main" id="{00000000-0008-0000-0500-0000207B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69" name="Line 315">
            <a:extLst>
              <a:ext uri="{FF2B5EF4-FFF2-40B4-BE49-F238E27FC236}">
                <a16:creationId xmlns:a16="http://schemas.microsoft.com/office/drawing/2014/main" id="{00000000-0008-0000-0500-0000217B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70" name="Line 316">
            <a:extLst>
              <a:ext uri="{FF2B5EF4-FFF2-40B4-BE49-F238E27FC236}">
                <a16:creationId xmlns:a16="http://schemas.microsoft.com/office/drawing/2014/main" id="{00000000-0008-0000-0500-0000227B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71" name="Rectangle 317">
            <a:extLst>
              <a:ext uri="{FF2B5EF4-FFF2-40B4-BE49-F238E27FC236}">
                <a16:creationId xmlns:a16="http://schemas.microsoft.com/office/drawing/2014/main" id="{00000000-0008-0000-0500-0000237B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72" name="Oval 318">
            <a:extLst>
              <a:ext uri="{FF2B5EF4-FFF2-40B4-BE49-F238E27FC236}">
                <a16:creationId xmlns:a16="http://schemas.microsoft.com/office/drawing/2014/main" id="{00000000-0008-0000-0500-0000247B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73" name="Oval 319">
            <a:extLst>
              <a:ext uri="{FF2B5EF4-FFF2-40B4-BE49-F238E27FC236}">
                <a16:creationId xmlns:a16="http://schemas.microsoft.com/office/drawing/2014/main" id="{00000000-0008-0000-0500-0000257B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74" name="Rectangle 320">
            <a:extLst>
              <a:ext uri="{FF2B5EF4-FFF2-40B4-BE49-F238E27FC236}">
                <a16:creationId xmlns:a16="http://schemas.microsoft.com/office/drawing/2014/main" id="{00000000-0008-0000-0500-0000267B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75" name="Rectangle 321">
            <a:extLst>
              <a:ext uri="{FF2B5EF4-FFF2-40B4-BE49-F238E27FC236}">
                <a16:creationId xmlns:a16="http://schemas.microsoft.com/office/drawing/2014/main" id="{00000000-0008-0000-0500-0000277B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76" name="Rectangle 322">
            <a:extLst>
              <a:ext uri="{FF2B5EF4-FFF2-40B4-BE49-F238E27FC236}">
                <a16:creationId xmlns:a16="http://schemas.microsoft.com/office/drawing/2014/main" id="{00000000-0008-0000-0500-0000287B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77" name="Rectangle 323">
            <a:extLst>
              <a:ext uri="{FF2B5EF4-FFF2-40B4-BE49-F238E27FC236}">
                <a16:creationId xmlns:a16="http://schemas.microsoft.com/office/drawing/2014/main" id="{00000000-0008-0000-0500-0000297B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1178" name="Group 324">
            <a:extLst>
              <a:ext uri="{FF2B5EF4-FFF2-40B4-BE49-F238E27FC236}">
                <a16:creationId xmlns:a16="http://schemas.microsoft.com/office/drawing/2014/main" id="{00000000-0008-0000-0500-00002A7B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1181" name="Rectangle 325">
              <a:extLst>
                <a:ext uri="{FF2B5EF4-FFF2-40B4-BE49-F238E27FC236}">
                  <a16:creationId xmlns:a16="http://schemas.microsoft.com/office/drawing/2014/main" id="{00000000-0008-0000-0500-00002D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82" name="Line 326">
              <a:extLst>
                <a:ext uri="{FF2B5EF4-FFF2-40B4-BE49-F238E27FC236}">
                  <a16:creationId xmlns:a16="http://schemas.microsoft.com/office/drawing/2014/main" id="{00000000-0008-0000-0500-00002E7B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83" name="Line 327">
              <a:extLst>
                <a:ext uri="{FF2B5EF4-FFF2-40B4-BE49-F238E27FC236}">
                  <a16:creationId xmlns:a16="http://schemas.microsoft.com/office/drawing/2014/main" id="{00000000-0008-0000-0500-00002F7B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84" name="Rectangle 328">
              <a:extLst>
                <a:ext uri="{FF2B5EF4-FFF2-40B4-BE49-F238E27FC236}">
                  <a16:creationId xmlns:a16="http://schemas.microsoft.com/office/drawing/2014/main" id="{00000000-0008-0000-0500-000030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85" name="Oval 329">
              <a:extLst>
                <a:ext uri="{FF2B5EF4-FFF2-40B4-BE49-F238E27FC236}">
                  <a16:creationId xmlns:a16="http://schemas.microsoft.com/office/drawing/2014/main" id="{00000000-0008-0000-0500-000031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86" name="Oval 330">
              <a:extLst>
                <a:ext uri="{FF2B5EF4-FFF2-40B4-BE49-F238E27FC236}">
                  <a16:creationId xmlns:a16="http://schemas.microsoft.com/office/drawing/2014/main" id="{00000000-0008-0000-0500-000032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87" name="Rectangle 331">
              <a:extLst>
                <a:ext uri="{FF2B5EF4-FFF2-40B4-BE49-F238E27FC236}">
                  <a16:creationId xmlns:a16="http://schemas.microsoft.com/office/drawing/2014/main" id="{00000000-0008-0000-0500-000033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88" name="Rectangle 332">
              <a:extLst>
                <a:ext uri="{FF2B5EF4-FFF2-40B4-BE49-F238E27FC236}">
                  <a16:creationId xmlns:a16="http://schemas.microsoft.com/office/drawing/2014/main" id="{00000000-0008-0000-0500-000034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89" name="Rectangle 333">
              <a:extLst>
                <a:ext uri="{FF2B5EF4-FFF2-40B4-BE49-F238E27FC236}">
                  <a16:creationId xmlns:a16="http://schemas.microsoft.com/office/drawing/2014/main" id="{00000000-0008-0000-0500-000035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90" name="Rectangle 334">
              <a:extLst>
                <a:ext uri="{FF2B5EF4-FFF2-40B4-BE49-F238E27FC236}">
                  <a16:creationId xmlns:a16="http://schemas.microsoft.com/office/drawing/2014/main" id="{00000000-0008-0000-0500-000036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1179" name="Rectangle 335">
            <a:extLst>
              <a:ext uri="{FF2B5EF4-FFF2-40B4-BE49-F238E27FC236}">
                <a16:creationId xmlns:a16="http://schemas.microsoft.com/office/drawing/2014/main" id="{00000000-0008-0000-0500-00002B7B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80" name="Rectangle 336">
            <a:extLst>
              <a:ext uri="{FF2B5EF4-FFF2-40B4-BE49-F238E27FC236}">
                <a16:creationId xmlns:a16="http://schemas.microsoft.com/office/drawing/2014/main" id="{00000000-0008-0000-0500-00002C7B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10420" name="Group 337">
          <a:extLst>
            <a:ext uri="{FF2B5EF4-FFF2-40B4-BE49-F238E27FC236}">
              <a16:creationId xmlns:a16="http://schemas.microsoft.com/office/drawing/2014/main" id="{00000000-0008-0000-0500-000034781200}"/>
            </a:ext>
          </a:extLst>
        </xdr:cNvPr>
        <xdr:cNvGrpSpPr>
          <a:grpSpLocks/>
        </xdr:cNvGrpSpPr>
      </xdr:nvGrpSpPr>
      <xdr:grpSpPr bwMode="auto">
        <a:xfrm>
          <a:off x="5724525" y="1260475"/>
          <a:ext cx="0" cy="406400"/>
          <a:chOff x="220" y="176"/>
          <a:chExt cx="556" cy="247"/>
        </a:xfrm>
      </xdr:grpSpPr>
      <xdr:sp macro="" textlink="">
        <xdr:nvSpPr>
          <xdr:cNvPr id="1211145" name="Rectangle 338">
            <a:extLst>
              <a:ext uri="{FF2B5EF4-FFF2-40B4-BE49-F238E27FC236}">
                <a16:creationId xmlns:a16="http://schemas.microsoft.com/office/drawing/2014/main" id="{00000000-0008-0000-0500-0000097B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46" name="Line 339">
            <a:extLst>
              <a:ext uri="{FF2B5EF4-FFF2-40B4-BE49-F238E27FC236}">
                <a16:creationId xmlns:a16="http://schemas.microsoft.com/office/drawing/2014/main" id="{00000000-0008-0000-0500-00000A7B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47" name="Line 340">
            <a:extLst>
              <a:ext uri="{FF2B5EF4-FFF2-40B4-BE49-F238E27FC236}">
                <a16:creationId xmlns:a16="http://schemas.microsoft.com/office/drawing/2014/main" id="{00000000-0008-0000-0500-00000B7B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48" name="Rectangle 341">
            <a:extLst>
              <a:ext uri="{FF2B5EF4-FFF2-40B4-BE49-F238E27FC236}">
                <a16:creationId xmlns:a16="http://schemas.microsoft.com/office/drawing/2014/main" id="{00000000-0008-0000-0500-00000C7B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49" name="Oval 342">
            <a:extLst>
              <a:ext uri="{FF2B5EF4-FFF2-40B4-BE49-F238E27FC236}">
                <a16:creationId xmlns:a16="http://schemas.microsoft.com/office/drawing/2014/main" id="{00000000-0008-0000-0500-00000D7B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50" name="Oval 343">
            <a:extLst>
              <a:ext uri="{FF2B5EF4-FFF2-40B4-BE49-F238E27FC236}">
                <a16:creationId xmlns:a16="http://schemas.microsoft.com/office/drawing/2014/main" id="{00000000-0008-0000-0500-00000E7B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51" name="Rectangle 344">
            <a:extLst>
              <a:ext uri="{FF2B5EF4-FFF2-40B4-BE49-F238E27FC236}">
                <a16:creationId xmlns:a16="http://schemas.microsoft.com/office/drawing/2014/main" id="{00000000-0008-0000-0500-00000F7B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52" name="Rectangle 345">
            <a:extLst>
              <a:ext uri="{FF2B5EF4-FFF2-40B4-BE49-F238E27FC236}">
                <a16:creationId xmlns:a16="http://schemas.microsoft.com/office/drawing/2014/main" id="{00000000-0008-0000-0500-0000107B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53" name="Rectangle 346">
            <a:extLst>
              <a:ext uri="{FF2B5EF4-FFF2-40B4-BE49-F238E27FC236}">
                <a16:creationId xmlns:a16="http://schemas.microsoft.com/office/drawing/2014/main" id="{00000000-0008-0000-0500-0000117B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54" name="Rectangle 347">
            <a:extLst>
              <a:ext uri="{FF2B5EF4-FFF2-40B4-BE49-F238E27FC236}">
                <a16:creationId xmlns:a16="http://schemas.microsoft.com/office/drawing/2014/main" id="{00000000-0008-0000-0500-0000127B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1155" name="Group 348">
            <a:extLst>
              <a:ext uri="{FF2B5EF4-FFF2-40B4-BE49-F238E27FC236}">
                <a16:creationId xmlns:a16="http://schemas.microsoft.com/office/drawing/2014/main" id="{00000000-0008-0000-0500-0000137B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1158" name="Rectangle 349">
              <a:extLst>
                <a:ext uri="{FF2B5EF4-FFF2-40B4-BE49-F238E27FC236}">
                  <a16:creationId xmlns:a16="http://schemas.microsoft.com/office/drawing/2014/main" id="{00000000-0008-0000-0500-000016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59" name="Line 350">
              <a:extLst>
                <a:ext uri="{FF2B5EF4-FFF2-40B4-BE49-F238E27FC236}">
                  <a16:creationId xmlns:a16="http://schemas.microsoft.com/office/drawing/2014/main" id="{00000000-0008-0000-0500-0000177B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60" name="Line 351">
              <a:extLst>
                <a:ext uri="{FF2B5EF4-FFF2-40B4-BE49-F238E27FC236}">
                  <a16:creationId xmlns:a16="http://schemas.microsoft.com/office/drawing/2014/main" id="{00000000-0008-0000-0500-0000187B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61" name="Rectangle 352">
              <a:extLst>
                <a:ext uri="{FF2B5EF4-FFF2-40B4-BE49-F238E27FC236}">
                  <a16:creationId xmlns:a16="http://schemas.microsoft.com/office/drawing/2014/main" id="{00000000-0008-0000-0500-000019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62" name="Oval 353">
              <a:extLst>
                <a:ext uri="{FF2B5EF4-FFF2-40B4-BE49-F238E27FC236}">
                  <a16:creationId xmlns:a16="http://schemas.microsoft.com/office/drawing/2014/main" id="{00000000-0008-0000-0500-00001A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63" name="Oval 354">
              <a:extLst>
                <a:ext uri="{FF2B5EF4-FFF2-40B4-BE49-F238E27FC236}">
                  <a16:creationId xmlns:a16="http://schemas.microsoft.com/office/drawing/2014/main" id="{00000000-0008-0000-0500-00001B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64" name="Rectangle 355">
              <a:extLst>
                <a:ext uri="{FF2B5EF4-FFF2-40B4-BE49-F238E27FC236}">
                  <a16:creationId xmlns:a16="http://schemas.microsoft.com/office/drawing/2014/main" id="{00000000-0008-0000-0500-00001C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65" name="Rectangle 356">
              <a:extLst>
                <a:ext uri="{FF2B5EF4-FFF2-40B4-BE49-F238E27FC236}">
                  <a16:creationId xmlns:a16="http://schemas.microsoft.com/office/drawing/2014/main" id="{00000000-0008-0000-0500-00001D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66" name="Rectangle 357">
              <a:extLst>
                <a:ext uri="{FF2B5EF4-FFF2-40B4-BE49-F238E27FC236}">
                  <a16:creationId xmlns:a16="http://schemas.microsoft.com/office/drawing/2014/main" id="{00000000-0008-0000-0500-00001E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67" name="Rectangle 358">
              <a:extLst>
                <a:ext uri="{FF2B5EF4-FFF2-40B4-BE49-F238E27FC236}">
                  <a16:creationId xmlns:a16="http://schemas.microsoft.com/office/drawing/2014/main" id="{00000000-0008-0000-0500-00001F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1156" name="Rectangle 359">
            <a:extLst>
              <a:ext uri="{FF2B5EF4-FFF2-40B4-BE49-F238E27FC236}">
                <a16:creationId xmlns:a16="http://schemas.microsoft.com/office/drawing/2014/main" id="{00000000-0008-0000-0500-0000147B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57" name="Rectangle 360">
            <a:extLst>
              <a:ext uri="{FF2B5EF4-FFF2-40B4-BE49-F238E27FC236}">
                <a16:creationId xmlns:a16="http://schemas.microsoft.com/office/drawing/2014/main" id="{00000000-0008-0000-0500-0000157B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10421" name="Group 361">
          <a:extLst>
            <a:ext uri="{FF2B5EF4-FFF2-40B4-BE49-F238E27FC236}">
              <a16:creationId xmlns:a16="http://schemas.microsoft.com/office/drawing/2014/main" id="{00000000-0008-0000-0500-000035781200}"/>
            </a:ext>
          </a:extLst>
        </xdr:cNvPr>
        <xdr:cNvGrpSpPr>
          <a:grpSpLocks/>
        </xdr:cNvGrpSpPr>
      </xdr:nvGrpSpPr>
      <xdr:grpSpPr bwMode="auto">
        <a:xfrm>
          <a:off x="5724525" y="1260475"/>
          <a:ext cx="0" cy="406400"/>
          <a:chOff x="220" y="176"/>
          <a:chExt cx="556" cy="247"/>
        </a:xfrm>
      </xdr:grpSpPr>
      <xdr:sp macro="" textlink="">
        <xdr:nvSpPr>
          <xdr:cNvPr id="1211122" name="Rectangle 362">
            <a:extLst>
              <a:ext uri="{FF2B5EF4-FFF2-40B4-BE49-F238E27FC236}">
                <a16:creationId xmlns:a16="http://schemas.microsoft.com/office/drawing/2014/main" id="{00000000-0008-0000-0500-0000F27A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23" name="Line 363">
            <a:extLst>
              <a:ext uri="{FF2B5EF4-FFF2-40B4-BE49-F238E27FC236}">
                <a16:creationId xmlns:a16="http://schemas.microsoft.com/office/drawing/2014/main" id="{00000000-0008-0000-0500-0000F37A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24" name="Line 364">
            <a:extLst>
              <a:ext uri="{FF2B5EF4-FFF2-40B4-BE49-F238E27FC236}">
                <a16:creationId xmlns:a16="http://schemas.microsoft.com/office/drawing/2014/main" id="{00000000-0008-0000-0500-0000F47A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25" name="Rectangle 365">
            <a:extLst>
              <a:ext uri="{FF2B5EF4-FFF2-40B4-BE49-F238E27FC236}">
                <a16:creationId xmlns:a16="http://schemas.microsoft.com/office/drawing/2014/main" id="{00000000-0008-0000-0500-0000F57A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26" name="Oval 366">
            <a:extLst>
              <a:ext uri="{FF2B5EF4-FFF2-40B4-BE49-F238E27FC236}">
                <a16:creationId xmlns:a16="http://schemas.microsoft.com/office/drawing/2014/main" id="{00000000-0008-0000-0500-0000F67A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27" name="Oval 367">
            <a:extLst>
              <a:ext uri="{FF2B5EF4-FFF2-40B4-BE49-F238E27FC236}">
                <a16:creationId xmlns:a16="http://schemas.microsoft.com/office/drawing/2014/main" id="{00000000-0008-0000-0500-0000F77A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28" name="Rectangle 368">
            <a:extLst>
              <a:ext uri="{FF2B5EF4-FFF2-40B4-BE49-F238E27FC236}">
                <a16:creationId xmlns:a16="http://schemas.microsoft.com/office/drawing/2014/main" id="{00000000-0008-0000-0500-0000F87A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29" name="Rectangle 369">
            <a:extLst>
              <a:ext uri="{FF2B5EF4-FFF2-40B4-BE49-F238E27FC236}">
                <a16:creationId xmlns:a16="http://schemas.microsoft.com/office/drawing/2014/main" id="{00000000-0008-0000-0500-0000F97A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30" name="Rectangle 370">
            <a:extLst>
              <a:ext uri="{FF2B5EF4-FFF2-40B4-BE49-F238E27FC236}">
                <a16:creationId xmlns:a16="http://schemas.microsoft.com/office/drawing/2014/main" id="{00000000-0008-0000-0500-0000FA7A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31" name="Rectangle 371">
            <a:extLst>
              <a:ext uri="{FF2B5EF4-FFF2-40B4-BE49-F238E27FC236}">
                <a16:creationId xmlns:a16="http://schemas.microsoft.com/office/drawing/2014/main" id="{00000000-0008-0000-0500-0000FB7A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1132" name="Group 372">
            <a:extLst>
              <a:ext uri="{FF2B5EF4-FFF2-40B4-BE49-F238E27FC236}">
                <a16:creationId xmlns:a16="http://schemas.microsoft.com/office/drawing/2014/main" id="{00000000-0008-0000-0500-0000FC7A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1135" name="Rectangle 373">
              <a:extLst>
                <a:ext uri="{FF2B5EF4-FFF2-40B4-BE49-F238E27FC236}">
                  <a16:creationId xmlns:a16="http://schemas.microsoft.com/office/drawing/2014/main" id="{00000000-0008-0000-0500-0000FF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36" name="Line 374">
              <a:extLst>
                <a:ext uri="{FF2B5EF4-FFF2-40B4-BE49-F238E27FC236}">
                  <a16:creationId xmlns:a16="http://schemas.microsoft.com/office/drawing/2014/main" id="{00000000-0008-0000-0500-0000007B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37" name="Line 375">
              <a:extLst>
                <a:ext uri="{FF2B5EF4-FFF2-40B4-BE49-F238E27FC236}">
                  <a16:creationId xmlns:a16="http://schemas.microsoft.com/office/drawing/2014/main" id="{00000000-0008-0000-0500-0000017B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38" name="Rectangle 376">
              <a:extLst>
                <a:ext uri="{FF2B5EF4-FFF2-40B4-BE49-F238E27FC236}">
                  <a16:creationId xmlns:a16="http://schemas.microsoft.com/office/drawing/2014/main" id="{00000000-0008-0000-0500-000002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39" name="Oval 377">
              <a:extLst>
                <a:ext uri="{FF2B5EF4-FFF2-40B4-BE49-F238E27FC236}">
                  <a16:creationId xmlns:a16="http://schemas.microsoft.com/office/drawing/2014/main" id="{00000000-0008-0000-0500-000003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40" name="Oval 378">
              <a:extLst>
                <a:ext uri="{FF2B5EF4-FFF2-40B4-BE49-F238E27FC236}">
                  <a16:creationId xmlns:a16="http://schemas.microsoft.com/office/drawing/2014/main" id="{00000000-0008-0000-0500-000004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41" name="Rectangle 379">
              <a:extLst>
                <a:ext uri="{FF2B5EF4-FFF2-40B4-BE49-F238E27FC236}">
                  <a16:creationId xmlns:a16="http://schemas.microsoft.com/office/drawing/2014/main" id="{00000000-0008-0000-0500-000005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42" name="Rectangle 380">
              <a:extLst>
                <a:ext uri="{FF2B5EF4-FFF2-40B4-BE49-F238E27FC236}">
                  <a16:creationId xmlns:a16="http://schemas.microsoft.com/office/drawing/2014/main" id="{00000000-0008-0000-0500-000006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43" name="Rectangle 381">
              <a:extLst>
                <a:ext uri="{FF2B5EF4-FFF2-40B4-BE49-F238E27FC236}">
                  <a16:creationId xmlns:a16="http://schemas.microsoft.com/office/drawing/2014/main" id="{00000000-0008-0000-0500-000007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44" name="Rectangle 382">
              <a:extLst>
                <a:ext uri="{FF2B5EF4-FFF2-40B4-BE49-F238E27FC236}">
                  <a16:creationId xmlns:a16="http://schemas.microsoft.com/office/drawing/2014/main" id="{00000000-0008-0000-0500-000008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1133" name="Rectangle 383">
            <a:extLst>
              <a:ext uri="{FF2B5EF4-FFF2-40B4-BE49-F238E27FC236}">
                <a16:creationId xmlns:a16="http://schemas.microsoft.com/office/drawing/2014/main" id="{00000000-0008-0000-0500-0000FD7A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34" name="Rectangle 384">
            <a:extLst>
              <a:ext uri="{FF2B5EF4-FFF2-40B4-BE49-F238E27FC236}">
                <a16:creationId xmlns:a16="http://schemas.microsoft.com/office/drawing/2014/main" id="{00000000-0008-0000-0500-0000FE7A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10422" name="Group 385">
          <a:extLst>
            <a:ext uri="{FF2B5EF4-FFF2-40B4-BE49-F238E27FC236}">
              <a16:creationId xmlns:a16="http://schemas.microsoft.com/office/drawing/2014/main" id="{00000000-0008-0000-0500-000036781200}"/>
            </a:ext>
          </a:extLst>
        </xdr:cNvPr>
        <xdr:cNvGrpSpPr>
          <a:grpSpLocks/>
        </xdr:cNvGrpSpPr>
      </xdr:nvGrpSpPr>
      <xdr:grpSpPr bwMode="auto">
        <a:xfrm>
          <a:off x="5724525" y="1260475"/>
          <a:ext cx="0" cy="406400"/>
          <a:chOff x="220" y="176"/>
          <a:chExt cx="556" cy="247"/>
        </a:xfrm>
      </xdr:grpSpPr>
      <xdr:sp macro="" textlink="">
        <xdr:nvSpPr>
          <xdr:cNvPr id="1211099" name="Rectangle 386">
            <a:extLst>
              <a:ext uri="{FF2B5EF4-FFF2-40B4-BE49-F238E27FC236}">
                <a16:creationId xmlns:a16="http://schemas.microsoft.com/office/drawing/2014/main" id="{00000000-0008-0000-0500-0000DB7A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00" name="Line 387">
            <a:extLst>
              <a:ext uri="{FF2B5EF4-FFF2-40B4-BE49-F238E27FC236}">
                <a16:creationId xmlns:a16="http://schemas.microsoft.com/office/drawing/2014/main" id="{00000000-0008-0000-0500-0000DC7A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01" name="Line 388">
            <a:extLst>
              <a:ext uri="{FF2B5EF4-FFF2-40B4-BE49-F238E27FC236}">
                <a16:creationId xmlns:a16="http://schemas.microsoft.com/office/drawing/2014/main" id="{00000000-0008-0000-0500-0000DD7A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02" name="Rectangle 389">
            <a:extLst>
              <a:ext uri="{FF2B5EF4-FFF2-40B4-BE49-F238E27FC236}">
                <a16:creationId xmlns:a16="http://schemas.microsoft.com/office/drawing/2014/main" id="{00000000-0008-0000-0500-0000DE7A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03" name="Oval 390">
            <a:extLst>
              <a:ext uri="{FF2B5EF4-FFF2-40B4-BE49-F238E27FC236}">
                <a16:creationId xmlns:a16="http://schemas.microsoft.com/office/drawing/2014/main" id="{00000000-0008-0000-0500-0000DF7A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04" name="Oval 391">
            <a:extLst>
              <a:ext uri="{FF2B5EF4-FFF2-40B4-BE49-F238E27FC236}">
                <a16:creationId xmlns:a16="http://schemas.microsoft.com/office/drawing/2014/main" id="{00000000-0008-0000-0500-0000E07A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05" name="Rectangle 392">
            <a:extLst>
              <a:ext uri="{FF2B5EF4-FFF2-40B4-BE49-F238E27FC236}">
                <a16:creationId xmlns:a16="http://schemas.microsoft.com/office/drawing/2014/main" id="{00000000-0008-0000-0500-0000E17A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06" name="Rectangle 393">
            <a:extLst>
              <a:ext uri="{FF2B5EF4-FFF2-40B4-BE49-F238E27FC236}">
                <a16:creationId xmlns:a16="http://schemas.microsoft.com/office/drawing/2014/main" id="{00000000-0008-0000-0500-0000E27A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07" name="Rectangle 394">
            <a:extLst>
              <a:ext uri="{FF2B5EF4-FFF2-40B4-BE49-F238E27FC236}">
                <a16:creationId xmlns:a16="http://schemas.microsoft.com/office/drawing/2014/main" id="{00000000-0008-0000-0500-0000E37A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08" name="Rectangle 395">
            <a:extLst>
              <a:ext uri="{FF2B5EF4-FFF2-40B4-BE49-F238E27FC236}">
                <a16:creationId xmlns:a16="http://schemas.microsoft.com/office/drawing/2014/main" id="{00000000-0008-0000-0500-0000E47A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1109" name="Group 396">
            <a:extLst>
              <a:ext uri="{FF2B5EF4-FFF2-40B4-BE49-F238E27FC236}">
                <a16:creationId xmlns:a16="http://schemas.microsoft.com/office/drawing/2014/main" id="{00000000-0008-0000-0500-0000E57A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1112" name="Rectangle 397">
              <a:extLst>
                <a:ext uri="{FF2B5EF4-FFF2-40B4-BE49-F238E27FC236}">
                  <a16:creationId xmlns:a16="http://schemas.microsoft.com/office/drawing/2014/main" id="{00000000-0008-0000-0500-0000E8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13" name="Line 398">
              <a:extLst>
                <a:ext uri="{FF2B5EF4-FFF2-40B4-BE49-F238E27FC236}">
                  <a16:creationId xmlns:a16="http://schemas.microsoft.com/office/drawing/2014/main" id="{00000000-0008-0000-0500-0000E97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14" name="Line 399">
              <a:extLst>
                <a:ext uri="{FF2B5EF4-FFF2-40B4-BE49-F238E27FC236}">
                  <a16:creationId xmlns:a16="http://schemas.microsoft.com/office/drawing/2014/main" id="{00000000-0008-0000-0500-0000EA7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15" name="Rectangle 400">
              <a:extLst>
                <a:ext uri="{FF2B5EF4-FFF2-40B4-BE49-F238E27FC236}">
                  <a16:creationId xmlns:a16="http://schemas.microsoft.com/office/drawing/2014/main" id="{00000000-0008-0000-0500-0000EB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16" name="Oval 401">
              <a:extLst>
                <a:ext uri="{FF2B5EF4-FFF2-40B4-BE49-F238E27FC236}">
                  <a16:creationId xmlns:a16="http://schemas.microsoft.com/office/drawing/2014/main" id="{00000000-0008-0000-0500-0000EC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17" name="Oval 402">
              <a:extLst>
                <a:ext uri="{FF2B5EF4-FFF2-40B4-BE49-F238E27FC236}">
                  <a16:creationId xmlns:a16="http://schemas.microsoft.com/office/drawing/2014/main" id="{00000000-0008-0000-0500-0000ED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18" name="Rectangle 403">
              <a:extLst>
                <a:ext uri="{FF2B5EF4-FFF2-40B4-BE49-F238E27FC236}">
                  <a16:creationId xmlns:a16="http://schemas.microsoft.com/office/drawing/2014/main" id="{00000000-0008-0000-0500-0000EE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19" name="Rectangle 404">
              <a:extLst>
                <a:ext uri="{FF2B5EF4-FFF2-40B4-BE49-F238E27FC236}">
                  <a16:creationId xmlns:a16="http://schemas.microsoft.com/office/drawing/2014/main" id="{00000000-0008-0000-0500-0000EF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20" name="Rectangle 405">
              <a:extLst>
                <a:ext uri="{FF2B5EF4-FFF2-40B4-BE49-F238E27FC236}">
                  <a16:creationId xmlns:a16="http://schemas.microsoft.com/office/drawing/2014/main" id="{00000000-0008-0000-0500-0000F0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21" name="Rectangle 406">
              <a:extLst>
                <a:ext uri="{FF2B5EF4-FFF2-40B4-BE49-F238E27FC236}">
                  <a16:creationId xmlns:a16="http://schemas.microsoft.com/office/drawing/2014/main" id="{00000000-0008-0000-0500-0000F1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1110" name="Rectangle 407">
            <a:extLst>
              <a:ext uri="{FF2B5EF4-FFF2-40B4-BE49-F238E27FC236}">
                <a16:creationId xmlns:a16="http://schemas.microsoft.com/office/drawing/2014/main" id="{00000000-0008-0000-0500-0000E67A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11" name="Rectangle 408">
            <a:extLst>
              <a:ext uri="{FF2B5EF4-FFF2-40B4-BE49-F238E27FC236}">
                <a16:creationId xmlns:a16="http://schemas.microsoft.com/office/drawing/2014/main" id="{00000000-0008-0000-0500-0000E77A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10423" name="Group 409">
          <a:extLst>
            <a:ext uri="{FF2B5EF4-FFF2-40B4-BE49-F238E27FC236}">
              <a16:creationId xmlns:a16="http://schemas.microsoft.com/office/drawing/2014/main" id="{00000000-0008-0000-0500-000037781200}"/>
            </a:ext>
          </a:extLst>
        </xdr:cNvPr>
        <xdr:cNvGrpSpPr>
          <a:grpSpLocks/>
        </xdr:cNvGrpSpPr>
      </xdr:nvGrpSpPr>
      <xdr:grpSpPr bwMode="auto">
        <a:xfrm>
          <a:off x="5724525" y="1260475"/>
          <a:ext cx="0" cy="406400"/>
          <a:chOff x="220" y="176"/>
          <a:chExt cx="556" cy="247"/>
        </a:xfrm>
      </xdr:grpSpPr>
      <xdr:sp macro="" textlink="">
        <xdr:nvSpPr>
          <xdr:cNvPr id="1211076" name="Rectangle 410">
            <a:extLst>
              <a:ext uri="{FF2B5EF4-FFF2-40B4-BE49-F238E27FC236}">
                <a16:creationId xmlns:a16="http://schemas.microsoft.com/office/drawing/2014/main" id="{00000000-0008-0000-0500-0000C47A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77" name="Line 411">
            <a:extLst>
              <a:ext uri="{FF2B5EF4-FFF2-40B4-BE49-F238E27FC236}">
                <a16:creationId xmlns:a16="http://schemas.microsoft.com/office/drawing/2014/main" id="{00000000-0008-0000-0500-0000C57A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78" name="Line 412">
            <a:extLst>
              <a:ext uri="{FF2B5EF4-FFF2-40B4-BE49-F238E27FC236}">
                <a16:creationId xmlns:a16="http://schemas.microsoft.com/office/drawing/2014/main" id="{00000000-0008-0000-0500-0000C67A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79" name="Rectangle 413">
            <a:extLst>
              <a:ext uri="{FF2B5EF4-FFF2-40B4-BE49-F238E27FC236}">
                <a16:creationId xmlns:a16="http://schemas.microsoft.com/office/drawing/2014/main" id="{00000000-0008-0000-0500-0000C77A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80" name="Oval 414">
            <a:extLst>
              <a:ext uri="{FF2B5EF4-FFF2-40B4-BE49-F238E27FC236}">
                <a16:creationId xmlns:a16="http://schemas.microsoft.com/office/drawing/2014/main" id="{00000000-0008-0000-0500-0000C87A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81" name="Oval 415">
            <a:extLst>
              <a:ext uri="{FF2B5EF4-FFF2-40B4-BE49-F238E27FC236}">
                <a16:creationId xmlns:a16="http://schemas.microsoft.com/office/drawing/2014/main" id="{00000000-0008-0000-0500-0000C97A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82" name="Rectangle 416">
            <a:extLst>
              <a:ext uri="{FF2B5EF4-FFF2-40B4-BE49-F238E27FC236}">
                <a16:creationId xmlns:a16="http://schemas.microsoft.com/office/drawing/2014/main" id="{00000000-0008-0000-0500-0000CA7A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83" name="Rectangle 417">
            <a:extLst>
              <a:ext uri="{FF2B5EF4-FFF2-40B4-BE49-F238E27FC236}">
                <a16:creationId xmlns:a16="http://schemas.microsoft.com/office/drawing/2014/main" id="{00000000-0008-0000-0500-0000CB7A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84" name="Rectangle 418">
            <a:extLst>
              <a:ext uri="{FF2B5EF4-FFF2-40B4-BE49-F238E27FC236}">
                <a16:creationId xmlns:a16="http://schemas.microsoft.com/office/drawing/2014/main" id="{00000000-0008-0000-0500-0000CC7A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85" name="Rectangle 419">
            <a:extLst>
              <a:ext uri="{FF2B5EF4-FFF2-40B4-BE49-F238E27FC236}">
                <a16:creationId xmlns:a16="http://schemas.microsoft.com/office/drawing/2014/main" id="{00000000-0008-0000-0500-0000CD7A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1086" name="Group 420">
            <a:extLst>
              <a:ext uri="{FF2B5EF4-FFF2-40B4-BE49-F238E27FC236}">
                <a16:creationId xmlns:a16="http://schemas.microsoft.com/office/drawing/2014/main" id="{00000000-0008-0000-0500-0000CE7A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1089" name="Rectangle 421">
              <a:extLst>
                <a:ext uri="{FF2B5EF4-FFF2-40B4-BE49-F238E27FC236}">
                  <a16:creationId xmlns:a16="http://schemas.microsoft.com/office/drawing/2014/main" id="{00000000-0008-0000-0500-0000D1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90" name="Line 422">
              <a:extLst>
                <a:ext uri="{FF2B5EF4-FFF2-40B4-BE49-F238E27FC236}">
                  <a16:creationId xmlns:a16="http://schemas.microsoft.com/office/drawing/2014/main" id="{00000000-0008-0000-0500-0000D27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91" name="Line 423">
              <a:extLst>
                <a:ext uri="{FF2B5EF4-FFF2-40B4-BE49-F238E27FC236}">
                  <a16:creationId xmlns:a16="http://schemas.microsoft.com/office/drawing/2014/main" id="{00000000-0008-0000-0500-0000D37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92" name="Rectangle 424">
              <a:extLst>
                <a:ext uri="{FF2B5EF4-FFF2-40B4-BE49-F238E27FC236}">
                  <a16:creationId xmlns:a16="http://schemas.microsoft.com/office/drawing/2014/main" id="{00000000-0008-0000-0500-0000D4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93" name="Oval 425">
              <a:extLst>
                <a:ext uri="{FF2B5EF4-FFF2-40B4-BE49-F238E27FC236}">
                  <a16:creationId xmlns:a16="http://schemas.microsoft.com/office/drawing/2014/main" id="{00000000-0008-0000-0500-0000D5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94" name="Oval 426">
              <a:extLst>
                <a:ext uri="{FF2B5EF4-FFF2-40B4-BE49-F238E27FC236}">
                  <a16:creationId xmlns:a16="http://schemas.microsoft.com/office/drawing/2014/main" id="{00000000-0008-0000-0500-0000D6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95" name="Rectangle 427">
              <a:extLst>
                <a:ext uri="{FF2B5EF4-FFF2-40B4-BE49-F238E27FC236}">
                  <a16:creationId xmlns:a16="http://schemas.microsoft.com/office/drawing/2014/main" id="{00000000-0008-0000-0500-0000D7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96" name="Rectangle 428">
              <a:extLst>
                <a:ext uri="{FF2B5EF4-FFF2-40B4-BE49-F238E27FC236}">
                  <a16:creationId xmlns:a16="http://schemas.microsoft.com/office/drawing/2014/main" id="{00000000-0008-0000-0500-0000D8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97" name="Rectangle 429">
              <a:extLst>
                <a:ext uri="{FF2B5EF4-FFF2-40B4-BE49-F238E27FC236}">
                  <a16:creationId xmlns:a16="http://schemas.microsoft.com/office/drawing/2014/main" id="{00000000-0008-0000-0500-0000D9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98" name="Rectangle 430">
              <a:extLst>
                <a:ext uri="{FF2B5EF4-FFF2-40B4-BE49-F238E27FC236}">
                  <a16:creationId xmlns:a16="http://schemas.microsoft.com/office/drawing/2014/main" id="{00000000-0008-0000-0500-0000DA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1087" name="Rectangle 431">
            <a:extLst>
              <a:ext uri="{FF2B5EF4-FFF2-40B4-BE49-F238E27FC236}">
                <a16:creationId xmlns:a16="http://schemas.microsoft.com/office/drawing/2014/main" id="{00000000-0008-0000-0500-0000CF7A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88" name="Rectangle 432">
            <a:extLst>
              <a:ext uri="{FF2B5EF4-FFF2-40B4-BE49-F238E27FC236}">
                <a16:creationId xmlns:a16="http://schemas.microsoft.com/office/drawing/2014/main" id="{00000000-0008-0000-0500-0000D07A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152400</xdr:rowOff>
    </xdr:from>
    <xdr:to>
      <xdr:col>7</xdr:col>
      <xdr:colOff>0</xdr:colOff>
      <xdr:row>3</xdr:row>
      <xdr:rowOff>0</xdr:rowOff>
    </xdr:to>
    <xdr:grpSp>
      <xdr:nvGrpSpPr>
        <xdr:cNvPr id="1210424" name="Group 433">
          <a:extLst>
            <a:ext uri="{FF2B5EF4-FFF2-40B4-BE49-F238E27FC236}">
              <a16:creationId xmlns:a16="http://schemas.microsoft.com/office/drawing/2014/main" id="{00000000-0008-0000-0500-000038781200}"/>
            </a:ext>
          </a:extLst>
        </xdr:cNvPr>
        <xdr:cNvGrpSpPr>
          <a:grpSpLocks/>
        </xdr:cNvGrpSpPr>
      </xdr:nvGrpSpPr>
      <xdr:grpSpPr bwMode="auto">
        <a:xfrm>
          <a:off x="5724525" y="1247775"/>
          <a:ext cx="0" cy="419100"/>
          <a:chOff x="333" y="153"/>
          <a:chExt cx="219" cy="333"/>
        </a:xfrm>
      </xdr:grpSpPr>
      <xdr:sp macro="" textlink="">
        <xdr:nvSpPr>
          <xdr:cNvPr id="1211066" name="Rectangle 434">
            <a:extLst>
              <a:ext uri="{FF2B5EF4-FFF2-40B4-BE49-F238E27FC236}">
                <a16:creationId xmlns:a16="http://schemas.microsoft.com/office/drawing/2014/main" id="{00000000-0008-0000-0500-0000BA7A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67" name="Line 435">
            <a:extLst>
              <a:ext uri="{FF2B5EF4-FFF2-40B4-BE49-F238E27FC236}">
                <a16:creationId xmlns:a16="http://schemas.microsoft.com/office/drawing/2014/main" id="{00000000-0008-0000-0500-0000BB7A1200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68" name="Line 436">
            <a:extLst>
              <a:ext uri="{FF2B5EF4-FFF2-40B4-BE49-F238E27FC236}">
                <a16:creationId xmlns:a16="http://schemas.microsoft.com/office/drawing/2014/main" id="{00000000-0008-0000-0500-0000BC7A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69" name="Rectangle 437">
            <a:extLst>
              <a:ext uri="{FF2B5EF4-FFF2-40B4-BE49-F238E27FC236}">
                <a16:creationId xmlns:a16="http://schemas.microsoft.com/office/drawing/2014/main" id="{00000000-0008-0000-0500-0000BD7A1200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70" name="Oval 438">
            <a:extLst>
              <a:ext uri="{FF2B5EF4-FFF2-40B4-BE49-F238E27FC236}">
                <a16:creationId xmlns:a16="http://schemas.microsoft.com/office/drawing/2014/main" id="{00000000-0008-0000-0500-0000BE7A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71" name="Oval 439">
            <a:extLst>
              <a:ext uri="{FF2B5EF4-FFF2-40B4-BE49-F238E27FC236}">
                <a16:creationId xmlns:a16="http://schemas.microsoft.com/office/drawing/2014/main" id="{00000000-0008-0000-0500-0000BF7A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72" name="Rectangle 440">
            <a:extLst>
              <a:ext uri="{FF2B5EF4-FFF2-40B4-BE49-F238E27FC236}">
                <a16:creationId xmlns:a16="http://schemas.microsoft.com/office/drawing/2014/main" id="{00000000-0008-0000-0500-0000C07A1200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73" name="Rectangle 441">
            <a:extLst>
              <a:ext uri="{FF2B5EF4-FFF2-40B4-BE49-F238E27FC236}">
                <a16:creationId xmlns:a16="http://schemas.microsoft.com/office/drawing/2014/main" id="{00000000-0008-0000-0500-0000C17A1200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74" name="Rectangle 442">
            <a:extLst>
              <a:ext uri="{FF2B5EF4-FFF2-40B4-BE49-F238E27FC236}">
                <a16:creationId xmlns:a16="http://schemas.microsoft.com/office/drawing/2014/main" id="{00000000-0008-0000-0500-0000C27A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75" name="Rectangle 443">
            <a:extLst>
              <a:ext uri="{FF2B5EF4-FFF2-40B4-BE49-F238E27FC236}">
                <a16:creationId xmlns:a16="http://schemas.microsoft.com/office/drawing/2014/main" id="{00000000-0008-0000-0500-0000C37A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152400</xdr:rowOff>
    </xdr:from>
    <xdr:to>
      <xdr:col>7</xdr:col>
      <xdr:colOff>0</xdr:colOff>
      <xdr:row>3</xdr:row>
      <xdr:rowOff>0</xdr:rowOff>
    </xdr:to>
    <xdr:grpSp>
      <xdr:nvGrpSpPr>
        <xdr:cNvPr id="1210425" name="Group 444">
          <a:extLst>
            <a:ext uri="{FF2B5EF4-FFF2-40B4-BE49-F238E27FC236}">
              <a16:creationId xmlns:a16="http://schemas.microsoft.com/office/drawing/2014/main" id="{00000000-0008-0000-0500-000039781200}"/>
            </a:ext>
          </a:extLst>
        </xdr:cNvPr>
        <xdr:cNvGrpSpPr>
          <a:grpSpLocks/>
        </xdr:cNvGrpSpPr>
      </xdr:nvGrpSpPr>
      <xdr:grpSpPr bwMode="auto">
        <a:xfrm>
          <a:off x="5724525" y="1247775"/>
          <a:ext cx="0" cy="419100"/>
          <a:chOff x="333" y="153"/>
          <a:chExt cx="219" cy="333"/>
        </a:xfrm>
      </xdr:grpSpPr>
      <xdr:sp macro="" textlink="">
        <xdr:nvSpPr>
          <xdr:cNvPr id="1211056" name="Rectangle 445">
            <a:extLst>
              <a:ext uri="{FF2B5EF4-FFF2-40B4-BE49-F238E27FC236}">
                <a16:creationId xmlns:a16="http://schemas.microsoft.com/office/drawing/2014/main" id="{00000000-0008-0000-0500-0000B07A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57" name="Line 446">
            <a:extLst>
              <a:ext uri="{FF2B5EF4-FFF2-40B4-BE49-F238E27FC236}">
                <a16:creationId xmlns:a16="http://schemas.microsoft.com/office/drawing/2014/main" id="{00000000-0008-0000-0500-0000B17A1200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58" name="Line 447">
            <a:extLst>
              <a:ext uri="{FF2B5EF4-FFF2-40B4-BE49-F238E27FC236}">
                <a16:creationId xmlns:a16="http://schemas.microsoft.com/office/drawing/2014/main" id="{00000000-0008-0000-0500-0000B27A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59" name="Rectangle 448">
            <a:extLst>
              <a:ext uri="{FF2B5EF4-FFF2-40B4-BE49-F238E27FC236}">
                <a16:creationId xmlns:a16="http://schemas.microsoft.com/office/drawing/2014/main" id="{00000000-0008-0000-0500-0000B37A1200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60" name="Oval 449">
            <a:extLst>
              <a:ext uri="{FF2B5EF4-FFF2-40B4-BE49-F238E27FC236}">
                <a16:creationId xmlns:a16="http://schemas.microsoft.com/office/drawing/2014/main" id="{00000000-0008-0000-0500-0000B47A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61" name="Oval 450">
            <a:extLst>
              <a:ext uri="{FF2B5EF4-FFF2-40B4-BE49-F238E27FC236}">
                <a16:creationId xmlns:a16="http://schemas.microsoft.com/office/drawing/2014/main" id="{00000000-0008-0000-0500-0000B57A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62" name="Rectangle 451">
            <a:extLst>
              <a:ext uri="{FF2B5EF4-FFF2-40B4-BE49-F238E27FC236}">
                <a16:creationId xmlns:a16="http://schemas.microsoft.com/office/drawing/2014/main" id="{00000000-0008-0000-0500-0000B67A1200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63" name="Rectangle 452">
            <a:extLst>
              <a:ext uri="{FF2B5EF4-FFF2-40B4-BE49-F238E27FC236}">
                <a16:creationId xmlns:a16="http://schemas.microsoft.com/office/drawing/2014/main" id="{00000000-0008-0000-0500-0000B77A1200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64" name="Rectangle 453">
            <a:extLst>
              <a:ext uri="{FF2B5EF4-FFF2-40B4-BE49-F238E27FC236}">
                <a16:creationId xmlns:a16="http://schemas.microsoft.com/office/drawing/2014/main" id="{00000000-0008-0000-0500-0000B87A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65" name="Rectangle 454">
            <a:extLst>
              <a:ext uri="{FF2B5EF4-FFF2-40B4-BE49-F238E27FC236}">
                <a16:creationId xmlns:a16="http://schemas.microsoft.com/office/drawing/2014/main" id="{00000000-0008-0000-0500-0000B97A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2</xdr:row>
      <xdr:rowOff>546100</xdr:rowOff>
    </xdr:to>
    <xdr:grpSp>
      <xdr:nvGrpSpPr>
        <xdr:cNvPr id="1210426" name="Group 455">
          <a:extLst>
            <a:ext uri="{FF2B5EF4-FFF2-40B4-BE49-F238E27FC236}">
              <a16:creationId xmlns:a16="http://schemas.microsoft.com/office/drawing/2014/main" id="{00000000-0008-0000-0500-00003A781200}"/>
            </a:ext>
          </a:extLst>
        </xdr:cNvPr>
        <xdr:cNvGrpSpPr>
          <a:grpSpLocks/>
        </xdr:cNvGrpSpPr>
      </xdr:nvGrpSpPr>
      <xdr:grpSpPr bwMode="auto">
        <a:xfrm>
          <a:off x="5724525" y="1260475"/>
          <a:ext cx="0" cy="381000"/>
          <a:chOff x="335" y="195"/>
          <a:chExt cx="352" cy="282"/>
        </a:xfrm>
      </xdr:grpSpPr>
      <xdr:grpSp>
        <xdr:nvGrpSpPr>
          <xdr:cNvPr id="1211034" name="Group 456">
            <a:extLst>
              <a:ext uri="{FF2B5EF4-FFF2-40B4-BE49-F238E27FC236}">
                <a16:creationId xmlns:a16="http://schemas.microsoft.com/office/drawing/2014/main" id="{00000000-0008-0000-0500-00009A7A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1046" name="Rectangle 457">
              <a:extLst>
                <a:ext uri="{FF2B5EF4-FFF2-40B4-BE49-F238E27FC236}">
                  <a16:creationId xmlns:a16="http://schemas.microsoft.com/office/drawing/2014/main" id="{00000000-0008-0000-0500-0000A6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47" name="Line 458">
              <a:extLst>
                <a:ext uri="{FF2B5EF4-FFF2-40B4-BE49-F238E27FC236}">
                  <a16:creationId xmlns:a16="http://schemas.microsoft.com/office/drawing/2014/main" id="{00000000-0008-0000-0500-0000A77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48" name="Line 459">
              <a:extLst>
                <a:ext uri="{FF2B5EF4-FFF2-40B4-BE49-F238E27FC236}">
                  <a16:creationId xmlns:a16="http://schemas.microsoft.com/office/drawing/2014/main" id="{00000000-0008-0000-0500-0000A87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49" name="Rectangle 460">
              <a:extLst>
                <a:ext uri="{FF2B5EF4-FFF2-40B4-BE49-F238E27FC236}">
                  <a16:creationId xmlns:a16="http://schemas.microsoft.com/office/drawing/2014/main" id="{00000000-0008-0000-0500-0000A9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50" name="Oval 461">
              <a:extLst>
                <a:ext uri="{FF2B5EF4-FFF2-40B4-BE49-F238E27FC236}">
                  <a16:creationId xmlns:a16="http://schemas.microsoft.com/office/drawing/2014/main" id="{00000000-0008-0000-0500-0000AA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51" name="Oval 462">
              <a:extLst>
                <a:ext uri="{FF2B5EF4-FFF2-40B4-BE49-F238E27FC236}">
                  <a16:creationId xmlns:a16="http://schemas.microsoft.com/office/drawing/2014/main" id="{00000000-0008-0000-0500-0000AB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52" name="Rectangle 463">
              <a:extLst>
                <a:ext uri="{FF2B5EF4-FFF2-40B4-BE49-F238E27FC236}">
                  <a16:creationId xmlns:a16="http://schemas.microsoft.com/office/drawing/2014/main" id="{00000000-0008-0000-0500-0000AC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53" name="Rectangle 464">
              <a:extLst>
                <a:ext uri="{FF2B5EF4-FFF2-40B4-BE49-F238E27FC236}">
                  <a16:creationId xmlns:a16="http://schemas.microsoft.com/office/drawing/2014/main" id="{00000000-0008-0000-0500-0000AD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54" name="Rectangle 465">
              <a:extLst>
                <a:ext uri="{FF2B5EF4-FFF2-40B4-BE49-F238E27FC236}">
                  <a16:creationId xmlns:a16="http://schemas.microsoft.com/office/drawing/2014/main" id="{00000000-0008-0000-0500-0000AE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55" name="Rectangle 466">
              <a:extLst>
                <a:ext uri="{FF2B5EF4-FFF2-40B4-BE49-F238E27FC236}">
                  <a16:creationId xmlns:a16="http://schemas.microsoft.com/office/drawing/2014/main" id="{00000000-0008-0000-0500-0000AF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1035" name="Group 467">
            <a:extLst>
              <a:ext uri="{FF2B5EF4-FFF2-40B4-BE49-F238E27FC236}">
                <a16:creationId xmlns:a16="http://schemas.microsoft.com/office/drawing/2014/main" id="{00000000-0008-0000-0500-00009B7A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1036" name="Rectangle 468">
              <a:extLst>
                <a:ext uri="{FF2B5EF4-FFF2-40B4-BE49-F238E27FC236}">
                  <a16:creationId xmlns:a16="http://schemas.microsoft.com/office/drawing/2014/main" id="{00000000-0008-0000-0500-00009C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37" name="Line 469">
              <a:extLst>
                <a:ext uri="{FF2B5EF4-FFF2-40B4-BE49-F238E27FC236}">
                  <a16:creationId xmlns:a16="http://schemas.microsoft.com/office/drawing/2014/main" id="{00000000-0008-0000-0500-00009D7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38" name="Line 470">
              <a:extLst>
                <a:ext uri="{FF2B5EF4-FFF2-40B4-BE49-F238E27FC236}">
                  <a16:creationId xmlns:a16="http://schemas.microsoft.com/office/drawing/2014/main" id="{00000000-0008-0000-0500-00009E7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39" name="Rectangle 471">
              <a:extLst>
                <a:ext uri="{FF2B5EF4-FFF2-40B4-BE49-F238E27FC236}">
                  <a16:creationId xmlns:a16="http://schemas.microsoft.com/office/drawing/2014/main" id="{00000000-0008-0000-0500-00009F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40" name="Oval 472">
              <a:extLst>
                <a:ext uri="{FF2B5EF4-FFF2-40B4-BE49-F238E27FC236}">
                  <a16:creationId xmlns:a16="http://schemas.microsoft.com/office/drawing/2014/main" id="{00000000-0008-0000-0500-0000A0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41" name="Oval 473">
              <a:extLst>
                <a:ext uri="{FF2B5EF4-FFF2-40B4-BE49-F238E27FC236}">
                  <a16:creationId xmlns:a16="http://schemas.microsoft.com/office/drawing/2014/main" id="{00000000-0008-0000-0500-0000A1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42" name="Rectangle 474">
              <a:extLst>
                <a:ext uri="{FF2B5EF4-FFF2-40B4-BE49-F238E27FC236}">
                  <a16:creationId xmlns:a16="http://schemas.microsoft.com/office/drawing/2014/main" id="{00000000-0008-0000-0500-0000A2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43" name="Rectangle 475">
              <a:extLst>
                <a:ext uri="{FF2B5EF4-FFF2-40B4-BE49-F238E27FC236}">
                  <a16:creationId xmlns:a16="http://schemas.microsoft.com/office/drawing/2014/main" id="{00000000-0008-0000-0500-0000A3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44" name="Rectangle 476">
              <a:extLst>
                <a:ext uri="{FF2B5EF4-FFF2-40B4-BE49-F238E27FC236}">
                  <a16:creationId xmlns:a16="http://schemas.microsoft.com/office/drawing/2014/main" id="{00000000-0008-0000-0500-0000A4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45" name="Rectangle 477">
              <a:extLst>
                <a:ext uri="{FF2B5EF4-FFF2-40B4-BE49-F238E27FC236}">
                  <a16:creationId xmlns:a16="http://schemas.microsoft.com/office/drawing/2014/main" id="{00000000-0008-0000-0500-0000A5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2</xdr:row>
      <xdr:rowOff>546100</xdr:rowOff>
    </xdr:to>
    <xdr:grpSp>
      <xdr:nvGrpSpPr>
        <xdr:cNvPr id="1210427" name="Group 478">
          <a:extLst>
            <a:ext uri="{FF2B5EF4-FFF2-40B4-BE49-F238E27FC236}">
              <a16:creationId xmlns:a16="http://schemas.microsoft.com/office/drawing/2014/main" id="{00000000-0008-0000-0500-00003B781200}"/>
            </a:ext>
          </a:extLst>
        </xdr:cNvPr>
        <xdr:cNvGrpSpPr>
          <a:grpSpLocks/>
        </xdr:cNvGrpSpPr>
      </xdr:nvGrpSpPr>
      <xdr:grpSpPr bwMode="auto">
        <a:xfrm>
          <a:off x="5724525" y="1260475"/>
          <a:ext cx="0" cy="381000"/>
          <a:chOff x="335" y="195"/>
          <a:chExt cx="352" cy="282"/>
        </a:xfrm>
      </xdr:grpSpPr>
      <xdr:grpSp>
        <xdr:nvGrpSpPr>
          <xdr:cNvPr id="1211012" name="Group 479">
            <a:extLst>
              <a:ext uri="{FF2B5EF4-FFF2-40B4-BE49-F238E27FC236}">
                <a16:creationId xmlns:a16="http://schemas.microsoft.com/office/drawing/2014/main" id="{00000000-0008-0000-0500-0000847A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1024" name="Rectangle 480">
              <a:extLst>
                <a:ext uri="{FF2B5EF4-FFF2-40B4-BE49-F238E27FC236}">
                  <a16:creationId xmlns:a16="http://schemas.microsoft.com/office/drawing/2014/main" id="{00000000-0008-0000-0500-000090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25" name="Line 481">
              <a:extLst>
                <a:ext uri="{FF2B5EF4-FFF2-40B4-BE49-F238E27FC236}">
                  <a16:creationId xmlns:a16="http://schemas.microsoft.com/office/drawing/2014/main" id="{00000000-0008-0000-0500-0000917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26" name="Line 482">
              <a:extLst>
                <a:ext uri="{FF2B5EF4-FFF2-40B4-BE49-F238E27FC236}">
                  <a16:creationId xmlns:a16="http://schemas.microsoft.com/office/drawing/2014/main" id="{00000000-0008-0000-0500-0000927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27" name="Rectangle 483">
              <a:extLst>
                <a:ext uri="{FF2B5EF4-FFF2-40B4-BE49-F238E27FC236}">
                  <a16:creationId xmlns:a16="http://schemas.microsoft.com/office/drawing/2014/main" id="{00000000-0008-0000-0500-000093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28" name="Oval 484">
              <a:extLst>
                <a:ext uri="{FF2B5EF4-FFF2-40B4-BE49-F238E27FC236}">
                  <a16:creationId xmlns:a16="http://schemas.microsoft.com/office/drawing/2014/main" id="{00000000-0008-0000-0500-000094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29" name="Oval 485">
              <a:extLst>
                <a:ext uri="{FF2B5EF4-FFF2-40B4-BE49-F238E27FC236}">
                  <a16:creationId xmlns:a16="http://schemas.microsoft.com/office/drawing/2014/main" id="{00000000-0008-0000-0500-000095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30" name="Rectangle 486">
              <a:extLst>
                <a:ext uri="{FF2B5EF4-FFF2-40B4-BE49-F238E27FC236}">
                  <a16:creationId xmlns:a16="http://schemas.microsoft.com/office/drawing/2014/main" id="{00000000-0008-0000-0500-000096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31" name="Rectangle 487">
              <a:extLst>
                <a:ext uri="{FF2B5EF4-FFF2-40B4-BE49-F238E27FC236}">
                  <a16:creationId xmlns:a16="http://schemas.microsoft.com/office/drawing/2014/main" id="{00000000-0008-0000-0500-000097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32" name="Rectangle 488">
              <a:extLst>
                <a:ext uri="{FF2B5EF4-FFF2-40B4-BE49-F238E27FC236}">
                  <a16:creationId xmlns:a16="http://schemas.microsoft.com/office/drawing/2014/main" id="{00000000-0008-0000-0500-000098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33" name="Rectangle 489">
              <a:extLst>
                <a:ext uri="{FF2B5EF4-FFF2-40B4-BE49-F238E27FC236}">
                  <a16:creationId xmlns:a16="http://schemas.microsoft.com/office/drawing/2014/main" id="{00000000-0008-0000-0500-000099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1013" name="Group 490">
            <a:extLst>
              <a:ext uri="{FF2B5EF4-FFF2-40B4-BE49-F238E27FC236}">
                <a16:creationId xmlns:a16="http://schemas.microsoft.com/office/drawing/2014/main" id="{00000000-0008-0000-0500-0000857A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1014" name="Rectangle 491">
              <a:extLst>
                <a:ext uri="{FF2B5EF4-FFF2-40B4-BE49-F238E27FC236}">
                  <a16:creationId xmlns:a16="http://schemas.microsoft.com/office/drawing/2014/main" id="{00000000-0008-0000-0500-000086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15" name="Line 492">
              <a:extLst>
                <a:ext uri="{FF2B5EF4-FFF2-40B4-BE49-F238E27FC236}">
                  <a16:creationId xmlns:a16="http://schemas.microsoft.com/office/drawing/2014/main" id="{00000000-0008-0000-0500-0000877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16" name="Line 493">
              <a:extLst>
                <a:ext uri="{FF2B5EF4-FFF2-40B4-BE49-F238E27FC236}">
                  <a16:creationId xmlns:a16="http://schemas.microsoft.com/office/drawing/2014/main" id="{00000000-0008-0000-0500-0000887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17" name="Rectangle 494">
              <a:extLst>
                <a:ext uri="{FF2B5EF4-FFF2-40B4-BE49-F238E27FC236}">
                  <a16:creationId xmlns:a16="http://schemas.microsoft.com/office/drawing/2014/main" id="{00000000-0008-0000-0500-000089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18" name="Oval 495">
              <a:extLst>
                <a:ext uri="{FF2B5EF4-FFF2-40B4-BE49-F238E27FC236}">
                  <a16:creationId xmlns:a16="http://schemas.microsoft.com/office/drawing/2014/main" id="{00000000-0008-0000-0500-00008A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19" name="Oval 496">
              <a:extLst>
                <a:ext uri="{FF2B5EF4-FFF2-40B4-BE49-F238E27FC236}">
                  <a16:creationId xmlns:a16="http://schemas.microsoft.com/office/drawing/2014/main" id="{00000000-0008-0000-0500-00008B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20" name="Rectangle 497">
              <a:extLst>
                <a:ext uri="{FF2B5EF4-FFF2-40B4-BE49-F238E27FC236}">
                  <a16:creationId xmlns:a16="http://schemas.microsoft.com/office/drawing/2014/main" id="{00000000-0008-0000-0500-00008C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21" name="Rectangle 498">
              <a:extLst>
                <a:ext uri="{FF2B5EF4-FFF2-40B4-BE49-F238E27FC236}">
                  <a16:creationId xmlns:a16="http://schemas.microsoft.com/office/drawing/2014/main" id="{00000000-0008-0000-0500-00008D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22" name="Rectangle 499">
              <a:extLst>
                <a:ext uri="{FF2B5EF4-FFF2-40B4-BE49-F238E27FC236}">
                  <a16:creationId xmlns:a16="http://schemas.microsoft.com/office/drawing/2014/main" id="{00000000-0008-0000-0500-00008E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23" name="Rectangle 500">
              <a:extLst>
                <a:ext uri="{FF2B5EF4-FFF2-40B4-BE49-F238E27FC236}">
                  <a16:creationId xmlns:a16="http://schemas.microsoft.com/office/drawing/2014/main" id="{00000000-0008-0000-0500-00008F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2</xdr:row>
      <xdr:rowOff>546100</xdr:rowOff>
    </xdr:to>
    <xdr:grpSp>
      <xdr:nvGrpSpPr>
        <xdr:cNvPr id="1210428" name="Group 501">
          <a:extLst>
            <a:ext uri="{FF2B5EF4-FFF2-40B4-BE49-F238E27FC236}">
              <a16:creationId xmlns:a16="http://schemas.microsoft.com/office/drawing/2014/main" id="{00000000-0008-0000-0500-00003C781200}"/>
            </a:ext>
          </a:extLst>
        </xdr:cNvPr>
        <xdr:cNvGrpSpPr>
          <a:grpSpLocks/>
        </xdr:cNvGrpSpPr>
      </xdr:nvGrpSpPr>
      <xdr:grpSpPr bwMode="auto">
        <a:xfrm>
          <a:off x="5724525" y="1260475"/>
          <a:ext cx="0" cy="381000"/>
          <a:chOff x="335" y="195"/>
          <a:chExt cx="352" cy="282"/>
        </a:xfrm>
      </xdr:grpSpPr>
      <xdr:grpSp>
        <xdr:nvGrpSpPr>
          <xdr:cNvPr id="1210990" name="Group 502">
            <a:extLst>
              <a:ext uri="{FF2B5EF4-FFF2-40B4-BE49-F238E27FC236}">
                <a16:creationId xmlns:a16="http://schemas.microsoft.com/office/drawing/2014/main" id="{00000000-0008-0000-0500-00006E7A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1002" name="Rectangle 503">
              <a:extLst>
                <a:ext uri="{FF2B5EF4-FFF2-40B4-BE49-F238E27FC236}">
                  <a16:creationId xmlns:a16="http://schemas.microsoft.com/office/drawing/2014/main" id="{00000000-0008-0000-0500-00007A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03" name="Line 504">
              <a:extLst>
                <a:ext uri="{FF2B5EF4-FFF2-40B4-BE49-F238E27FC236}">
                  <a16:creationId xmlns:a16="http://schemas.microsoft.com/office/drawing/2014/main" id="{00000000-0008-0000-0500-00007B7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04" name="Line 505">
              <a:extLst>
                <a:ext uri="{FF2B5EF4-FFF2-40B4-BE49-F238E27FC236}">
                  <a16:creationId xmlns:a16="http://schemas.microsoft.com/office/drawing/2014/main" id="{00000000-0008-0000-0500-00007C7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05" name="Rectangle 506">
              <a:extLst>
                <a:ext uri="{FF2B5EF4-FFF2-40B4-BE49-F238E27FC236}">
                  <a16:creationId xmlns:a16="http://schemas.microsoft.com/office/drawing/2014/main" id="{00000000-0008-0000-0500-00007D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06" name="Oval 507">
              <a:extLst>
                <a:ext uri="{FF2B5EF4-FFF2-40B4-BE49-F238E27FC236}">
                  <a16:creationId xmlns:a16="http://schemas.microsoft.com/office/drawing/2014/main" id="{00000000-0008-0000-0500-00007E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07" name="Oval 508">
              <a:extLst>
                <a:ext uri="{FF2B5EF4-FFF2-40B4-BE49-F238E27FC236}">
                  <a16:creationId xmlns:a16="http://schemas.microsoft.com/office/drawing/2014/main" id="{00000000-0008-0000-0500-00007F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08" name="Rectangle 509">
              <a:extLst>
                <a:ext uri="{FF2B5EF4-FFF2-40B4-BE49-F238E27FC236}">
                  <a16:creationId xmlns:a16="http://schemas.microsoft.com/office/drawing/2014/main" id="{00000000-0008-0000-0500-000080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09" name="Rectangle 510">
              <a:extLst>
                <a:ext uri="{FF2B5EF4-FFF2-40B4-BE49-F238E27FC236}">
                  <a16:creationId xmlns:a16="http://schemas.microsoft.com/office/drawing/2014/main" id="{00000000-0008-0000-0500-000081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10" name="Rectangle 511">
              <a:extLst>
                <a:ext uri="{FF2B5EF4-FFF2-40B4-BE49-F238E27FC236}">
                  <a16:creationId xmlns:a16="http://schemas.microsoft.com/office/drawing/2014/main" id="{00000000-0008-0000-0500-000082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11" name="Rectangle 512">
              <a:extLst>
                <a:ext uri="{FF2B5EF4-FFF2-40B4-BE49-F238E27FC236}">
                  <a16:creationId xmlns:a16="http://schemas.microsoft.com/office/drawing/2014/main" id="{00000000-0008-0000-0500-000083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0991" name="Group 513">
            <a:extLst>
              <a:ext uri="{FF2B5EF4-FFF2-40B4-BE49-F238E27FC236}">
                <a16:creationId xmlns:a16="http://schemas.microsoft.com/office/drawing/2014/main" id="{00000000-0008-0000-0500-00006F7A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0992" name="Rectangle 514">
              <a:extLst>
                <a:ext uri="{FF2B5EF4-FFF2-40B4-BE49-F238E27FC236}">
                  <a16:creationId xmlns:a16="http://schemas.microsoft.com/office/drawing/2014/main" id="{00000000-0008-0000-0500-000070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93" name="Line 515">
              <a:extLst>
                <a:ext uri="{FF2B5EF4-FFF2-40B4-BE49-F238E27FC236}">
                  <a16:creationId xmlns:a16="http://schemas.microsoft.com/office/drawing/2014/main" id="{00000000-0008-0000-0500-0000717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94" name="Line 516">
              <a:extLst>
                <a:ext uri="{FF2B5EF4-FFF2-40B4-BE49-F238E27FC236}">
                  <a16:creationId xmlns:a16="http://schemas.microsoft.com/office/drawing/2014/main" id="{00000000-0008-0000-0500-0000727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95" name="Rectangle 517">
              <a:extLst>
                <a:ext uri="{FF2B5EF4-FFF2-40B4-BE49-F238E27FC236}">
                  <a16:creationId xmlns:a16="http://schemas.microsoft.com/office/drawing/2014/main" id="{00000000-0008-0000-0500-000073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96" name="Oval 518">
              <a:extLst>
                <a:ext uri="{FF2B5EF4-FFF2-40B4-BE49-F238E27FC236}">
                  <a16:creationId xmlns:a16="http://schemas.microsoft.com/office/drawing/2014/main" id="{00000000-0008-0000-0500-000074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97" name="Oval 519">
              <a:extLst>
                <a:ext uri="{FF2B5EF4-FFF2-40B4-BE49-F238E27FC236}">
                  <a16:creationId xmlns:a16="http://schemas.microsoft.com/office/drawing/2014/main" id="{00000000-0008-0000-0500-000075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98" name="Rectangle 520">
              <a:extLst>
                <a:ext uri="{FF2B5EF4-FFF2-40B4-BE49-F238E27FC236}">
                  <a16:creationId xmlns:a16="http://schemas.microsoft.com/office/drawing/2014/main" id="{00000000-0008-0000-0500-000076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99" name="Rectangle 521">
              <a:extLst>
                <a:ext uri="{FF2B5EF4-FFF2-40B4-BE49-F238E27FC236}">
                  <a16:creationId xmlns:a16="http://schemas.microsoft.com/office/drawing/2014/main" id="{00000000-0008-0000-0500-000077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00" name="Rectangle 522">
              <a:extLst>
                <a:ext uri="{FF2B5EF4-FFF2-40B4-BE49-F238E27FC236}">
                  <a16:creationId xmlns:a16="http://schemas.microsoft.com/office/drawing/2014/main" id="{00000000-0008-0000-0500-000078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01" name="Rectangle 523">
              <a:extLst>
                <a:ext uri="{FF2B5EF4-FFF2-40B4-BE49-F238E27FC236}">
                  <a16:creationId xmlns:a16="http://schemas.microsoft.com/office/drawing/2014/main" id="{00000000-0008-0000-0500-000079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2</xdr:row>
      <xdr:rowOff>546100</xdr:rowOff>
    </xdr:to>
    <xdr:grpSp>
      <xdr:nvGrpSpPr>
        <xdr:cNvPr id="1210429" name="Group 524">
          <a:extLst>
            <a:ext uri="{FF2B5EF4-FFF2-40B4-BE49-F238E27FC236}">
              <a16:creationId xmlns:a16="http://schemas.microsoft.com/office/drawing/2014/main" id="{00000000-0008-0000-0500-00003D781200}"/>
            </a:ext>
          </a:extLst>
        </xdr:cNvPr>
        <xdr:cNvGrpSpPr>
          <a:grpSpLocks/>
        </xdr:cNvGrpSpPr>
      </xdr:nvGrpSpPr>
      <xdr:grpSpPr bwMode="auto">
        <a:xfrm>
          <a:off x="5724525" y="1260475"/>
          <a:ext cx="0" cy="381000"/>
          <a:chOff x="335" y="195"/>
          <a:chExt cx="352" cy="282"/>
        </a:xfrm>
      </xdr:grpSpPr>
      <xdr:grpSp>
        <xdr:nvGrpSpPr>
          <xdr:cNvPr id="1210968" name="Group 525">
            <a:extLst>
              <a:ext uri="{FF2B5EF4-FFF2-40B4-BE49-F238E27FC236}">
                <a16:creationId xmlns:a16="http://schemas.microsoft.com/office/drawing/2014/main" id="{00000000-0008-0000-0500-0000587A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0980" name="Rectangle 526">
              <a:extLst>
                <a:ext uri="{FF2B5EF4-FFF2-40B4-BE49-F238E27FC236}">
                  <a16:creationId xmlns:a16="http://schemas.microsoft.com/office/drawing/2014/main" id="{00000000-0008-0000-0500-000064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81" name="Line 527">
              <a:extLst>
                <a:ext uri="{FF2B5EF4-FFF2-40B4-BE49-F238E27FC236}">
                  <a16:creationId xmlns:a16="http://schemas.microsoft.com/office/drawing/2014/main" id="{00000000-0008-0000-0500-0000657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82" name="Line 528">
              <a:extLst>
                <a:ext uri="{FF2B5EF4-FFF2-40B4-BE49-F238E27FC236}">
                  <a16:creationId xmlns:a16="http://schemas.microsoft.com/office/drawing/2014/main" id="{00000000-0008-0000-0500-0000667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83" name="Rectangle 529">
              <a:extLst>
                <a:ext uri="{FF2B5EF4-FFF2-40B4-BE49-F238E27FC236}">
                  <a16:creationId xmlns:a16="http://schemas.microsoft.com/office/drawing/2014/main" id="{00000000-0008-0000-0500-000067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84" name="Oval 530">
              <a:extLst>
                <a:ext uri="{FF2B5EF4-FFF2-40B4-BE49-F238E27FC236}">
                  <a16:creationId xmlns:a16="http://schemas.microsoft.com/office/drawing/2014/main" id="{00000000-0008-0000-0500-000068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85" name="Oval 531">
              <a:extLst>
                <a:ext uri="{FF2B5EF4-FFF2-40B4-BE49-F238E27FC236}">
                  <a16:creationId xmlns:a16="http://schemas.microsoft.com/office/drawing/2014/main" id="{00000000-0008-0000-0500-000069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86" name="Rectangle 532">
              <a:extLst>
                <a:ext uri="{FF2B5EF4-FFF2-40B4-BE49-F238E27FC236}">
                  <a16:creationId xmlns:a16="http://schemas.microsoft.com/office/drawing/2014/main" id="{00000000-0008-0000-0500-00006A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87" name="Rectangle 533">
              <a:extLst>
                <a:ext uri="{FF2B5EF4-FFF2-40B4-BE49-F238E27FC236}">
                  <a16:creationId xmlns:a16="http://schemas.microsoft.com/office/drawing/2014/main" id="{00000000-0008-0000-0500-00006B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88" name="Rectangle 534">
              <a:extLst>
                <a:ext uri="{FF2B5EF4-FFF2-40B4-BE49-F238E27FC236}">
                  <a16:creationId xmlns:a16="http://schemas.microsoft.com/office/drawing/2014/main" id="{00000000-0008-0000-0500-00006C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89" name="Rectangle 535">
              <a:extLst>
                <a:ext uri="{FF2B5EF4-FFF2-40B4-BE49-F238E27FC236}">
                  <a16:creationId xmlns:a16="http://schemas.microsoft.com/office/drawing/2014/main" id="{00000000-0008-0000-0500-00006D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0969" name="Group 536">
            <a:extLst>
              <a:ext uri="{FF2B5EF4-FFF2-40B4-BE49-F238E27FC236}">
                <a16:creationId xmlns:a16="http://schemas.microsoft.com/office/drawing/2014/main" id="{00000000-0008-0000-0500-0000597A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0970" name="Rectangle 537">
              <a:extLst>
                <a:ext uri="{FF2B5EF4-FFF2-40B4-BE49-F238E27FC236}">
                  <a16:creationId xmlns:a16="http://schemas.microsoft.com/office/drawing/2014/main" id="{00000000-0008-0000-0500-00005A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71" name="Line 538">
              <a:extLst>
                <a:ext uri="{FF2B5EF4-FFF2-40B4-BE49-F238E27FC236}">
                  <a16:creationId xmlns:a16="http://schemas.microsoft.com/office/drawing/2014/main" id="{00000000-0008-0000-0500-00005B7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72" name="Line 539">
              <a:extLst>
                <a:ext uri="{FF2B5EF4-FFF2-40B4-BE49-F238E27FC236}">
                  <a16:creationId xmlns:a16="http://schemas.microsoft.com/office/drawing/2014/main" id="{00000000-0008-0000-0500-00005C7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73" name="Rectangle 540">
              <a:extLst>
                <a:ext uri="{FF2B5EF4-FFF2-40B4-BE49-F238E27FC236}">
                  <a16:creationId xmlns:a16="http://schemas.microsoft.com/office/drawing/2014/main" id="{00000000-0008-0000-0500-00005D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74" name="Oval 541">
              <a:extLst>
                <a:ext uri="{FF2B5EF4-FFF2-40B4-BE49-F238E27FC236}">
                  <a16:creationId xmlns:a16="http://schemas.microsoft.com/office/drawing/2014/main" id="{00000000-0008-0000-0500-00005E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75" name="Oval 542">
              <a:extLst>
                <a:ext uri="{FF2B5EF4-FFF2-40B4-BE49-F238E27FC236}">
                  <a16:creationId xmlns:a16="http://schemas.microsoft.com/office/drawing/2014/main" id="{00000000-0008-0000-0500-00005F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76" name="Rectangle 543">
              <a:extLst>
                <a:ext uri="{FF2B5EF4-FFF2-40B4-BE49-F238E27FC236}">
                  <a16:creationId xmlns:a16="http://schemas.microsoft.com/office/drawing/2014/main" id="{00000000-0008-0000-0500-000060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77" name="Rectangle 544">
              <a:extLst>
                <a:ext uri="{FF2B5EF4-FFF2-40B4-BE49-F238E27FC236}">
                  <a16:creationId xmlns:a16="http://schemas.microsoft.com/office/drawing/2014/main" id="{00000000-0008-0000-0500-000061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78" name="Rectangle 545">
              <a:extLst>
                <a:ext uri="{FF2B5EF4-FFF2-40B4-BE49-F238E27FC236}">
                  <a16:creationId xmlns:a16="http://schemas.microsoft.com/office/drawing/2014/main" id="{00000000-0008-0000-0500-000062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79" name="Rectangle 546">
              <a:extLst>
                <a:ext uri="{FF2B5EF4-FFF2-40B4-BE49-F238E27FC236}">
                  <a16:creationId xmlns:a16="http://schemas.microsoft.com/office/drawing/2014/main" id="{00000000-0008-0000-0500-000063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2</xdr:row>
      <xdr:rowOff>546100</xdr:rowOff>
    </xdr:to>
    <xdr:grpSp>
      <xdr:nvGrpSpPr>
        <xdr:cNvPr id="1210430" name="Group 547">
          <a:extLst>
            <a:ext uri="{FF2B5EF4-FFF2-40B4-BE49-F238E27FC236}">
              <a16:creationId xmlns:a16="http://schemas.microsoft.com/office/drawing/2014/main" id="{00000000-0008-0000-0500-00003E781200}"/>
            </a:ext>
          </a:extLst>
        </xdr:cNvPr>
        <xdr:cNvGrpSpPr>
          <a:grpSpLocks/>
        </xdr:cNvGrpSpPr>
      </xdr:nvGrpSpPr>
      <xdr:grpSpPr bwMode="auto">
        <a:xfrm>
          <a:off x="5724525" y="1260475"/>
          <a:ext cx="0" cy="381000"/>
          <a:chOff x="335" y="195"/>
          <a:chExt cx="352" cy="282"/>
        </a:xfrm>
      </xdr:grpSpPr>
      <xdr:grpSp>
        <xdr:nvGrpSpPr>
          <xdr:cNvPr id="1210946" name="Group 548">
            <a:extLst>
              <a:ext uri="{FF2B5EF4-FFF2-40B4-BE49-F238E27FC236}">
                <a16:creationId xmlns:a16="http://schemas.microsoft.com/office/drawing/2014/main" id="{00000000-0008-0000-0500-0000427A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0958" name="Rectangle 549">
              <a:extLst>
                <a:ext uri="{FF2B5EF4-FFF2-40B4-BE49-F238E27FC236}">
                  <a16:creationId xmlns:a16="http://schemas.microsoft.com/office/drawing/2014/main" id="{00000000-0008-0000-0500-00004E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59" name="Line 550">
              <a:extLst>
                <a:ext uri="{FF2B5EF4-FFF2-40B4-BE49-F238E27FC236}">
                  <a16:creationId xmlns:a16="http://schemas.microsoft.com/office/drawing/2014/main" id="{00000000-0008-0000-0500-00004F7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60" name="Line 551">
              <a:extLst>
                <a:ext uri="{FF2B5EF4-FFF2-40B4-BE49-F238E27FC236}">
                  <a16:creationId xmlns:a16="http://schemas.microsoft.com/office/drawing/2014/main" id="{00000000-0008-0000-0500-0000507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61" name="Rectangle 552">
              <a:extLst>
                <a:ext uri="{FF2B5EF4-FFF2-40B4-BE49-F238E27FC236}">
                  <a16:creationId xmlns:a16="http://schemas.microsoft.com/office/drawing/2014/main" id="{00000000-0008-0000-0500-000051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62" name="Oval 553">
              <a:extLst>
                <a:ext uri="{FF2B5EF4-FFF2-40B4-BE49-F238E27FC236}">
                  <a16:creationId xmlns:a16="http://schemas.microsoft.com/office/drawing/2014/main" id="{00000000-0008-0000-0500-000052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63" name="Oval 554">
              <a:extLst>
                <a:ext uri="{FF2B5EF4-FFF2-40B4-BE49-F238E27FC236}">
                  <a16:creationId xmlns:a16="http://schemas.microsoft.com/office/drawing/2014/main" id="{00000000-0008-0000-0500-000053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64" name="Rectangle 555">
              <a:extLst>
                <a:ext uri="{FF2B5EF4-FFF2-40B4-BE49-F238E27FC236}">
                  <a16:creationId xmlns:a16="http://schemas.microsoft.com/office/drawing/2014/main" id="{00000000-0008-0000-0500-000054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65" name="Rectangle 556">
              <a:extLst>
                <a:ext uri="{FF2B5EF4-FFF2-40B4-BE49-F238E27FC236}">
                  <a16:creationId xmlns:a16="http://schemas.microsoft.com/office/drawing/2014/main" id="{00000000-0008-0000-0500-000055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66" name="Rectangle 557">
              <a:extLst>
                <a:ext uri="{FF2B5EF4-FFF2-40B4-BE49-F238E27FC236}">
                  <a16:creationId xmlns:a16="http://schemas.microsoft.com/office/drawing/2014/main" id="{00000000-0008-0000-0500-000056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67" name="Rectangle 558">
              <a:extLst>
                <a:ext uri="{FF2B5EF4-FFF2-40B4-BE49-F238E27FC236}">
                  <a16:creationId xmlns:a16="http://schemas.microsoft.com/office/drawing/2014/main" id="{00000000-0008-0000-0500-000057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0947" name="Group 559">
            <a:extLst>
              <a:ext uri="{FF2B5EF4-FFF2-40B4-BE49-F238E27FC236}">
                <a16:creationId xmlns:a16="http://schemas.microsoft.com/office/drawing/2014/main" id="{00000000-0008-0000-0500-0000437A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0948" name="Rectangle 560">
              <a:extLst>
                <a:ext uri="{FF2B5EF4-FFF2-40B4-BE49-F238E27FC236}">
                  <a16:creationId xmlns:a16="http://schemas.microsoft.com/office/drawing/2014/main" id="{00000000-0008-0000-0500-000044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49" name="Line 561">
              <a:extLst>
                <a:ext uri="{FF2B5EF4-FFF2-40B4-BE49-F238E27FC236}">
                  <a16:creationId xmlns:a16="http://schemas.microsoft.com/office/drawing/2014/main" id="{00000000-0008-0000-0500-0000457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50" name="Line 562">
              <a:extLst>
                <a:ext uri="{FF2B5EF4-FFF2-40B4-BE49-F238E27FC236}">
                  <a16:creationId xmlns:a16="http://schemas.microsoft.com/office/drawing/2014/main" id="{00000000-0008-0000-0500-0000467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51" name="Rectangle 563">
              <a:extLst>
                <a:ext uri="{FF2B5EF4-FFF2-40B4-BE49-F238E27FC236}">
                  <a16:creationId xmlns:a16="http://schemas.microsoft.com/office/drawing/2014/main" id="{00000000-0008-0000-0500-000047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52" name="Oval 564">
              <a:extLst>
                <a:ext uri="{FF2B5EF4-FFF2-40B4-BE49-F238E27FC236}">
                  <a16:creationId xmlns:a16="http://schemas.microsoft.com/office/drawing/2014/main" id="{00000000-0008-0000-0500-000048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53" name="Oval 565">
              <a:extLst>
                <a:ext uri="{FF2B5EF4-FFF2-40B4-BE49-F238E27FC236}">
                  <a16:creationId xmlns:a16="http://schemas.microsoft.com/office/drawing/2014/main" id="{00000000-0008-0000-0500-000049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54" name="Rectangle 566">
              <a:extLst>
                <a:ext uri="{FF2B5EF4-FFF2-40B4-BE49-F238E27FC236}">
                  <a16:creationId xmlns:a16="http://schemas.microsoft.com/office/drawing/2014/main" id="{00000000-0008-0000-0500-00004A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55" name="Rectangle 567">
              <a:extLst>
                <a:ext uri="{FF2B5EF4-FFF2-40B4-BE49-F238E27FC236}">
                  <a16:creationId xmlns:a16="http://schemas.microsoft.com/office/drawing/2014/main" id="{00000000-0008-0000-0500-00004B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56" name="Rectangle 568">
              <a:extLst>
                <a:ext uri="{FF2B5EF4-FFF2-40B4-BE49-F238E27FC236}">
                  <a16:creationId xmlns:a16="http://schemas.microsoft.com/office/drawing/2014/main" id="{00000000-0008-0000-0500-00004C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57" name="Rectangle 569">
              <a:extLst>
                <a:ext uri="{FF2B5EF4-FFF2-40B4-BE49-F238E27FC236}">
                  <a16:creationId xmlns:a16="http://schemas.microsoft.com/office/drawing/2014/main" id="{00000000-0008-0000-0500-00004D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2</xdr:row>
      <xdr:rowOff>546100</xdr:rowOff>
    </xdr:to>
    <xdr:grpSp>
      <xdr:nvGrpSpPr>
        <xdr:cNvPr id="1210431" name="Group 570">
          <a:extLst>
            <a:ext uri="{FF2B5EF4-FFF2-40B4-BE49-F238E27FC236}">
              <a16:creationId xmlns:a16="http://schemas.microsoft.com/office/drawing/2014/main" id="{00000000-0008-0000-0500-00003F781200}"/>
            </a:ext>
          </a:extLst>
        </xdr:cNvPr>
        <xdr:cNvGrpSpPr>
          <a:grpSpLocks/>
        </xdr:cNvGrpSpPr>
      </xdr:nvGrpSpPr>
      <xdr:grpSpPr bwMode="auto">
        <a:xfrm>
          <a:off x="5724525" y="1260475"/>
          <a:ext cx="0" cy="381000"/>
          <a:chOff x="335" y="195"/>
          <a:chExt cx="352" cy="282"/>
        </a:xfrm>
      </xdr:grpSpPr>
      <xdr:grpSp>
        <xdr:nvGrpSpPr>
          <xdr:cNvPr id="1210924" name="Group 571">
            <a:extLst>
              <a:ext uri="{FF2B5EF4-FFF2-40B4-BE49-F238E27FC236}">
                <a16:creationId xmlns:a16="http://schemas.microsoft.com/office/drawing/2014/main" id="{00000000-0008-0000-0500-00002C7A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0936" name="Rectangle 572">
              <a:extLst>
                <a:ext uri="{FF2B5EF4-FFF2-40B4-BE49-F238E27FC236}">
                  <a16:creationId xmlns:a16="http://schemas.microsoft.com/office/drawing/2014/main" id="{00000000-0008-0000-0500-000038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37" name="Line 573">
              <a:extLst>
                <a:ext uri="{FF2B5EF4-FFF2-40B4-BE49-F238E27FC236}">
                  <a16:creationId xmlns:a16="http://schemas.microsoft.com/office/drawing/2014/main" id="{00000000-0008-0000-0500-0000397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38" name="Line 574">
              <a:extLst>
                <a:ext uri="{FF2B5EF4-FFF2-40B4-BE49-F238E27FC236}">
                  <a16:creationId xmlns:a16="http://schemas.microsoft.com/office/drawing/2014/main" id="{00000000-0008-0000-0500-00003A7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39" name="Rectangle 575">
              <a:extLst>
                <a:ext uri="{FF2B5EF4-FFF2-40B4-BE49-F238E27FC236}">
                  <a16:creationId xmlns:a16="http://schemas.microsoft.com/office/drawing/2014/main" id="{00000000-0008-0000-0500-00003B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40" name="Oval 576">
              <a:extLst>
                <a:ext uri="{FF2B5EF4-FFF2-40B4-BE49-F238E27FC236}">
                  <a16:creationId xmlns:a16="http://schemas.microsoft.com/office/drawing/2014/main" id="{00000000-0008-0000-0500-00003C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41" name="Oval 577">
              <a:extLst>
                <a:ext uri="{FF2B5EF4-FFF2-40B4-BE49-F238E27FC236}">
                  <a16:creationId xmlns:a16="http://schemas.microsoft.com/office/drawing/2014/main" id="{00000000-0008-0000-0500-00003D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42" name="Rectangle 578">
              <a:extLst>
                <a:ext uri="{FF2B5EF4-FFF2-40B4-BE49-F238E27FC236}">
                  <a16:creationId xmlns:a16="http://schemas.microsoft.com/office/drawing/2014/main" id="{00000000-0008-0000-0500-00003E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43" name="Rectangle 579">
              <a:extLst>
                <a:ext uri="{FF2B5EF4-FFF2-40B4-BE49-F238E27FC236}">
                  <a16:creationId xmlns:a16="http://schemas.microsoft.com/office/drawing/2014/main" id="{00000000-0008-0000-0500-00003F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44" name="Rectangle 580">
              <a:extLst>
                <a:ext uri="{FF2B5EF4-FFF2-40B4-BE49-F238E27FC236}">
                  <a16:creationId xmlns:a16="http://schemas.microsoft.com/office/drawing/2014/main" id="{00000000-0008-0000-0500-000040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45" name="Rectangle 581">
              <a:extLst>
                <a:ext uri="{FF2B5EF4-FFF2-40B4-BE49-F238E27FC236}">
                  <a16:creationId xmlns:a16="http://schemas.microsoft.com/office/drawing/2014/main" id="{00000000-0008-0000-0500-000041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0925" name="Group 582">
            <a:extLst>
              <a:ext uri="{FF2B5EF4-FFF2-40B4-BE49-F238E27FC236}">
                <a16:creationId xmlns:a16="http://schemas.microsoft.com/office/drawing/2014/main" id="{00000000-0008-0000-0500-00002D7A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0926" name="Rectangle 583">
              <a:extLst>
                <a:ext uri="{FF2B5EF4-FFF2-40B4-BE49-F238E27FC236}">
                  <a16:creationId xmlns:a16="http://schemas.microsoft.com/office/drawing/2014/main" id="{00000000-0008-0000-0500-00002E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27" name="Line 584">
              <a:extLst>
                <a:ext uri="{FF2B5EF4-FFF2-40B4-BE49-F238E27FC236}">
                  <a16:creationId xmlns:a16="http://schemas.microsoft.com/office/drawing/2014/main" id="{00000000-0008-0000-0500-00002F7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28" name="Line 585">
              <a:extLst>
                <a:ext uri="{FF2B5EF4-FFF2-40B4-BE49-F238E27FC236}">
                  <a16:creationId xmlns:a16="http://schemas.microsoft.com/office/drawing/2014/main" id="{00000000-0008-0000-0500-0000307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29" name="Rectangle 586">
              <a:extLst>
                <a:ext uri="{FF2B5EF4-FFF2-40B4-BE49-F238E27FC236}">
                  <a16:creationId xmlns:a16="http://schemas.microsoft.com/office/drawing/2014/main" id="{00000000-0008-0000-0500-000031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30" name="Oval 587">
              <a:extLst>
                <a:ext uri="{FF2B5EF4-FFF2-40B4-BE49-F238E27FC236}">
                  <a16:creationId xmlns:a16="http://schemas.microsoft.com/office/drawing/2014/main" id="{00000000-0008-0000-0500-000032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31" name="Oval 588">
              <a:extLst>
                <a:ext uri="{FF2B5EF4-FFF2-40B4-BE49-F238E27FC236}">
                  <a16:creationId xmlns:a16="http://schemas.microsoft.com/office/drawing/2014/main" id="{00000000-0008-0000-0500-000033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32" name="Rectangle 589">
              <a:extLst>
                <a:ext uri="{FF2B5EF4-FFF2-40B4-BE49-F238E27FC236}">
                  <a16:creationId xmlns:a16="http://schemas.microsoft.com/office/drawing/2014/main" id="{00000000-0008-0000-0500-000034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33" name="Rectangle 590">
              <a:extLst>
                <a:ext uri="{FF2B5EF4-FFF2-40B4-BE49-F238E27FC236}">
                  <a16:creationId xmlns:a16="http://schemas.microsoft.com/office/drawing/2014/main" id="{00000000-0008-0000-0500-000035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34" name="Rectangle 591">
              <a:extLst>
                <a:ext uri="{FF2B5EF4-FFF2-40B4-BE49-F238E27FC236}">
                  <a16:creationId xmlns:a16="http://schemas.microsoft.com/office/drawing/2014/main" id="{00000000-0008-0000-0500-000036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35" name="Rectangle 592">
              <a:extLst>
                <a:ext uri="{FF2B5EF4-FFF2-40B4-BE49-F238E27FC236}">
                  <a16:creationId xmlns:a16="http://schemas.microsoft.com/office/drawing/2014/main" id="{00000000-0008-0000-0500-000037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2</xdr:row>
      <xdr:rowOff>546100</xdr:rowOff>
    </xdr:to>
    <xdr:grpSp>
      <xdr:nvGrpSpPr>
        <xdr:cNvPr id="1210432" name="Group 593">
          <a:extLst>
            <a:ext uri="{FF2B5EF4-FFF2-40B4-BE49-F238E27FC236}">
              <a16:creationId xmlns:a16="http://schemas.microsoft.com/office/drawing/2014/main" id="{00000000-0008-0000-0500-000040781200}"/>
            </a:ext>
          </a:extLst>
        </xdr:cNvPr>
        <xdr:cNvGrpSpPr>
          <a:grpSpLocks/>
        </xdr:cNvGrpSpPr>
      </xdr:nvGrpSpPr>
      <xdr:grpSpPr bwMode="auto">
        <a:xfrm>
          <a:off x="5724525" y="1260475"/>
          <a:ext cx="0" cy="381000"/>
          <a:chOff x="335" y="195"/>
          <a:chExt cx="352" cy="282"/>
        </a:xfrm>
      </xdr:grpSpPr>
      <xdr:grpSp>
        <xdr:nvGrpSpPr>
          <xdr:cNvPr id="1210902" name="Group 594">
            <a:extLst>
              <a:ext uri="{FF2B5EF4-FFF2-40B4-BE49-F238E27FC236}">
                <a16:creationId xmlns:a16="http://schemas.microsoft.com/office/drawing/2014/main" id="{00000000-0008-0000-0500-0000167A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0914" name="Rectangle 595">
              <a:extLst>
                <a:ext uri="{FF2B5EF4-FFF2-40B4-BE49-F238E27FC236}">
                  <a16:creationId xmlns:a16="http://schemas.microsoft.com/office/drawing/2014/main" id="{00000000-0008-0000-0500-000022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15" name="Line 596">
              <a:extLst>
                <a:ext uri="{FF2B5EF4-FFF2-40B4-BE49-F238E27FC236}">
                  <a16:creationId xmlns:a16="http://schemas.microsoft.com/office/drawing/2014/main" id="{00000000-0008-0000-0500-0000237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16" name="Line 597">
              <a:extLst>
                <a:ext uri="{FF2B5EF4-FFF2-40B4-BE49-F238E27FC236}">
                  <a16:creationId xmlns:a16="http://schemas.microsoft.com/office/drawing/2014/main" id="{00000000-0008-0000-0500-0000247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17" name="Rectangle 598">
              <a:extLst>
                <a:ext uri="{FF2B5EF4-FFF2-40B4-BE49-F238E27FC236}">
                  <a16:creationId xmlns:a16="http://schemas.microsoft.com/office/drawing/2014/main" id="{00000000-0008-0000-0500-000025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18" name="Oval 599">
              <a:extLst>
                <a:ext uri="{FF2B5EF4-FFF2-40B4-BE49-F238E27FC236}">
                  <a16:creationId xmlns:a16="http://schemas.microsoft.com/office/drawing/2014/main" id="{00000000-0008-0000-0500-000026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19" name="Oval 600">
              <a:extLst>
                <a:ext uri="{FF2B5EF4-FFF2-40B4-BE49-F238E27FC236}">
                  <a16:creationId xmlns:a16="http://schemas.microsoft.com/office/drawing/2014/main" id="{00000000-0008-0000-0500-000027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20" name="Rectangle 601">
              <a:extLst>
                <a:ext uri="{FF2B5EF4-FFF2-40B4-BE49-F238E27FC236}">
                  <a16:creationId xmlns:a16="http://schemas.microsoft.com/office/drawing/2014/main" id="{00000000-0008-0000-0500-000028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21" name="Rectangle 602">
              <a:extLst>
                <a:ext uri="{FF2B5EF4-FFF2-40B4-BE49-F238E27FC236}">
                  <a16:creationId xmlns:a16="http://schemas.microsoft.com/office/drawing/2014/main" id="{00000000-0008-0000-0500-000029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22" name="Rectangle 603">
              <a:extLst>
                <a:ext uri="{FF2B5EF4-FFF2-40B4-BE49-F238E27FC236}">
                  <a16:creationId xmlns:a16="http://schemas.microsoft.com/office/drawing/2014/main" id="{00000000-0008-0000-0500-00002A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23" name="Rectangle 604">
              <a:extLst>
                <a:ext uri="{FF2B5EF4-FFF2-40B4-BE49-F238E27FC236}">
                  <a16:creationId xmlns:a16="http://schemas.microsoft.com/office/drawing/2014/main" id="{00000000-0008-0000-0500-00002B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0903" name="Group 605">
            <a:extLst>
              <a:ext uri="{FF2B5EF4-FFF2-40B4-BE49-F238E27FC236}">
                <a16:creationId xmlns:a16="http://schemas.microsoft.com/office/drawing/2014/main" id="{00000000-0008-0000-0500-0000177A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0904" name="Rectangle 606">
              <a:extLst>
                <a:ext uri="{FF2B5EF4-FFF2-40B4-BE49-F238E27FC236}">
                  <a16:creationId xmlns:a16="http://schemas.microsoft.com/office/drawing/2014/main" id="{00000000-0008-0000-0500-000018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05" name="Line 607">
              <a:extLst>
                <a:ext uri="{FF2B5EF4-FFF2-40B4-BE49-F238E27FC236}">
                  <a16:creationId xmlns:a16="http://schemas.microsoft.com/office/drawing/2014/main" id="{00000000-0008-0000-0500-0000197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06" name="Line 608">
              <a:extLst>
                <a:ext uri="{FF2B5EF4-FFF2-40B4-BE49-F238E27FC236}">
                  <a16:creationId xmlns:a16="http://schemas.microsoft.com/office/drawing/2014/main" id="{00000000-0008-0000-0500-00001A7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07" name="Rectangle 609">
              <a:extLst>
                <a:ext uri="{FF2B5EF4-FFF2-40B4-BE49-F238E27FC236}">
                  <a16:creationId xmlns:a16="http://schemas.microsoft.com/office/drawing/2014/main" id="{00000000-0008-0000-0500-00001B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08" name="Oval 610">
              <a:extLst>
                <a:ext uri="{FF2B5EF4-FFF2-40B4-BE49-F238E27FC236}">
                  <a16:creationId xmlns:a16="http://schemas.microsoft.com/office/drawing/2014/main" id="{00000000-0008-0000-0500-00001C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09" name="Oval 611">
              <a:extLst>
                <a:ext uri="{FF2B5EF4-FFF2-40B4-BE49-F238E27FC236}">
                  <a16:creationId xmlns:a16="http://schemas.microsoft.com/office/drawing/2014/main" id="{00000000-0008-0000-0500-00001D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10" name="Rectangle 612">
              <a:extLst>
                <a:ext uri="{FF2B5EF4-FFF2-40B4-BE49-F238E27FC236}">
                  <a16:creationId xmlns:a16="http://schemas.microsoft.com/office/drawing/2014/main" id="{00000000-0008-0000-0500-00001E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11" name="Rectangle 613">
              <a:extLst>
                <a:ext uri="{FF2B5EF4-FFF2-40B4-BE49-F238E27FC236}">
                  <a16:creationId xmlns:a16="http://schemas.microsoft.com/office/drawing/2014/main" id="{00000000-0008-0000-0500-00001F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12" name="Rectangle 614">
              <a:extLst>
                <a:ext uri="{FF2B5EF4-FFF2-40B4-BE49-F238E27FC236}">
                  <a16:creationId xmlns:a16="http://schemas.microsoft.com/office/drawing/2014/main" id="{00000000-0008-0000-0500-000020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13" name="Rectangle 615">
              <a:extLst>
                <a:ext uri="{FF2B5EF4-FFF2-40B4-BE49-F238E27FC236}">
                  <a16:creationId xmlns:a16="http://schemas.microsoft.com/office/drawing/2014/main" id="{00000000-0008-0000-0500-000021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10433" name="Group 616">
          <a:extLst>
            <a:ext uri="{FF2B5EF4-FFF2-40B4-BE49-F238E27FC236}">
              <a16:creationId xmlns:a16="http://schemas.microsoft.com/office/drawing/2014/main" id="{00000000-0008-0000-0500-000041781200}"/>
            </a:ext>
          </a:extLst>
        </xdr:cNvPr>
        <xdr:cNvGrpSpPr>
          <a:grpSpLocks/>
        </xdr:cNvGrpSpPr>
      </xdr:nvGrpSpPr>
      <xdr:grpSpPr bwMode="auto">
        <a:xfrm>
          <a:off x="5724525" y="1260475"/>
          <a:ext cx="0" cy="406400"/>
          <a:chOff x="220" y="176"/>
          <a:chExt cx="556" cy="247"/>
        </a:xfrm>
      </xdr:grpSpPr>
      <xdr:sp macro="" textlink="">
        <xdr:nvSpPr>
          <xdr:cNvPr id="1210879" name="Rectangle 617">
            <a:extLst>
              <a:ext uri="{FF2B5EF4-FFF2-40B4-BE49-F238E27FC236}">
                <a16:creationId xmlns:a16="http://schemas.microsoft.com/office/drawing/2014/main" id="{00000000-0008-0000-0500-0000FF7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80" name="Line 618">
            <a:extLst>
              <a:ext uri="{FF2B5EF4-FFF2-40B4-BE49-F238E27FC236}">
                <a16:creationId xmlns:a16="http://schemas.microsoft.com/office/drawing/2014/main" id="{00000000-0008-0000-0500-0000007A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81" name="Line 619">
            <a:extLst>
              <a:ext uri="{FF2B5EF4-FFF2-40B4-BE49-F238E27FC236}">
                <a16:creationId xmlns:a16="http://schemas.microsoft.com/office/drawing/2014/main" id="{00000000-0008-0000-0500-0000017A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82" name="Rectangle 620">
            <a:extLst>
              <a:ext uri="{FF2B5EF4-FFF2-40B4-BE49-F238E27FC236}">
                <a16:creationId xmlns:a16="http://schemas.microsoft.com/office/drawing/2014/main" id="{00000000-0008-0000-0500-0000027A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83" name="Oval 621">
            <a:extLst>
              <a:ext uri="{FF2B5EF4-FFF2-40B4-BE49-F238E27FC236}">
                <a16:creationId xmlns:a16="http://schemas.microsoft.com/office/drawing/2014/main" id="{00000000-0008-0000-0500-0000037A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84" name="Oval 622">
            <a:extLst>
              <a:ext uri="{FF2B5EF4-FFF2-40B4-BE49-F238E27FC236}">
                <a16:creationId xmlns:a16="http://schemas.microsoft.com/office/drawing/2014/main" id="{00000000-0008-0000-0500-0000047A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85" name="Rectangle 623">
            <a:extLst>
              <a:ext uri="{FF2B5EF4-FFF2-40B4-BE49-F238E27FC236}">
                <a16:creationId xmlns:a16="http://schemas.microsoft.com/office/drawing/2014/main" id="{00000000-0008-0000-0500-0000057A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86" name="Rectangle 624">
            <a:extLst>
              <a:ext uri="{FF2B5EF4-FFF2-40B4-BE49-F238E27FC236}">
                <a16:creationId xmlns:a16="http://schemas.microsoft.com/office/drawing/2014/main" id="{00000000-0008-0000-0500-0000067A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87" name="Rectangle 625">
            <a:extLst>
              <a:ext uri="{FF2B5EF4-FFF2-40B4-BE49-F238E27FC236}">
                <a16:creationId xmlns:a16="http://schemas.microsoft.com/office/drawing/2014/main" id="{00000000-0008-0000-0500-0000077A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88" name="Rectangle 626">
            <a:extLst>
              <a:ext uri="{FF2B5EF4-FFF2-40B4-BE49-F238E27FC236}">
                <a16:creationId xmlns:a16="http://schemas.microsoft.com/office/drawing/2014/main" id="{00000000-0008-0000-0500-0000087A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0889" name="Group 627">
            <a:extLst>
              <a:ext uri="{FF2B5EF4-FFF2-40B4-BE49-F238E27FC236}">
                <a16:creationId xmlns:a16="http://schemas.microsoft.com/office/drawing/2014/main" id="{00000000-0008-0000-0500-0000097A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0892" name="Rectangle 628">
              <a:extLst>
                <a:ext uri="{FF2B5EF4-FFF2-40B4-BE49-F238E27FC236}">
                  <a16:creationId xmlns:a16="http://schemas.microsoft.com/office/drawing/2014/main" id="{00000000-0008-0000-0500-00000C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93" name="Line 629">
              <a:extLst>
                <a:ext uri="{FF2B5EF4-FFF2-40B4-BE49-F238E27FC236}">
                  <a16:creationId xmlns:a16="http://schemas.microsoft.com/office/drawing/2014/main" id="{00000000-0008-0000-0500-00000D7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94" name="Line 630">
              <a:extLst>
                <a:ext uri="{FF2B5EF4-FFF2-40B4-BE49-F238E27FC236}">
                  <a16:creationId xmlns:a16="http://schemas.microsoft.com/office/drawing/2014/main" id="{00000000-0008-0000-0500-00000E7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95" name="Rectangle 631">
              <a:extLst>
                <a:ext uri="{FF2B5EF4-FFF2-40B4-BE49-F238E27FC236}">
                  <a16:creationId xmlns:a16="http://schemas.microsoft.com/office/drawing/2014/main" id="{00000000-0008-0000-0500-00000F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96" name="Oval 632">
              <a:extLst>
                <a:ext uri="{FF2B5EF4-FFF2-40B4-BE49-F238E27FC236}">
                  <a16:creationId xmlns:a16="http://schemas.microsoft.com/office/drawing/2014/main" id="{00000000-0008-0000-0500-000010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97" name="Oval 633">
              <a:extLst>
                <a:ext uri="{FF2B5EF4-FFF2-40B4-BE49-F238E27FC236}">
                  <a16:creationId xmlns:a16="http://schemas.microsoft.com/office/drawing/2014/main" id="{00000000-0008-0000-0500-000011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98" name="Rectangle 634">
              <a:extLst>
                <a:ext uri="{FF2B5EF4-FFF2-40B4-BE49-F238E27FC236}">
                  <a16:creationId xmlns:a16="http://schemas.microsoft.com/office/drawing/2014/main" id="{00000000-0008-0000-0500-000012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99" name="Rectangle 635">
              <a:extLst>
                <a:ext uri="{FF2B5EF4-FFF2-40B4-BE49-F238E27FC236}">
                  <a16:creationId xmlns:a16="http://schemas.microsoft.com/office/drawing/2014/main" id="{00000000-0008-0000-0500-000013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00" name="Rectangle 636">
              <a:extLst>
                <a:ext uri="{FF2B5EF4-FFF2-40B4-BE49-F238E27FC236}">
                  <a16:creationId xmlns:a16="http://schemas.microsoft.com/office/drawing/2014/main" id="{00000000-0008-0000-0500-000014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01" name="Rectangle 637">
              <a:extLst>
                <a:ext uri="{FF2B5EF4-FFF2-40B4-BE49-F238E27FC236}">
                  <a16:creationId xmlns:a16="http://schemas.microsoft.com/office/drawing/2014/main" id="{00000000-0008-0000-0500-000015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0890" name="Rectangle 638">
            <a:extLst>
              <a:ext uri="{FF2B5EF4-FFF2-40B4-BE49-F238E27FC236}">
                <a16:creationId xmlns:a16="http://schemas.microsoft.com/office/drawing/2014/main" id="{00000000-0008-0000-0500-00000A7A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91" name="Rectangle 639">
            <a:extLst>
              <a:ext uri="{FF2B5EF4-FFF2-40B4-BE49-F238E27FC236}">
                <a16:creationId xmlns:a16="http://schemas.microsoft.com/office/drawing/2014/main" id="{00000000-0008-0000-0500-00000B7A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10434" name="Group 640">
          <a:extLst>
            <a:ext uri="{FF2B5EF4-FFF2-40B4-BE49-F238E27FC236}">
              <a16:creationId xmlns:a16="http://schemas.microsoft.com/office/drawing/2014/main" id="{00000000-0008-0000-0500-000042781200}"/>
            </a:ext>
          </a:extLst>
        </xdr:cNvPr>
        <xdr:cNvGrpSpPr>
          <a:grpSpLocks/>
        </xdr:cNvGrpSpPr>
      </xdr:nvGrpSpPr>
      <xdr:grpSpPr bwMode="auto">
        <a:xfrm>
          <a:off x="5724525" y="1260475"/>
          <a:ext cx="0" cy="406400"/>
          <a:chOff x="220" y="176"/>
          <a:chExt cx="556" cy="247"/>
        </a:xfrm>
      </xdr:grpSpPr>
      <xdr:sp macro="" textlink="">
        <xdr:nvSpPr>
          <xdr:cNvPr id="1210856" name="Rectangle 641">
            <a:extLst>
              <a:ext uri="{FF2B5EF4-FFF2-40B4-BE49-F238E27FC236}">
                <a16:creationId xmlns:a16="http://schemas.microsoft.com/office/drawing/2014/main" id="{00000000-0008-0000-0500-0000E87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57" name="Line 642">
            <a:extLst>
              <a:ext uri="{FF2B5EF4-FFF2-40B4-BE49-F238E27FC236}">
                <a16:creationId xmlns:a16="http://schemas.microsoft.com/office/drawing/2014/main" id="{00000000-0008-0000-0500-0000E979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58" name="Line 643">
            <a:extLst>
              <a:ext uri="{FF2B5EF4-FFF2-40B4-BE49-F238E27FC236}">
                <a16:creationId xmlns:a16="http://schemas.microsoft.com/office/drawing/2014/main" id="{00000000-0008-0000-0500-0000EA79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59" name="Rectangle 644">
            <a:extLst>
              <a:ext uri="{FF2B5EF4-FFF2-40B4-BE49-F238E27FC236}">
                <a16:creationId xmlns:a16="http://schemas.microsoft.com/office/drawing/2014/main" id="{00000000-0008-0000-0500-0000EB79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60" name="Oval 645">
            <a:extLst>
              <a:ext uri="{FF2B5EF4-FFF2-40B4-BE49-F238E27FC236}">
                <a16:creationId xmlns:a16="http://schemas.microsoft.com/office/drawing/2014/main" id="{00000000-0008-0000-0500-0000EC79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61" name="Oval 646">
            <a:extLst>
              <a:ext uri="{FF2B5EF4-FFF2-40B4-BE49-F238E27FC236}">
                <a16:creationId xmlns:a16="http://schemas.microsoft.com/office/drawing/2014/main" id="{00000000-0008-0000-0500-0000ED79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62" name="Rectangle 647">
            <a:extLst>
              <a:ext uri="{FF2B5EF4-FFF2-40B4-BE49-F238E27FC236}">
                <a16:creationId xmlns:a16="http://schemas.microsoft.com/office/drawing/2014/main" id="{00000000-0008-0000-0500-0000EE79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63" name="Rectangle 648">
            <a:extLst>
              <a:ext uri="{FF2B5EF4-FFF2-40B4-BE49-F238E27FC236}">
                <a16:creationId xmlns:a16="http://schemas.microsoft.com/office/drawing/2014/main" id="{00000000-0008-0000-0500-0000EF79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64" name="Rectangle 649">
            <a:extLst>
              <a:ext uri="{FF2B5EF4-FFF2-40B4-BE49-F238E27FC236}">
                <a16:creationId xmlns:a16="http://schemas.microsoft.com/office/drawing/2014/main" id="{00000000-0008-0000-0500-0000F07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65" name="Rectangle 650">
            <a:extLst>
              <a:ext uri="{FF2B5EF4-FFF2-40B4-BE49-F238E27FC236}">
                <a16:creationId xmlns:a16="http://schemas.microsoft.com/office/drawing/2014/main" id="{00000000-0008-0000-0500-0000F17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0866" name="Group 651">
            <a:extLst>
              <a:ext uri="{FF2B5EF4-FFF2-40B4-BE49-F238E27FC236}">
                <a16:creationId xmlns:a16="http://schemas.microsoft.com/office/drawing/2014/main" id="{00000000-0008-0000-0500-0000F279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0869" name="Rectangle 652">
              <a:extLst>
                <a:ext uri="{FF2B5EF4-FFF2-40B4-BE49-F238E27FC236}">
                  <a16:creationId xmlns:a16="http://schemas.microsoft.com/office/drawing/2014/main" id="{00000000-0008-0000-0500-0000F5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70" name="Line 653">
              <a:extLst>
                <a:ext uri="{FF2B5EF4-FFF2-40B4-BE49-F238E27FC236}">
                  <a16:creationId xmlns:a16="http://schemas.microsoft.com/office/drawing/2014/main" id="{00000000-0008-0000-0500-0000F67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71" name="Line 654">
              <a:extLst>
                <a:ext uri="{FF2B5EF4-FFF2-40B4-BE49-F238E27FC236}">
                  <a16:creationId xmlns:a16="http://schemas.microsoft.com/office/drawing/2014/main" id="{00000000-0008-0000-0500-0000F77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72" name="Rectangle 655">
              <a:extLst>
                <a:ext uri="{FF2B5EF4-FFF2-40B4-BE49-F238E27FC236}">
                  <a16:creationId xmlns:a16="http://schemas.microsoft.com/office/drawing/2014/main" id="{00000000-0008-0000-0500-0000F8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73" name="Oval 656">
              <a:extLst>
                <a:ext uri="{FF2B5EF4-FFF2-40B4-BE49-F238E27FC236}">
                  <a16:creationId xmlns:a16="http://schemas.microsoft.com/office/drawing/2014/main" id="{00000000-0008-0000-0500-0000F9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74" name="Oval 657">
              <a:extLst>
                <a:ext uri="{FF2B5EF4-FFF2-40B4-BE49-F238E27FC236}">
                  <a16:creationId xmlns:a16="http://schemas.microsoft.com/office/drawing/2014/main" id="{00000000-0008-0000-0500-0000FA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75" name="Rectangle 658">
              <a:extLst>
                <a:ext uri="{FF2B5EF4-FFF2-40B4-BE49-F238E27FC236}">
                  <a16:creationId xmlns:a16="http://schemas.microsoft.com/office/drawing/2014/main" id="{00000000-0008-0000-0500-0000FB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76" name="Rectangle 659">
              <a:extLst>
                <a:ext uri="{FF2B5EF4-FFF2-40B4-BE49-F238E27FC236}">
                  <a16:creationId xmlns:a16="http://schemas.microsoft.com/office/drawing/2014/main" id="{00000000-0008-0000-0500-0000FC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77" name="Rectangle 660">
              <a:extLst>
                <a:ext uri="{FF2B5EF4-FFF2-40B4-BE49-F238E27FC236}">
                  <a16:creationId xmlns:a16="http://schemas.microsoft.com/office/drawing/2014/main" id="{00000000-0008-0000-0500-0000FD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78" name="Rectangle 661">
              <a:extLst>
                <a:ext uri="{FF2B5EF4-FFF2-40B4-BE49-F238E27FC236}">
                  <a16:creationId xmlns:a16="http://schemas.microsoft.com/office/drawing/2014/main" id="{00000000-0008-0000-0500-0000FE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0867" name="Rectangle 662">
            <a:extLst>
              <a:ext uri="{FF2B5EF4-FFF2-40B4-BE49-F238E27FC236}">
                <a16:creationId xmlns:a16="http://schemas.microsoft.com/office/drawing/2014/main" id="{00000000-0008-0000-0500-0000F379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68" name="Rectangle 663">
            <a:extLst>
              <a:ext uri="{FF2B5EF4-FFF2-40B4-BE49-F238E27FC236}">
                <a16:creationId xmlns:a16="http://schemas.microsoft.com/office/drawing/2014/main" id="{00000000-0008-0000-0500-0000F479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10435" name="Group 664">
          <a:extLst>
            <a:ext uri="{FF2B5EF4-FFF2-40B4-BE49-F238E27FC236}">
              <a16:creationId xmlns:a16="http://schemas.microsoft.com/office/drawing/2014/main" id="{00000000-0008-0000-0500-000043781200}"/>
            </a:ext>
          </a:extLst>
        </xdr:cNvPr>
        <xdr:cNvGrpSpPr>
          <a:grpSpLocks/>
        </xdr:cNvGrpSpPr>
      </xdr:nvGrpSpPr>
      <xdr:grpSpPr bwMode="auto">
        <a:xfrm>
          <a:off x="5724525" y="1260475"/>
          <a:ext cx="0" cy="406400"/>
          <a:chOff x="220" y="176"/>
          <a:chExt cx="556" cy="247"/>
        </a:xfrm>
      </xdr:grpSpPr>
      <xdr:sp macro="" textlink="">
        <xdr:nvSpPr>
          <xdr:cNvPr id="1210833" name="Rectangle 665">
            <a:extLst>
              <a:ext uri="{FF2B5EF4-FFF2-40B4-BE49-F238E27FC236}">
                <a16:creationId xmlns:a16="http://schemas.microsoft.com/office/drawing/2014/main" id="{00000000-0008-0000-0500-0000D17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34" name="Line 666">
            <a:extLst>
              <a:ext uri="{FF2B5EF4-FFF2-40B4-BE49-F238E27FC236}">
                <a16:creationId xmlns:a16="http://schemas.microsoft.com/office/drawing/2014/main" id="{00000000-0008-0000-0500-0000D279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35" name="Line 667">
            <a:extLst>
              <a:ext uri="{FF2B5EF4-FFF2-40B4-BE49-F238E27FC236}">
                <a16:creationId xmlns:a16="http://schemas.microsoft.com/office/drawing/2014/main" id="{00000000-0008-0000-0500-0000D379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36" name="Rectangle 668">
            <a:extLst>
              <a:ext uri="{FF2B5EF4-FFF2-40B4-BE49-F238E27FC236}">
                <a16:creationId xmlns:a16="http://schemas.microsoft.com/office/drawing/2014/main" id="{00000000-0008-0000-0500-0000D479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37" name="Oval 669">
            <a:extLst>
              <a:ext uri="{FF2B5EF4-FFF2-40B4-BE49-F238E27FC236}">
                <a16:creationId xmlns:a16="http://schemas.microsoft.com/office/drawing/2014/main" id="{00000000-0008-0000-0500-0000D579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38" name="Oval 670">
            <a:extLst>
              <a:ext uri="{FF2B5EF4-FFF2-40B4-BE49-F238E27FC236}">
                <a16:creationId xmlns:a16="http://schemas.microsoft.com/office/drawing/2014/main" id="{00000000-0008-0000-0500-0000D679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39" name="Rectangle 671">
            <a:extLst>
              <a:ext uri="{FF2B5EF4-FFF2-40B4-BE49-F238E27FC236}">
                <a16:creationId xmlns:a16="http://schemas.microsoft.com/office/drawing/2014/main" id="{00000000-0008-0000-0500-0000D779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40" name="Rectangle 672">
            <a:extLst>
              <a:ext uri="{FF2B5EF4-FFF2-40B4-BE49-F238E27FC236}">
                <a16:creationId xmlns:a16="http://schemas.microsoft.com/office/drawing/2014/main" id="{00000000-0008-0000-0500-0000D879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41" name="Rectangle 673">
            <a:extLst>
              <a:ext uri="{FF2B5EF4-FFF2-40B4-BE49-F238E27FC236}">
                <a16:creationId xmlns:a16="http://schemas.microsoft.com/office/drawing/2014/main" id="{00000000-0008-0000-0500-0000D97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42" name="Rectangle 674">
            <a:extLst>
              <a:ext uri="{FF2B5EF4-FFF2-40B4-BE49-F238E27FC236}">
                <a16:creationId xmlns:a16="http://schemas.microsoft.com/office/drawing/2014/main" id="{00000000-0008-0000-0500-0000DA7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0843" name="Group 675">
            <a:extLst>
              <a:ext uri="{FF2B5EF4-FFF2-40B4-BE49-F238E27FC236}">
                <a16:creationId xmlns:a16="http://schemas.microsoft.com/office/drawing/2014/main" id="{00000000-0008-0000-0500-0000DB79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0846" name="Rectangle 676">
              <a:extLst>
                <a:ext uri="{FF2B5EF4-FFF2-40B4-BE49-F238E27FC236}">
                  <a16:creationId xmlns:a16="http://schemas.microsoft.com/office/drawing/2014/main" id="{00000000-0008-0000-0500-0000DE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47" name="Line 677">
              <a:extLst>
                <a:ext uri="{FF2B5EF4-FFF2-40B4-BE49-F238E27FC236}">
                  <a16:creationId xmlns:a16="http://schemas.microsoft.com/office/drawing/2014/main" id="{00000000-0008-0000-0500-0000DF7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48" name="Line 678">
              <a:extLst>
                <a:ext uri="{FF2B5EF4-FFF2-40B4-BE49-F238E27FC236}">
                  <a16:creationId xmlns:a16="http://schemas.microsoft.com/office/drawing/2014/main" id="{00000000-0008-0000-0500-0000E07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49" name="Rectangle 679">
              <a:extLst>
                <a:ext uri="{FF2B5EF4-FFF2-40B4-BE49-F238E27FC236}">
                  <a16:creationId xmlns:a16="http://schemas.microsoft.com/office/drawing/2014/main" id="{00000000-0008-0000-0500-0000E1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50" name="Oval 680">
              <a:extLst>
                <a:ext uri="{FF2B5EF4-FFF2-40B4-BE49-F238E27FC236}">
                  <a16:creationId xmlns:a16="http://schemas.microsoft.com/office/drawing/2014/main" id="{00000000-0008-0000-0500-0000E2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51" name="Oval 681">
              <a:extLst>
                <a:ext uri="{FF2B5EF4-FFF2-40B4-BE49-F238E27FC236}">
                  <a16:creationId xmlns:a16="http://schemas.microsoft.com/office/drawing/2014/main" id="{00000000-0008-0000-0500-0000E3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52" name="Rectangle 682">
              <a:extLst>
                <a:ext uri="{FF2B5EF4-FFF2-40B4-BE49-F238E27FC236}">
                  <a16:creationId xmlns:a16="http://schemas.microsoft.com/office/drawing/2014/main" id="{00000000-0008-0000-0500-0000E4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53" name="Rectangle 683">
              <a:extLst>
                <a:ext uri="{FF2B5EF4-FFF2-40B4-BE49-F238E27FC236}">
                  <a16:creationId xmlns:a16="http://schemas.microsoft.com/office/drawing/2014/main" id="{00000000-0008-0000-0500-0000E5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54" name="Rectangle 684">
              <a:extLst>
                <a:ext uri="{FF2B5EF4-FFF2-40B4-BE49-F238E27FC236}">
                  <a16:creationId xmlns:a16="http://schemas.microsoft.com/office/drawing/2014/main" id="{00000000-0008-0000-0500-0000E6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55" name="Rectangle 685">
              <a:extLst>
                <a:ext uri="{FF2B5EF4-FFF2-40B4-BE49-F238E27FC236}">
                  <a16:creationId xmlns:a16="http://schemas.microsoft.com/office/drawing/2014/main" id="{00000000-0008-0000-0500-0000E7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0844" name="Rectangle 686">
            <a:extLst>
              <a:ext uri="{FF2B5EF4-FFF2-40B4-BE49-F238E27FC236}">
                <a16:creationId xmlns:a16="http://schemas.microsoft.com/office/drawing/2014/main" id="{00000000-0008-0000-0500-0000DC79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45" name="Rectangle 687">
            <a:extLst>
              <a:ext uri="{FF2B5EF4-FFF2-40B4-BE49-F238E27FC236}">
                <a16:creationId xmlns:a16="http://schemas.microsoft.com/office/drawing/2014/main" id="{00000000-0008-0000-0500-0000DD79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10436" name="Group 688">
          <a:extLst>
            <a:ext uri="{FF2B5EF4-FFF2-40B4-BE49-F238E27FC236}">
              <a16:creationId xmlns:a16="http://schemas.microsoft.com/office/drawing/2014/main" id="{00000000-0008-0000-0500-000044781200}"/>
            </a:ext>
          </a:extLst>
        </xdr:cNvPr>
        <xdr:cNvGrpSpPr>
          <a:grpSpLocks/>
        </xdr:cNvGrpSpPr>
      </xdr:nvGrpSpPr>
      <xdr:grpSpPr bwMode="auto">
        <a:xfrm>
          <a:off x="5724525" y="1260475"/>
          <a:ext cx="0" cy="406400"/>
          <a:chOff x="220" y="176"/>
          <a:chExt cx="556" cy="247"/>
        </a:xfrm>
      </xdr:grpSpPr>
      <xdr:sp macro="" textlink="">
        <xdr:nvSpPr>
          <xdr:cNvPr id="1210810" name="Rectangle 689">
            <a:extLst>
              <a:ext uri="{FF2B5EF4-FFF2-40B4-BE49-F238E27FC236}">
                <a16:creationId xmlns:a16="http://schemas.microsoft.com/office/drawing/2014/main" id="{00000000-0008-0000-0500-0000BA7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11" name="Line 690">
            <a:extLst>
              <a:ext uri="{FF2B5EF4-FFF2-40B4-BE49-F238E27FC236}">
                <a16:creationId xmlns:a16="http://schemas.microsoft.com/office/drawing/2014/main" id="{00000000-0008-0000-0500-0000BB79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12" name="Line 691">
            <a:extLst>
              <a:ext uri="{FF2B5EF4-FFF2-40B4-BE49-F238E27FC236}">
                <a16:creationId xmlns:a16="http://schemas.microsoft.com/office/drawing/2014/main" id="{00000000-0008-0000-0500-0000BC79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13" name="Rectangle 692">
            <a:extLst>
              <a:ext uri="{FF2B5EF4-FFF2-40B4-BE49-F238E27FC236}">
                <a16:creationId xmlns:a16="http://schemas.microsoft.com/office/drawing/2014/main" id="{00000000-0008-0000-0500-0000BD79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14" name="Oval 693">
            <a:extLst>
              <a:ext uri="{FF2B5EF4-FFF2-40B4-BE49-F238E27FC236}">
                <a16:creationId xmlns:a16="http://schemas.microsoft.com/office/drawing/2014/main" id="{00000000-0008-0000-0500-0000BE79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15" name="Oval 694">
            <a:extLst>
              <a:ext uri="{FF2B5EF4-FFF2-40B4-BE49-F238E27FC236}">
                <a16:creationId xmlns:a16="http://schemas.microsoft.com/office/drawing/2014/main" id="{00000000-0008-0000-0500-0000BF79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16" name="Rectangle 695">
            <a:extLst>
              <a:ext uri="{FF2B5EF4-FFF2-40B4-BE49-F238E27FC236}">
                <a16:creationId xmlns:a16="http://schemas.microsoft.com/office/drawing/2014/main" id="{00000000-0008-0000-0500-0000C079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17" name="Rectangle 696">
            <a:extLst>
              <a:ext uri="{FF2B5EF4-FFF2-40B4-BE49-F238E27FC236}">
                <a16:creationId xmlns:a16="http://schemas.microsoft.com/office/drawing/2014/main" id="{00000000-0008-0000-0500-0000C179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18" name="Rectangle 697">
            <a:extLst>
              <a:ext uri="{FF2B5EF4-FFF2-40B4-BE49-F238E27FC236}">
                <a16:creationId xmlns:a16="http://schemas.microsoft.com/office/drawing/2014/main" id="{00000000-0008-0000-0500-0000C27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19" name="Rectangle 698">
            <a:extLst>
              <a:ext uri="{FF2B5EF4-FFF2-40B4-BE49-F238E27FC236}">
                <a16:creationId xmlns:a16="http://schemas.microsoft.com/office/drawing/2014/main" id="{00000000-0008-0000-0500-0000C37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0820" name="Group 699">
            <a:extLst>
              <a:ext uri="{FF2B5EF4-FFF2-40B4-BE49-F238E27FC236}">
                <a16:creationId xmlns:a16="http://schemas.microsoft.com/office/drawing/2014/main" id="{00000000-0008-0000-0500-0000C479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0823" name="Rectangle 700">
              <a:extLst>
                <a:ext uri="{FF2B5EF4-FFF2-40B4-BE49-F238E27FC236}">
                  <a16:creationId xmlns:a16="http://schemas.microsoft.com/office/drawing/2014/main" id="{00000000-0008-0000-0500-0000C7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24" name="Line 701">
              <a:extLst>
                <a:ext uri="{FF2B5EF4-FFF2-40B4-BE49-F238E27FC236}">
                  <a16:creationId xmlns:a16="http://schemas.microsoft.com/office/drawing/2014/main" id="{00000000-0008-0000-0500-0000C87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25" name="Line 702">
              <a:extLst>
                <a:ext uri="{FF2B5EF4-FFF2-40B4-BE49-F238E27FC236}">
                  <a16:creationId xmlns:a16="http://schemas.microsoft.com/office/drawing/2014/main" id="{00000000-0008-0000-0500-0000C97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26" name="Rectangle 703">
              <a:extLst>
                <a:ext uri="{FF2B5EF4-FFF2-40B4-BE49-F238E27FC236}">
                  <a16:creationId xmlns:a16="http://schemas.microsoft.com/office/drawing/2014/main" id="{00000000-0008-0000-0500-0000CA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27" name="Oval 704">
              <a:extLst>
                <a:ext uri="{FF2B5EF4-FFF2-40B4-BE49-F238E27FC236}">
                  <a16:creationId xmlns:a16="http://schemas.microsoft.com/office/drawing/2014/main" id="{00000000-0008-0000-0500-0000CB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28" name="Oval 705">
              <a:extLst>
                <a:ext uri="{FF2B5EF4-FFF2-40B4-BE49-F238E27FC236}">
                  <a16:creationId xmlns:a16="http://schemas.microsoft.com/office/drawing/2014/main" id="{00000000-0008-0000-0500-0000CC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29" name="Rectangle 706">
              <a:extLst>
                <a:ext uri="{FF2B5EF4-FFF2-40B4-BE49-F238E27FC236}">
                  <a16:creationId xmlns:a16="http://schemas.microsoft.com/office/drawing/2014/main" id="{00000000-0008-0000-0500-0000CD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30" name="Rectangle 707">
              <a:extLst>
                <a:ext uri="{FF2B5EF4-FFF2-40B4-BE49-F238E27FC236}">
                  <a16:creationId xmlns:a16="http://schemas.microsoft.com/office/drawing/2014/main" id="{00000000-0008-0000-0500-0000CE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31" name="Rectangle 708">
              <a:extLst>
                <a:ext uri="{FF2B5EF4-FFF2-40B4-BE49-F238E27FC236}">
                  <a16:creationId xmlns:a16="http://schemas.microsoft.com/office/drawing/2014/main" id="{00000000-0008-0000-0500-0000CF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32" name="Rectangle 709">
              <a:extLst>
                <a:ext uri="{FF2B5EF4-FFF2-40B4-BE49-F238E27FC236}">
                  <a16:creationId xmlns:a16="http://schemas.microsoft.com/office/drawing/2014/main" id="{00000000-0008-0000-0500-0000D0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0821" name="Rectangle 710">
            <a:extLst>
              <a:ext uri="{FF2B5EF4-FFF2-40B4-BE49-F238E27FC236}">
                <a16:creationId xmlns:a16="http://schemas.microsoft.com/office/drawing/2014/main" id="{00000000-0008-0000-0500-0000C579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22" name="Rectangle 711">
            <a:extLst>
              <a:ext uri="{FF2B5EF4-FFF2-40B4-BE49-F238E27FC236}">
                <a16:creationId xmlns:a16="http://schemas.microsoft.com/office/drawing/2014/main" id="{00000000-0008-0000-0500-0000C679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10437" name="Group 712">
          <a:extLst>
            <a:ext uri="{FF2B5EF4-FFF2-40B4-BE49-F238E27FC236}">
              <a16:creationId xmlns:a16="http://schemas.microsoft.com/office/drawing/2014/main" id="{00000000-0008-0000-0500-000045781200}"/>
            </a:ext>
          </a:extLst>
        </xdr:cNvPr>
        <xdr:cNvGrpSpPr>
          <a:grpSpLocks/>
        </xdr:cNvGrpSpPr>
      </xdr:nvGrpSpPr>
      <xdr:grpSpPr bwMode="auto">
        <a:xfrm>
          <a:off x="5724525" y="1260475"/>
          <a:ext cx="0" cy="406400"/>
          <a:chOff x="220" y="176"/>
          <a:chExt cx="556" cy="247"/>
        </a:xfrm>
      </xdr:grpSpPr>
      <xdr:sp macro="" textlink="">
        <xdr:nvSpPr>
          <xdr:cNvPr id="1210787" name="Rectangle 713">
            <a:extLst>
              <a:ext uri="{FF2B5EF4-FFF2-40B4-BE49-F238E27FC236}">
                <a16:creationId xmlns:a16="http://schemas.microsoft.com/office/drawing/2014/main" id="{00000000-0008-0000-0500-0000A37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88" name="Line 714">
            <a:extLst>
              <a:ext uri="{FF2B5EF4-FFF2-40B4-BE49-F238E27FC236}">
                <a16:creationId xmlns:a16="http://schemas.microsoft.com/office/drawing/2014/main" id="{00000000-0008-0000-0500-0000A479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89" name="Line 715">
            <a:extLst>
              <a:ext uri="{FF2B5EF4-FFF2-40B4-BE49-F238E27FC236}">
                <a16:creationId xmlns:a16="http://schemas.microsoft.com/office/drawing/2014/main" id="{00000000-0008-0000-0500-0000A579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90" name="Rectangle 716">
            <a:extLst>
              <a:ext uri="{FF2B5EF4-FFF2-40B4-BE49-F238E27FC236}">
                <a16:creationId xmlns:a16="http://schemas.microsoft.com/office/drawing/2014/main" id="{00000000-0008-0000-0500-0000A679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91" name="Oval 717">
            <a:extLst>
              <a:ext uri="{FF2B5EF4-FFF2-40B4-BE49-F238E27FC236}">
                <a16:creationId xmlns:a16="http://schemas.microsoft.com/office/drawing/2014/main" id="{00000000-0008-0000-0500-0000A779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92" name="Oval 718">
            <a:extLst>
              <a:ext uri="{FF2B5EF4-FFF2-40B4-BE49-F238E27FC236}">
                <a16:creationId xmlns:a16="http://schemas.microsoft.com/office/drawing/2014/main" id="{00000000-0008-0000-0500-0000A879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93" name="Rectangle 719">
            <a:extLst>
              <a:ext uri="{FF2B5EF4-FFF2-40B4-BE49-F238E27FC236}">
                <a16:creationId xmlns:a16="http://schemas.microsoft.com/office/drawing/2014/main" id="{00000000-0008-0000-0500-0000A979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94" name="Rectangle 720">
            <a:extLst>
              <a:ext uri="{FF2B5EF4-FFF2-40B4-BE49-F238E27FC236}">
                <a16:creationId xmlns:a16="http://schemas.microsoft.com/office/drawing/2014/main" id="{00000000-0008-0000-0500-0000AA79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95" name="Rectangle 721">
            <a:extLst>
              <a:ext uri="{FF2B5EF4-FFF2-40B4-BE49-F238E27FC236}">
                <a16:creationId xmlns:a16="http://schemas.microsoft.com/office/drawing/2014/main" id="{00000000-0008-0000-0500-0000AB7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96" name="Rectangle 722">
            <a:extLst>
              <a:ext uri="{FF2B5EF4-FFF2-40B4-BE49-F238E27FC236}">
                <a16:creationId xmlns:a16="http://schemas.microsoft.com/office/drawing/2014/main" id="{00000000-0008-0000-0500-0000AC7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0797" name="Group 723">
            <a:extLst>
              <a:ext uri="{FF2B5EF4-FFF2-40B4-BE49-F238E27FC236}">
                <a16:creationId xmlns:a16="http://schemas.microsoft.com/office/drawing/2014/main" id="{00000000-0008-0000-0500-0000AD79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0800" name="Rectangle 724">
              <a:extLst>
                <a:ext uri="{FF2B5EF4-FFF2-40B4-BE49-F238E27FC236}">
                  <a16:creationId xmlns:a16="http://schemas.microsoft.com/office/drawing/2014/main" id="{00000000-0008-0000-0500-0000B0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01" name="Line 725">
              <a:extLst>
                <a:ext uri="{FF2B5EF4-FFF2-40B4-BE49-F238E27FC236}">
                  <a16:creationId xmlns:a16="http://schemas.microsoft.com/office/drawing/2014/main" id="{00000000-0008-0000-0500-0000B17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02" name="Line 726">
              <a:extLst>
                <a:ext uri="{FF2B5EF4-FFF2-40B4-BE49-F238E27FC236}">
                  <a16:creationId xmlns:a16="http://schemas.microsoft.com/office/drawing/2014/main" id="{00000000-0008-0000-0500-0000B27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03" name="Rectangle 727">
              <a:extLst>
                <a:ext uri="{FF2B5EF4-FFF2-40B4-BE49-F238E27FC236}">
                  <a16:creationId xmlns:a16="http://schemas.microsoft.com/office/drawing/2014/main" id="{00000000-0008-0000-0500-0000B3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04" name="Oval 728">
              <a:extLst>
                <a:ext uri="{FF2B5EF4-FFF2-40B4-BE49-F238E27FC236}">
                  <a16:creationId xmlns:a16="http://schemas.microsoft.com/office/drawing/2014/main" id="{00000000-0008-0000-0500-0000B4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05" name="Oval 729">
              <a:extLst>
                <a:ext uri="{FF2B5EF4-FFF2-40B4-BE49-F238E27FC236}">
                  <a16:creationId xmlns:a16="http://schemas.microsoft.com/office/drawing/2014/main" id="{00000000-0008-0000-0500-0000B5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06" name="Rectangle 730">
              <a:extLst>
                <a:ext uri="{FF2B5EF4-FFF2-40B4-BE49-F238E27FC236}">
                  <a16:creationId xmlns:a16="http://schemas.microsoft.com/office/drawing/2014/main" id="{00000000-0008-0000-0500-0000B6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07" name="Rectangle 731">
              <a:extLst>
                <a:ext uri="{FF2B5EF4-FFF2-40B4-BE49-F238E27FC236}">
                  <a16:creationId xmlns:a16="http://schemas.microsoft.com/office/drawing/2014/main" id="{00000000-0008-0000-0500-0000B7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08" name="Rectangle 732">
              <a:extLst>
                <a:ext uri="{FF2B5EF4-FFF2-40B4-BE49-F238E27FC236}">
                  <a16:creationId xmlns:a16="http://schemas.microsoft.com/office/drawing/2014/main" id="{00000000-0008-0000-0500-0000B8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09" name="Rectangle 733">
              <a:extLst>
                <a:ext uri="{FF2B5EF4-FFF2-40B4-BE49-F238E27FC236}">
                  <a16:creationId xmlns:a16="http://schemas.microsoft.com/office/drawing/2014/main" id="{00000000-0008-0000-0500-0000B9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0798" name="Rectangle 734">
            <a:extLst>
              <a:ext uri="{FF2B5EF4-FFF2-40B4-BE49-F238E27FC236}">
                <a16:creationId xmlns:a16="http://schemas.microsoft.com/office/drawing/2014/main" id="{00000000-0008-0000-0500-0000AE79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99" name="Rectangle 735">
            <a:extLst>
              <a:ext uri="{FF2B5EF4-FFF2-40B4-BE49-F238E27FC236}">
                <a16:creationId xmlns:a16="http://schemas.microsoft.com/office/drawing/2014/main" id="{00000000-0008-0000-0500-0000AF79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10438" name="Group 784">
          <a:extLst>
            <a:ext uri="{FF2B5EF4-FFF2-40B4-BE49-F238E27FC236}">
              <a16:creationId xmlns:a16="http://schemas.microsoft.com/office/drawing/2014/main" id="{00000000-0008-0000-0500-000046781200}"/>
            </a:ext>
          </a:extLst>
        </xdr:cNvPr>
        <xdr:cNvGrpSpPr>
          <a:grpSpLocks/>
        </xdr:cNvGrpSpPr>
      </xdr:nvGrpSpPr>
      <xdr:grpSpPr bwMode="auto">
        <a:xfrm>
          <a:off x="5724525" y="1158875"/>
          <a:ext cx="0" cy="368300"/>
          <a:chOff x="624" y="37"/>
          <a:chExt cx="552" cy="248"/>
        </a:xfrm>
      </xdr:grpSpPr>
      <xdr:sp macro="" textlink="">
        <xdr:nvSpPr>
          <xdr:cNvPr id="1210773" name="Rectangle 785">
            <a:extLst>
              <a:ext uri="{FF2B5EF4-FFF2-40B4-BE49-F238E27FC236}">
                <a16:creationId xmlns:a16="http://schemas.microsoft.com/office/drawing/2014/main" id="{00000000-0008-0000-0500-00009579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74" name="Rectangle 786">
            <a:extLst>
              <a:ext uri="{FF2B5EF4-FFF2-40B4-BE49-F238E27FC236}">
                <a16:creationId xmlns:a16="http://schemas.microsoft.com/office/drawing/2014/main" id="{00000000-0008-0000-0500-00009679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75" name="Rectangle 787">
            <a:extLst>
              <a:ext uri="{FF2B5EF4-FFF2-40B4-BE49-F238E27FC236}">
                <a16:creationId xmlns:a16="http://schemas.microsoft.com/office/drawing/2014/main" id="{00000000-0008-0000-0500-00009779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76" name="Rectangle 788">
            <a:extLst>
              <a:ext uri="{FF2B5EF4-FFF2-40B4-BE49-F238E27FC236}">
                <a16:creationId xmlns:a16="http://schemas.microsoft.com/office/drawing/2014/main" id="{00000000-0008-0000-0500-00009879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77" name="Rectangle 789">
            <a:extLst>
              <a:ext uri="{FF2B5EF4-FFF2-40B4-BE49-F238E27FC236}">
                <a16:creationId xmlns:a16="http://schemas.microsoft.com/office/drawing/2014/main" id="{00000000-0008-0000-0500-000099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78" name="Rectangle 790">
            <a:extLst>
              <a:ext uri="{FF2B5EF4-FFF2-40B4-BE49-F238E27FC236}">
                <a16:creationId xmlns:a16="http://schemas.microsoft.com/office/drawing/2014/main" id="{00000000-0008-0000-0500-00009A79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79" name="Rectangle 791">
            <a:extLst>
              <a:ext uri="{FF2B5EF4-FFF2-40B4-BE49-F238E27FC236}">
                <a16:creationId xmlns:a16="http://schemas.microsoft.com/office/drawing/2014/main" id="{00000000-0008-0000-0500-00009B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80" name="Rectangle 792">
            <a:extLst>
              <a:ext uri="{FF2B5EF4-FFF2-40B4-BE49-F238E27FC236}">
                <a16:creationId xmlns:a16="http://schemas.microsoft.com/office/drawing/2014/main" id="{00000000-0008-0000-0500-00009C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81" name="Oval 793">
            <a:extLst>
              <a:ext uri="{FF2B5EF4-FFF2-40B4-BE49-F238E27FC236}">
                <a16:creationId xmlns:a16="http://schemas.microsoft.com/office/drawing/2014/main" id="{00000000-0008-0000-0500-00009D79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82" name="Oval 794">
            <a:extLst>
              <a:ext uri="{FF2B5EF4-FFF2-40B4-BE49-F238E27FC236}">
                <a16:creationId xmlns:a16="http://schemas.microsoft.com/office/drawing/2014/main" id="{00000000-0008-0000-0500-00009E79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83" name="Oval 795">
            <a:extLst>
              <a:ext uri="{FF2B5EF4-FFF2-40B4-BE49-F238E27FC236}">
                <a16:creationId xmlns:a16="http://schemas.microsoft.com/office/drawing/2014/main" id="{00000000-0008-0000-0500-00009F79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84" name="Oval 796">
            <a:extLst>
              <a:ext uri="{FF2B5EF4-FFF2-40B4-BE49-F238E27FC236}">
                <a16:creationId xmlns:a16="http://schemas.microsoft.com/office/drawing/2014/main" id="{00000000-0008-0000-0500-0000A079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85" name="AutoShape 797">
            <a:extLst>
              <a:ext uri="{FF2B5EF4-FFF2-40B4-BE49-F238E27FC236}">
                <a16:creationId xmlns:a16="http://schemas.microsoft.com/office/drawing/2014/main" id="{00000000-0008-0000-0500-0000A179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86" name="AutoShape 798">
            <a:extLst>
              <a:ext uri="{FF2B5EF4-FFF2-40B4-BE49-F238E27FC236}">
                <a16:creationId xmlns:a16="http://schemas.microsoft.com/office/drawing/2014/main" id="{00000000-0008-0000-0500-0000A279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10439" name="Group 799">
          <a:extLst>
            <a:ext uri="{FF2B5EF4-FFF2-40B4-BE49-F238E27FC236}">
              <a16:creationId xmlns:a16="http://schemas.microsoft.com/office/drawing/2014/main" id="{00000000-0008-0000-0500-000047781200}"/>
            </a:ext>
          </a:extLst>
        </xdr:cNvPr>
        <xdr:cNvGrpSpPr>
          <a:grpSpLocks/>
        </xdr:cNvGrpSpPr>
      </xdr:nvGrpSpPr>
      <xdr:grpSpPr bwMode="auto">
        <a:xfrm>
          <a:off x="5724525" y="1158875"/>
          <a:ext cx="0" cy="368300"/>
          <a:chOff x="624" y="37"/>
          <a:chExt cx="552" cy="248"/>
        </a:xfrm>
      </xdr:grpSpPr>
      <xdr:sp macro="" textlink="">
        <xdr:nvSpPr>
          <xdr:cNvPr id="1210759" name="Rectangle 800">
            <a:extLst>
              <a:ext uri="{FF2B5EF4-FFF2-40B4-BE49-F238E27FC236}">
                <a16:creationId xmlns:a16="http://schemas.microsoft.com/office/drawing/2014/main" id="{00000000-0008-0000-0500-00008779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60" name="Rectangle 801">
            <a:extLst>
              <a:ext uri="{FF2B5EF4-FFF2-40B4-BE49-F238E27FC236}">
                <a16:creationId xmlns:a16="http://schemas.microsoft.com/office/drawing/2014/main" id="{00000000-0008-0000-0500-00008879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61" name="Rectangle 802">
            <a:extLst>
              <a:ext uri="{FF2B5EF4-FFF2-40B4-BE49-F238E27FC236}">
                <a16:creationId xmlns:a16="http://schemas.microsoft.com/office/drawing/2014/main" id="{00000000-0008-0000-0500-00008979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62" name="Rectangle 803">
            <a:extLst>
              <a:ext uri="{FF2B5EF4-FFF2-40B4-BE49-F238E27FC236}">
                <a16:creationId xmlns:a16="http://schemas.microsoft.com/office/drawing/2014/main" id="{00000000-0008-0000-0500-00008A79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63" name="Rectangle 804">
            <a:extLst>
              <a:ext uri="{FF2B5EF4-FFF2-40B4-BE49-F238E27FC236}">
                <a16:creationId xmlns:a16="http://schemas.microsoft.com/office/drawing/2014/main" id="{00000000-0008-0000-0500-00008B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64" name="Rectangle 805">
            <a:extLst>
              <a:ext uri="{FF2B5EF4-FFF2-40B4-BE49-F238E27FC236}">
                <a16:creationId xmlns:a16="http://schemas.microsoft.com/office/drawing/2014/main" id="{00000000-0008-0000-0500-00008C79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65" name="Rectangle 806">
            <a:extLst>
              <a:ext uri="{FF2B5EF4-FFF2-40B4-BE49-F238E27FC236}">
                <a16:creationId xmlns:a16="http://schemas.microsoft.com/office/drawing/2014/main" id="{00000000-0008-0000-0500-00008D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66" name="Rectangle 807">
            <a:extLst>
              <a:ext uri="{FF2B5EF4-FFF2-40B4-BE49-F238E27FC236}">
                <a16:creationId xmlns:a16="http://schemas.microsoft.com/office/drawing/2014/main" id="{00000000-0008-0000-0500-00008E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67" name="Oval 808">
            <a:extLst>
              <a:ext uri="{FF2B5EF4-FFF2-40B4-BE49-F238E27FC236}">
                <a16:creationId xmlns:a16="http://schemas.microsoft.com/office/drawing/2014/main" id="{00000000-0008-0000-0500-00008F79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68" name="Oval 809">
            <a:extLst>
              <a:ext uri="{FF2B5EF4-FFF2-40B4-BE49-F238E27FC236}">
                <a16:creationId xmlns:a16="http://schemas.microsoft.com/office/drawing/2014/main" id="{00000000-0008-0000-0500-00009079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69" name="Oval 810">
            <a:extLst>
              <a:ext uri="{FF2B5EF4-FFF2-40B4-BE49-F238E27FC236}">
                <a16:creationId xmlns:a16="http://schemas.microsoft.com/office/drawing/2014/main" id="{00000000-0008-0000-0500-00009179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70" name="Oval 811">
            <a:extLst>
              <a:ext uri="{FF2B5EF4-FFF2-40B4-BE49-F238E27FC236}">
                <a16:creationId xmlns:a16="http://schemas.microsoft.com/office/drawing/2014/main" id="{00000000-0008-0000-0500-00009279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71" name="AutoShape 812">
            <a:extLst>
              <a:ext uri="{FF2B5EF4-FFF2-40B4-BE49-F238E27FC236}">
                <a16:creationId xmlns:a16="http://schemas.microsoft.com/office/drawing/2014/main" id="{00000000-0008-0000-0500-00009379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72" name="AutoShape 813">
            <a:extLst>
              <a:ext uri="{FF2B5EF4-FFF2-40B4-BE49-F238E27FC236}">
                <a16:creationId xmlns:a16="http://schemas.microsoft.com/office/drawing/2014/main" id="{00000000-0008-0000-0500-00009479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10440" name="Group 814">
          <a:extLst>
            <a:ext uri="{FF2B5EF4-FFF2-40B4-BE49-F238E27FC236}">
              <a16:creationId xmlns:a16="http://schemas.microsoft.com/office/drawing/2014/main" id="{00000000-0008-0000-0500-000048781200}"/>
            </a:ext>
          </a:extLst>
        </xdr:cNvPr>
        <xdr:cNvGrpSpPr>
          <a:grpSpLocks/>
        </xdr:cNvGrpSpPr>
      </xdr:nvGrpSpPr>
      <xdr:grpSpPr bwMode="auto">
        <a:xfrm>
          <a:off x="5724525" y="1146175"/>
          <a:ext cx="0" cy="381000"/>
          <a:chOff x="675" y="362"/>
          <a:chExt cx="278" cy="249"/>
        </a:xfrm>
      </xdr:grpSpPr>
      <xdr:sp macro="" textlink="">
        <xdr:nvSpPr>
          <xdr:cNvPr id="1210751" name="Rectangle 815">
            <a:extLst>
              <a:ext uri="{FF2B5EF4-FFF2-40B4-BE49-F238E27FC236}">
                <a16:creationId xmlns:a16="http://schemas.microsoft.com/office/drawing/2014/main" id="{00000000-0008-0000-0500-00007F79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52" name="Rectangle 816">
            <a:extLst>
              <a:ext uri="{FF2B5EF4-FFF2-40B4-BE49-F238E27FC236}">
                <a16:creationId xmlns:a16="http://schemas.microsoft.com/office/drawing/2014/main" id="{00000000-0008-0000-0500-00008079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53" name="Rectangle 817">
            <a:extLst>
              <a:ext uri="{FF2B5EF4-FFF2-40B4-BE49-F238E27FC236}">
                <a16:creationId xmlns:a16="http://schemas.microsoft.com/office/drawing/2014/main" id="{00000000-0008-0000-0500-000081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54" name="Rectangle 818">
            <a:extLst>
              <a:ext uri="{FF2B5EF4-FFF2-40B4-BE49-F238E27FC236}">
                <a16:creationId xmlns:a16="http://schemas.microsoft.com/office/drawing/2014/main" id="{00000000-0008-0000-0500-000082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55" name="Rectangle 819">
            <a:extLst>
              <a:ext uri="{FF2B5EF4-FFF2-40B4-BE49-F238E27FC236}">
                <a16:creationId xmlns:a16="http://schemas.microsoft.com/office/drawing/2014/main" id="{00000000-0008-0000-0500-000083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56" name="Oval 820">
            <a:extLst>
              <a:ext uri="{FF2B5EF4-FFF2-40B4-BE49-F238E27FC236}">
                <a16:creationId xmlns:a16="http://schemas.microsoft.com/office/drawing/2014/main" id="{00000000-0008-0000-0500-00008479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57" name="Oval 821">
            <a:extLst>
              <a:ext uri="{FF2B5EF4-FFF2-40B4-BE49-F238E27FC236}">
                <a16:creationId xmlns:a16="http://schemas.microsoft.com/office/drawing/2014/main" id="{00000000-0008-0000-0500-00008579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58" name="AutoShape 822">
            <a:extLst>
              <a:ext uri="{FF2B5EF4-FFF2-40B4-BE49-F238E27FC236}">
                <a16:creationId xmlns:a16="http://schemas.microsoft.com/office/drawing/2014/main" id="{00000000-0008-0000-0500-00008679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10441" name="Group 823">
          <a:extLst>
            <a:ext uri="{FF2B5EF4-FFF2-40B4-BE49-F238E27FC236}">
              <a16:creationId xmlns:a16="http://schemas.microsoft.com/office/drawing/2014/main" id="{00000000-0008-0000-0500-000049781200}"/>
            </a:ext>
          </a:extLst>
        </xdr:cNvPr>
        <xdr:cNvGrpSpPr>
          <a:grpSpLocks/>
        </xdr:cNvGrpSpPr>
      </xdr:nvGrpSpPr>
      <xdr:grpSpPr bwMode="auto">
        <a:xfrm>
          <a:off x="5724525" y="1146175"/>
          <a:ext cx="0" cy="381000"/>
          <a:chOff x="675" y="362"/>
          <a:chExt cx="278" cy="249"/>
        </a:xfrm>
      </xdr:grpSpPr>
      <xdr:sp macro="" textlink="">
        <xdr:nvSpPr>
          <xdr:cNvPr id="1210743" name="Rectangle 824">
            <a:extLst>
              <a:ext uri="{FF2B5EF4-FFF2-40B4-BE49-F238E27FC236}">
                <a16:creationId xmlns:a16="http://schemas.microsoft.com/office/drawing/2014/main" id="{00000000-0008-0000-0500-00007779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44" name="Rectangle 825">
            <a:extLst>
              <a:ext uri="{FF2B5EF4-FFF2-40B4-BE49-F238E27FC236}">
                <a16:creationId xmlns:a16="http://schemas.microsoft.com/office/drawing/2014/main" id="{00000000-0008-0000-0500-00007879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45" name="Rectangle 826">
            <a:extLst>
              <a:ext uri="{FF2B5EF4-FFF2-40B4-BE49-F238E27FC236}">
                <a16:creationId xmlns:a16="http://schemas.microsoft.com/office/drawing/2014/main" id="{00000000-0008-0000-0500-000079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46" name="Rectangle 827">
            <a:extLst>
              <a:ext uri="{FF2B5EF4-FFF2-40B4-BE49-F238E27FC236}">
                <a16:creationId xmlns:a16="http://schemas.microsoft.com/office/drawing/2014/main" id="{00000000-0008-0000-0500-00007A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47" name="Rectangle 828">
            <a:extLst>
              <a:ext uri="{FF2B5EF4-FFF2-40B4-BE49-F238E27FC236}">
                <a16:creationId xmlns:a16="http://schemas.microsoft.com/office/drawing/2014/main" id="{00000000-0008-0000-0500-00007B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48" name="Oval 829">
            <a:extLst>
              <a:ext uri="{FF2B5EF4-FFF2-40B4-BE49-F238E27FC236}">
                <a16:creationId xmlns:a16="http://schemas.microsoft.com/office/drawing/2014/main" id="{00000000-0008-0000-0500-00007C79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49" name="Oval 830">
            <a:extLst>
              <a:ext uri="{FF2B5EF4-FFF2-40B4-BE49-F238E27FC236}">
                <a16:creationId xmlns:a16="http://schemas.microsoft.com/office/drawing/2014/main" id="{00000000-0008-0000-0500-00007D79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50" name="AutoShape 831">
            <a:extLst>
              <a:ext uri="{FF2B5EF4-FFF2-40B4-BE49-F238E27FC236}">
                <a16:creationId xmlns:a16="http://schemas.microsoft.com/office/drawing/2014/main" id="{00000000-0008-0000-0500-00007E79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10442" name="Group 832">
          <a:extLst>
            <a:ext uri="{FF2B5EF4-FFF2-40B4-BE49-F238E27FC236}">
              <a16:creationId xmlns:a16="http://schemas.microsoft.com/office/drawing/2014/main" id="{00000000-0008-0000-0500-00004A781200}"/>
            </a:ext>
          </a:extLst>
        </xdr:cNvPr>
        <xdr:cNvGrpSpPr>
          <a:grpSpLocks/>
        </xdr:cNvGrpSpPr>
      </xdr:nvGrpSpPr>
      <xdr:grpSpPr bwMode="auto">
        <a:xfrm>
          <a:off x="5724525" y="1146175"/>
          <a:ext cx="0" cy="381000"/>
          <a:chOff x="675" y="362"/>
          <a:chExt cx="278" cy="249"/>
        </a:xfrm>
      </xdr:grpSpPr>
      <xdr:sp macro="" textlink="">
        <xdr:nvSpPr>
          <xdr:cNvPr id="1210735" name="Rectangle 833">
            <a:extLst>
              <a:ext uri="{FF2B5EF4-FFF2-40B4-BE49-F238E27FC236}">
                <a16:creationId xmlns:a16="http://schemas.microsoft.com/office/drawing/2014/main" id="{00000000-0008-0000-0500-00006F79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36" name="Rectangle 834">
            <a:extLst>
              <a:ext uri="{FF2B5EF4-FFF2-40B4-BE49-F238E27FC236}">
                <a16:creationId xmlns:a16="http://schemas.microsoft.com/office/drawing/2014/main" id="{00000000-0008-0000-0500-00007079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37" name="Rectangle 835">
            <a:extLst>
              <a:ext uri="{FF2B5EF4-FFF2-40B4-BE49-F238E27FC236}">
                <a16:creationId xmlns:a16="http://schemas.microsoft.com/office/drawing/2014/main" id="{00000000-0008-0000-0500-000071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38" name="Rectangle 836">
            <a:extLst>
              <a:ext uri="{FF2B5EF4-FFF2-40B4-BE49-F238E27FC236}">
                <a16:creationId xmlns:a16="http://schemas.microsoft.com/office/drawing/2014/main" id="{00000000-0008-0000-0500-000072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39" name="Rectangle 837">
            <a:extLst>
              <a:ext uri="{FF2B5EF4-FFF2-40B4-BE49-F238E27FC236}">
                <a16:creationId xmlns:a16="http://schemas.microsoft.com/office/drawing/2014/main" id="{00000000-0008-0000-0500-000073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40" name="Oval 838">
            <a:extLst>
              <a:ext uri="{FF2B5EF4-FFF2-40B4-BE49-F238E27FC236}">
                <a16:creationId xmlns:a16="http://schemas.microsoft.com/office/drawing/2014/main" id="{00000000-0008-0000-0500-00007479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41" name="Oval 839">
            <a:extLst>
              <a:ext uri="{FF2B5EF4-FFF2-40B4-BE49-F238E27FC236}">
                <a16:creationId xmlns:a16="http://schemas.microsoft.com/office/drawing/2014/main" id="{00000000-0008-0000-0500-00007579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42" name="AutoShape 840">
            <a:extLst>
              <a:ext uri="{FF2B5EF4-FFF2-40B4-BE49-F238E27FC236}">
                <a16:creationId xmlns:a16="http://schemas.microsoft.com/office/drawing/2014/main" id="{00000000-0008-0000-0500-00007679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10443" name="Group 841">
          <a:extLst>
            <a:ext uri="{FF2B5EF4-FFF2-40B4-BE49-F238E27FC236}">
              <a16:creationId xmlns:a16="http://schemas.microsoft.com/office/drawing/2014/main" id="{00000000-0008-0000-0500-00004B781200}"/>
            </a:ext>
          </a:extLst>
        </xdr:cNvPr>
        <xdr:cNvGrpSpPr>
          <a:grpSpLocks/>
        </xdr:cNvGrpSpPr>
      </xdr:nvGrpSpPr>
      <xdr:grpSpPr bwMode="auto">
        <a:xfrm>
          <a:off x="5724525" y="1158875"/>
          <a:ext cx="0" cy="368300"/>
          <a:chOff x="624" y="37"/>
          <a:chExt cx="552" cy="248"/>
        </a:xfrm>
      </xdr:grpSpPr>
      <xdr:sp macro="" textlink="">
        <xdr:nvSpPr>
          <xdr:cNvPr id="1210721" name="Rectangle 842">
            <a:extLst>
              <a:ext uri="{FF2B5EF4-FFF2-40B4-BE49-F238E27FC236}">
                <a16:creationId xmlns:a16="http://schemas.microsoft.com/office/drawing/2014/main" id="{00000000-0008-0000-0500-00006179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22" name="Rectangle 843">
            <a:extLst>
              <a:ext uri="{FF2B5EF4-FFF2-40B4-BE49-F238E27FC236}">
                <a16:creationId xmlns:a16="http://schemas.microsoft.com/office/drawing/2014/main" id="{00000000-0008-0000-0500-00006279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23" name="Rectangle 844">
            <a:extLst>
              <a:ext uri="{FF2B5EF4-FFF2-40B4-BE49-F238E27FC236}">
                <a16:creationId xmlns:a16="http://schemas.microsoft.com/office/drawing/2014/main" id="{00000000-0008-0000-0500-00006379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24" name="Rectangle 845">
            <a:extLst>
              <a:ext uri="{FF2B5EF4-FFF2-40B4-BE49-F238E27FC236}">
                <a16:creationId xmlns:a16="http://schemas.microsoft.com/office/drawing/2014/main" id="{00000000-0008-0000-0500-00006479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25" name="Rectangle 846">
            <a:extLst>
              <a:ext uri="{FF2B5EF4-FFF2-40B4-BE49-F238E27FC236}">
                <a16:creationId xmlns:a16="http://schemas.microsoft.com/office/drawing/2014/main" id="{00000000-0008-0000-0500-000065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26" name="Rectangle 847">
            <a:extLst>
              <a:ext uri="{FF2B5EF4-FFF2-40B4-BE49-F238E27FC236}">
                <a16:creationId xmlns:a16="http://schemas.microsoft.com/office/drawing/2014/main" id="{00000000-0008-0000-0500-00006679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27" name="Rectangle 848">
            <a:extLst>
              <a:ext uri="{FF2B5EF4-FFF2-40B4-BE49-F238E27FC236}">
                <a16:creationId xmlns:a16="http://schemas.microsoft.com/office/drawing/2014/main" id="{00000000-0008-0000-0500-000067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28" name="Rectangle 849">
            <a:extLst>
              <a:ext uri="{FF2B5EF4-FFF2-40B4-BE49-F238E27FC236}">
                <a16:creationId xmlns:a16="http://schemas.microsoft.com/office/drawing/2014/main" id="{00000000-0008-0000-0500-000068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29" name="Oval 850">
            <a:extLst>
              <a:ext uri="{FF2B5EF4-FFF2-40B4-BE49-F238E27FC236}">
                <a16:creationId xmlns:a16="http://schemas.microsoft.com/office/drawing/2014/main" id="{00000000-0008-0000-0500-00006979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30" name="Oval 851">
            <a:extLst>
              <a:ext uri="{FF2B5EF4-FFF2-40B4-BE49-F238E27FC236}">
                <a16:creationId xmlns:a16="http://schemas.microsoft.com/office/drawing/2014/main" id="{00000000-0008-0000-0500-00006A79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31" name="Oval 852">
            <a:extLst>
              <a:ext uri="{FF2B5EF4-FFF2-40B4-BE49-F238E27FC236}">
                <a16:creationId xmlns:a16="http://schemas.microsoft.com/office/drawing/2014/main" id="{00000000-0008-0000-0500-00006B79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32" name="Oval 853">
            <a:extLst>
              <a:ext uri="{FF2B5EF4-FFF2-40B4-BE49-F238E27FC236}">
                <a16:creationId xmlns:a16="http://schemas.microsoft.com/office/drawing/2014/main" id="{00000000-0008-0000-0500-00006C79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33" name="AutoShape 854">
            <a:extLst>
              <a:ext uri="{FF2B5EF4-FFF2-40B4-BE49-F238E27FC236}">
                <a16:creationId xmlns:a16="http://schemas.microsoft.com/office/drawing/2014/main" id="{00000000-0008-0000-0500-00006D79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34" name="AutoShape 855">
            <a:extLst>
              <a:ext uri="{FF2B5EF4-FFF2-40B4-BE49-F238E27FC236}">
                <a16:creationId xmlns:a16="http://schemas.microsoft.com/office/drawing/2014/main" id="{00000000-0008-0000-0500-00006E79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10444" name="Group 856">
          <a:extLst>
            <a:ext uri="{FF2B5EF4-FFF2-40B4-BE49-F238E27FC236}">
              <a16:creationId xmlns:a16="http://schemas.microsoft.com/office/drawing/2014/main" id="{00000000-0008-0000-0500-00004C781200}"/>
            </a:ext>
          </a:extLst>
        </xdr:cNvPr>
        <xdr:cNvGrpSpPr>
          <a:grpSpLocks/>
        </xdr:cNvGrpSpPr>
      </xdr:nvGrpSpPr>
      <xdr:grpSpPr bwMode="auto">
        <a:xfrm>
          <a:off x="5724525" y="1146175"/>
          <a:ext cx="0" cy="381000"/>
          <a:chOff x="675" y="362"/>
          <a:chExt cx="278" cy="249"/>
        </a:xfrm>
      </xdr:grpSpPr>
      <xdr:sp macro="" textlink="">
        <xdr:nvSpPr>
          <xdr:cNvPr id="1210713" name="Rectangle 857">
            <a:extLst>
              <a:ext uri="{FF2B5EF4-FFF2-40B4-BE49-F238E27FC236}">
                <a16:creationId xmlns:a16="http://schemas.microsoft.com/office/drawing/2014/main" id="{00000000-0008-0000-0500-00005979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14" name="Rectangle 858">
            <a:extLst>
              <a:ext uri="{FF2B5EF4-FFF2-40B4-BE49-F238E27FC236}">
                <a16:creationId xmlns:a16="http://schemas.microsoft.com/office/drawing/2014/main" id="{00000000-0008-0000-0500-00005A79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15" name="Rectangle 859">
            <a:extLst>
              <a:ext uri="{FF2B5EF4-FFF2-40B4-BE49-F238E27FC236}">
                <a16:creationId xmlns:a16="http://schemas.microsoft.com/office/drawing/2014/main" id="{00000000-0008-0000-0500-00005B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16" name="Rectangle 860">
            <a:extLst>
              <a:ext uri="{FF2B5EF4-FFF2-40B4-BE49-F238E27FC236}">
                <a16:creationId xmlns:a16="http://schemas.microsoft.com/office/drawing/2014/main" id="{00000000-0008-0000-0500-00005C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17" name="Rectangle 861">
            <a:extLst>
              <a:ext uri="{FF2B5EF4-FFF2-40B4-BE49-F238E27FC236}">
                <a16:creationId xmlns:a16="http://schemas.microsoft.com/office/drawing/2014/main" id="{00000000-0008-0000-0500-00005D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18" name="Oval 862">
            <a:extLst>
              <a:ext uri="{FF2B5EF4-FFF2-40B4-BE49-F238E27FC236}">
                <a16:creationId xmlns:a16="http://schemas.microsoft.com/office/drawing/2014/main" id="{00000000-0008-0000-0500-00005E79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19" name="Oval 863">
            <a:extLst>
              <a:ext uri="{FF2B5EF4-FFF2-40B4-BE49-F238E27FC236}">
                <a16:creationId xmlns:a16="http://schemas.microsoft.com/office/drawing/2014/main" id="{00000000-0008-0000-0500-00005F79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20" name="AutoShape 864">
            <a:extLst>
              <a:ext uri="{FF2B5EF4-FFF2-40B4-BE49-F238E27FC236}">
                <a16:creationId xmlns:a16="http://schemas.microsoft.com/office/drawing/2014/main" id="{00000000-0008-0000-0500-00006079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10445" name="Group 865">
          <a:extLst>
            <a:ext uri="{FF2B5EF4-FFF2-40B4-BE49-F238E27FC236}">
              <a16:creationId xmlns:a16="http://schemas.microsoft.com/office/drawing/2014/main" id="{00000000-0008-0000-0500-00004D781200}"/>
            </a:ext>
          </a:extLst>
        </xdr:cNvPr>
        <xdr:cNvGrpSpPr>
          <a:grpSpLocks/>
        </xdr:cNvGrpSpPr>
      </xdr:nvGrpSpPr>
      <xdr:grpSpPr bwMode="auto">
        <a:xfrm>
          <a:off x="5724525" y="1146175"/>
          <a:ext cx="0" cy="381000"/>
          <a:chOff x="675" y="362"/>
          <a:chExt cx="278" cy="249"/>
        </a:xfrm>
      </xdr:grpSpPr>
      <xdr:sp macro="" textlink="">
        <xdr:nvSpPr>
          <xdr:cNvPr id="1210705" name="Rectangle 866">
            <a:extLst>
              <a:ext uri="{FF2B5EF4-FFF2-40B4-BE49-F238E27FC236}">
                <a16:creationId xmlns:a16="http://schemas.microsoft.com/office/drawing/2014/main" id="{00000000-0008-0000-0500-00005179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06" name="Rectangle 867">
            <a:extLst>
              <a:ext uri="{FF2B5EF4-FFF2-40B4-BE49-F238E27FC236}">
                <a16:creationId xmlns:a16="http://schemas.microsoft.com/office/drawing/2014/main" id="{00000000-0008-0000-0500-00005279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07" name="Rectangle 868">
            <a:extLst>
              <a:ext uri="{FF2B5EF4-FFF2-40B4-BE49-F238E27FC236}">
                <a16:creationId xmlns:a16="http://schemas.microsoft.com/office/drawing/2014/main" id="{00000000-0008-0000-0500-000053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08" name="Rectangle 869">
            <a:extLst>
              <a:ext uri="{FF2B5EF4-FFF2-40B4-BE49-F238E27FC236}">
                <a16:creationId xmlns:a16="http://schemas.microsoft.com/office/drawing/2014/main" id="{00000000-0008-0000-0500-000054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09" name="Rectangle 870">
            <a:extLst>
              <a:ext uri="{FF2B5EF4-FFF2-40B4-BE49-F238E27FC236}">
                <a16:creationId xmlns:a16="http://schemas.microsoft.com/office/drawing/2014/main" id="{00000000-0008-0000-0500-000055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10" name="Oval 871">
            <a:extLst>
              <a:ext uri="{FF2B5EF4-FFF2-40B4-BE49-F238E27FC236}">
                <a16:creationId xmlns:a16="http://schemas.microsoft.com/office/drawing/2014/main" id="{00000000-0008-0000-0500-00005679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11" name="Oval 872">
            <a:extLst>
              <a:ext uri="{FF2B5EF4-FFF2-40B4-BE49-F238E27FC236}">
                <a16:creationId xmlns:a16="http://schemas.microsoft.com/office/drawing/2014/main" id="{00000000-0008-0000-0500-00005779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12" name="AutoShape 873">
            <a:extLst>
              <a:ext uri="{FF2B5EF4-FFF2-40B4-BE49-F238E27FC236}">
                <a16:creationId xmlns:a16="http://schemas.microsoft.com/office/drawing/2014/main" id="{00000000-0008-0000-0500-00005879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10446" name="Group 874">
          <a:extLst>
            <a:ext uri="{FF2B5EF4-FFF2-40B4-BE49-F238E27FC236}">
              <a16:creationId xmlns:a16="http://schemas.microsoft.com/office/drawing/2014/main" id="{00000000-0008-0000-0500-00004E781200}"/>
            </a:ext>
          </a:extLst>
        </xdr:cNvPr>
        <xdr:cNvGrpSpPr>
          <a:grpSpLocks/>
        </xdr:cNvGrpSpPr>
      </xdr:nvGrpSpPr>
      <xdr:grpSpPr bwMode="auto">
        <a:xfrm>
          <a:off x="5724525" y="1146175"/>
          <a:ext cx="0" cy="381000"/>
          <a:chOff x="675" y="362"/>
          <a:chExt cx="278" cy="249"/>
        </a:xfrm>
      </xdr:grpSpPr>
      <xdr:sp macro="" textlink="">
        <xdr:nvSpPr>
          <xdr:cNvPr id="1210697" name="Rectangle 875">
            <a:extLst>
              <a:ext uri="{FF2B5EF4-FFF2-40B4-BE49-F238E27FC236}">
                <a16:creationId xmlns:a16="http://schemas.microsoft.com/office/drawing/2014/main" id="{00000000-0008-0000-0500-00004979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98" name="Rectangle 876">
            <a:extLst>
              <a:ext uri="{FF2B5EF4-FFF2-40B4-BE49-F238E27FC236}">
                <a16:creationId xmlns:a16="http://schemas.microsoft.com/office/drawing/2014/main" id="{00000000-0008-0000-0500-00004A79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99" name="Rectangle 877">
            <a:extLst>
              <a:ext uri="{FF2B5EF4-FFF2-40B4-BE49-F238E27FC236}">
                <a16:creationId xmlns:a16="http://schemas.microsoft.com/office/drawing/2014/main" id="{00000000-0008-0000-0500-00004B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00" name="Rectangle 878">
            <a:extLst>
              <a:ext uri="{FF2B5EF4-FFF2-40B4-BE49-F238E27FC236}">
                <a16:creationId xmlns:a16="http://schemas.microsoft.com/office/drawing/2014/main" id="{00000000-0008-0000-0500-00004C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01" name="Rectangle 879">
            <a:extLst>
              <a:ext uri="{FF2B5EF4-FFF2-40B4-BE49-F238E27FC236}">
                <a16:creationId xmlns:a16="http://schemas.microsoft.com/office/drawing/2014/main" id="{00000000-0008-0000-0500-00004D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02" name="Oval 880">
            <a:extLst>
              <a:ext uri="{FF2B5EF4-FFF2-40B4-BE49-F238E27FC236}">
                <a16:creationId xmlns:a16="http://schemas.microsoft.com/office/drawing/2014/main" id="{00000000-0008-0000-0500-00004E79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03" name="Oval 881">
            <a:extLst>
              <a:ext uri="{FF2B5EF4-FFF2-40B4-BE49-F238E27FC236}">
                <a16:creationId xmlns:a16="http://schemas.microsoft.com/office/drawing/2014/main" id="{00000000-0008-0000-0500-00004F79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04" name="AutoShape 882">
            <a:extLst>
              <a:ext uri="{FF2B5EF4-FFF2-40B4-BE49-F238E27FC236}">
                <a16:creationId xmlns:a16="http://schemas.microsoft.com/office/drawing/2014/main" id="{00000000-0008-0000-0500-00005079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10447" name="Group 883">
          <a:extLst>
            <a:ext uri="{FF2B5EF4-FFF2-40B4-BE49-F238E27FC236}">
              <a16:creationId xmlns:a16="http://schemas.microsoft.com/office/drawing/2014/main" id="{00000000-0008-0000-0500-00004F781200}"/>
            </a:ext>
          </a:extLst>
        </xdr:cNvPr>
        <xdr:cNvGrpSpPr>
          <a:grpSpLocks/>
        </xdr:cNvGrpSpPr>
      </xdr:nvGrpSpPr>
      <xdr:grpSpPr bwMode="auto">
        <a:xfrm>
          <a:off x="5724525" y="1146175"/>
          <a:ext cx="0" cy="381000"/>
          <a:chOff x="675" y="362"/>
          <a:chExt cx="278" cy="249"/>
        </a:xfrm>
      </xdr:grpSpPr>
      <xdr:sp macro="" textlink="">
        <xdr:nvSpPr>
          <xdr:cNvPr id="1210689" name="Rectangle 884">
            <a:extLst>
              <a:ext uri="{FF2B5EF4-FFF2-40B4-BE49-F238E27FC236}">
                <a16:creationId xmlns:a16="http://schemas.microsoft.com/office/drawing/2014/main" id="{00000000-0008-0000-0500-00004179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90" name="Rectangle 885">
            <a:extLst>
              <a:ext uri="{FF2B5EF4-FFF2-40B4-BE49-F238E27FC236}">
                <a16:creationId xmlns:a16="http://schemas.microsoft.com/office/drawing/2014/main" id="{00000000-0008-0000-0500-00004279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91" name="Rectangle 886">
            <a:extLst>
              <a:ext uri="{FF2B5EF4-FFF2-40B4-BE49-F238E27FC236}">
                <a16:creationId xmlns:a16="http://schemas.microsoft.com/office/drawing/2014/main" id="{00000000-0008-0000-0500-000043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92" name="Rectangle 887">
            <a:extLst>
              <a:ext uri="{FF2B5EF4-FFF2-40B4-BE49-F238E27FC236}">
                <a16:creationId xmlns:a16="http://schemas.microsoft.com/office/drawing/2014/main" id="{00000000-0008-0000-0500-000044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93" name="Rectangle 888">
            <a:extLst>
              <a:ext uri="{FF2B5EF4-FFF2-40B4-BE49-F238E27FC236}">
                <a16:creationId xmlns:a16="http://schemas.microsoft.com/office/drawing/2014/main" id="{00000000-0008-0000-0500-000045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94" name="Oval 889">
            <a:extLst>
              <a:ext uri="{FF2B5EF4-FFF2-40B4-BE49-F238E27FC236}">
                <a16:creationId xmlns:a16="http://schemas.microsoft.com/office/drawing/2014/main" id="{00000000-0008-0000-0500-00004679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95" name="Oval 890">
            <a:extLst>
              <a:ext uri="{FF2B5EF4-FFF2-40B4-BE49-F238E27FC236}">
                <a16:creationId xmlns:a16="http://schemas.microsoft.com/office/drawing/2014/main" id="{00000000-0008-0000-0500-00004779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96" name="AutoShape 891">
            <a:extLst>
              <a:ext uri="{FF2B5EF4-FFF2-40B4-BE49-F238E27FC236}">
                <a16:creationId xmlns:a16="http://schemas.microsoft.com/office/drawing/2014/main" id="{00000000-0008-0000-0500-00004879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10448" name="Group 892">
          <a:extLst>
            <a:ext uri="{FF2B5EF4-FFF2-40B4-BE49-F238E27FC236}">
              <a16:creationId xmlns:a16="http://schemas.microsoft.com/office/drawing/2014/main" id="{00000000-0008-0000-0500-000050781200}"/>
            </a:ext>
          </a:extLst>
        </xdr:cNvPr>
        <xdr:cNvGrpSpPr>
          <a:grpSpLocks/>
        </xdr:cNvGrpSpPr>
      </xdr:nvGrpSpPr>
      <xdr:grpSpPr bwMode="auto">
        <a:xfrm>
          <a:off x="5724525" y="1146175"/>
          <a:ext cx="0" cy="381000"/>
          <a:chOff x="675" y="362"/>
          <a:chExt cx="278" cy="249"/>
        </a:xfrm>
      </xdr:grpSpPr>
      <xdr:sp macro="" textlink="">
        <xdr:nvSpPr>
          <xdr:cNvPr id="1210681" name="Rectangle 893">
            <a:extLst>
              <a:ext uri="{FF2B5EF4-FFF2-40B4-BE49-F238E27FC236}">
                <a16:creationId xmlns:a16="http://schemas.microsoft.com/office/drawing/2014/main" id="{00000000-0008-0000-0500-00003979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82" name="Rectangle 894">
            <a:extLst>
              <a:ext uri="{FF2B5EF4-FFF2-40B4-BE49-F238E27FC236}">
                <a16:creationId xmlns:a16="http://schemas.microsoft.com/office/drawing/2014/main" id="{00000000-0008-0000-0500-00003A79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83" name="Rectangle 895">
            <a:extLst>
              <a:ext uri="{FF2B5EF4-FFF2-40B4-BE49-F238E27FC236}">
                <a16:creationId xmlns:a16="http://schemas.microsoft.com/office/drawing/2014/main" id="{00000000-0008-0000-0500-00003B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84" name="Rectangle 896">
            <a:extLst>
              <a:ext uri="{FF2B5EF4-FFF2-40B4-BE49-F238E27FC236}">
                <a16:creationId xmlns:a16="http://schemas.microsoft.com/office/drawing/2014/main" id="{00000000-0008-0000-0500-00003C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85" name="Rectangle 897">
            <a:extLst>
              <a:ext uri="{FF2B5EF4-FFF2-40B4-BE49-F238E27FC236}">
                <a16:creationId xmlns:a16="http://schemas.microsoft.com/office/drawing/2014/main" id="{00000000-0008-0000-0500-00003D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86" name="Oval 898">
            <a:extLst>
              <a:ext uri="{FF2B5EF4-FFF2-40B4-BE49-F238E27FC236}">
                <a16:creationId xmlns:a16="http://schemas.microsoft.com/office/drawing/2014/main" id="{00000000-0008-0000-0500-00003E79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87" name="Oval 899">
            <a:extLst>
              <a:ext uri="{FF2B5EF4-FFF2-40B4-BE49-F238E27FC236}">
                <a16:creationId xmlns:a16="http://schemas.microsoft.com/office/drawing/2014/main" id="{00000000-0008-0000-0500-00003F79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88" name="AutoShape 900">
            <a:extLst>
              <a:ext uri="{FF2B5EF4-FFF2-40B4-BE49-F238E27FC236}">
                <a16:creationId xmlns:a16="http://schemas.microsoft.com/office/drawing/2014/main" id="{00000000-0008-0000-0500-00004079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10449" name="Group 901">
          <a:extLst>
            <a:ext uri="{FF2B5EF4-FFF2-40B4-BE49-F238E27FC236}">
              <a16:creationId xmlns:a16="http://schemas.microsoft.com/office/drawing/2014/main" id="{00000000-0008-0000-0500-000051781200}"/>
            </a:ext>
          </a:extLst>
        </xdr:cNvPr>
        <xdr:cNvGrpSpPr>
          <a:grpSpLocks/>
        </xdr:cNvGrpSpPr>
      </xdr:nvGrpSpPr>
      <xdr:grpSpPr bwMode="auto">
        <a:xfrm>
          <a:off x="5724525" y="1158875"/>
          <a:ext cx="0" cy="368300"/>
          <a:chOff x="624" y="37"/>
          <a:chExt cx="552" cy="248"/>
        </a:xfrm>
      </xdr:grpSpPr>
      <xdr:sp macro="" textlink="">
        <xdr:nvSpPr>
          <xdr:cNvPr id="1210667" name="Rectangle 902">
            <a:extLst>
              <a:ext uri="{FF2B5EF4-FFF2-40B4-BE49-F238E27FC236}">
                <a16:creationId xmlns:a16="http://schemas.microsoft.com/office/drawing/2014/main" id="{00000000-0008-0000-0500-00002B79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68" name="Rectangle 903">
            <a:extLst>
              <a:ext uri="{FF2B5EF4-FFF2-40B4-BE49-F238E27FC236}">
                <a16:creationId xmlns:a16="http://schemas.microsoft.com/office/drawing/2014/main" id="{00000000-0008-0000-0500-00002C79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69" name="Rectangle 904">
            <a:extLst>
              <a:ext uri="{FF2B5EF4-FFF2-40B4-BE49-F238E27FC236}">
                <a16:creationId xmlns:a16="http://schemas.microsoft.com/office/drawing/2014/main" id="{00000000-0008-0000-0500-00002D79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70" name="Rectangle 905">
            <a:extLst>
              <a:ext uri="{FF2B5EF4-FFF2-40B4-BE49-F238E27FC236}">
                <a16:creationId xmlns:a16="http://schemas.microsoft.com/office/drawing/2014/main" id="{00000000-0008-0000-0500-00002E79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71" name="Rectangle 906">
            <a:extLst>
              <a:ext uri="{FF2B5EF4-FFF2-40B4-BE49-F238E27FC236}">
                <a16:creationId xmlns:a16="http://schemas.microsoft.com/office/drawing/2014/main" id="{00000000-0008-0000-0500-00002F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72" name="Rectangle 907">
            <a:extLst>
              <a:ext uri="{FF2B5EF4-FFF2-40B4-BE49-F238E27FC236}">
                <a16:creationId xmlns:a16="http://schemas.microsoft.com/office/drawing/2014/main" id="{00000000-0008-0000-0500-00003079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73" name="Rectangle 908">
            <a:extLst>
              <a:ext uri="{FF2B5EF4-FFF2-40B4-BE49-F238E27FC236}">
                <a16:creationId xmlns:a16="http://schemas.microsoft.com/office/drawing/2014/main" id="{00000000-0008-0000-0500-000031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74" name="Rectangle 909">
            <a:extLst>
              <a:ext uri="{FF2B5EF4-FFF2-40B4-BE49-F238E27FC236}">
                <a16:creationId xmlns:a16="http://schemas.microsoft.com/office/drawing/2014/main" id="{00000000-0008-0000-0500-000032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75" name="Oval 910">
            <a:extLst>
              <a:ext uri="{FF2B5EF4-FFF2-40B4-BE49-F238E27FC236}">
                <a16:creationId xmlns:a16="http://schemas.microsoft.com/office/drawing/2014/main" id="{00000000-0008-0000-0500-00003379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76" name="Oval 911">
            <a:extLst>
              <a:ext uri="{FF2B5EF4-FFF2-40B4-BE49-F238E27FC236}">
                <a16:creationId xmlns:a16="http://schemas.microsoft.com/office/drawing/2014/main" id="{00000000-0008-0000-0500-00003479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77" name="Oval 912">
            <a:extLst>
              <a:ext uri="{FF2B5EF4-FFF2-40B4-BE49-F238E27FC236}">
                <a16:creationId xmlns:a16="http://schemas.microsoft.com/office/drawing/2014/main" id="{00000000-0008-0000-0500-00003579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78" name="Oval 913">
            <a:extLst>
              <a:ext uri="{FF2B5EF4-FFF2-40B4-BE49-F238E27FC236}">
                <a16:creationId xmlns:a16="http://schemas.microsoft.com/office/drawing/2014/main" id="{00000000-0008-0000-0500-00003679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79" name="AutoShape 914">
            <a:extLst>
              <a:ext uri="{FF2B5EF4-FFF2-40B4-BE49-F238E27FC236}">
                <a16:creationId xmlns:a16="http://schemas.microsoft.com/office/drawing/2014/main" id="{00000000-0008-0000-0500-00003779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80" name="AutoShape 915">
            <a:extLst>
              <a:ext uri="{FF2B5EF4-FFF2-40B4-BE49-F238E27FC236}">
                <a16:creationId xmlns:a16="http://schemas.microsoft.com/office/drawing/2014/main" id="{00000000-0008-0000-0500-00003879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10450" name="Group 916">
          <a:extLst>
            <a:ext uri="{FF2B5EF4-FFF2-40B4-BE49-F238E27FC236}">
              <a16:creationId xmlns:a16="http://schemas.microsoft.com/office/drawing/2014/main" id="{00000000-0008-0000-0500-000052781200}"/>
            </a:ext>
          </a:extLst>
        </xdr:cNvPr>
        <xdr:cNvGrpSpPr>
          <a:grpSpLocks/>
        </xdr:cNvGrpSpPr>
      </xdr:nvGrpSpPr>
      <xdr:grpSpPr bwMode="auto">
        <a:xfrm>
          <a:off x="5724525" y="1158875"/>
          <a:ext cx="0" cy="368300"/>
          <a:chOff x="624" y="37"/>
          <a:chExt cx="552" cy="248"/>
        </a:xfrm>
      </xdr:grpSpPr>
      <xdr:sp macro="" textlink="">
        <xdr:nvSpPr>
          <xdr:cNvPr id="1210653" name="Rectangle 917">
            <a:extLst>
              <a:ext uri="{FF2B5EF4-FFF2-40B4-BE49-F238E27FC236}">
                <a16:creationId xmlns:a16="http://schemas.microsoft.com/office/drawing/2014/main" id="{00000000-0008-0000-0500-00001D79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54" name="Rectangle 918">
            <a:extLst>
              <a:ext uri="{FF2B5EF4-FFF2-40B4-BE49-F238E27FC236}">
                <a16:creationId xmlns:a16="http://schemas.microsoft.com/office/drawing/2014/main" id="{00000000-0008-0000-0500-00001E79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55" name="Rectangle 919">
            <a:extLst>
              <a:ext uri="{FF2B5EF4-FFF2-40B4-BE49-F238E27FC236}">
                <a16:creationId xmlns:a16="http://schemas.microsoft.com/office/drawing/2014/main" id="{00000000-0008-0000-0500-00001F79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56" name="Rectangle 920">
            <a:extLst>
              <a:ext uri="{FF2B5EF4-FFF2-40B4-BE49-F238E27FC236}">
                <a16:creationId xmlns:a16="http://schemas.microsoft.com/office/drawing/2014/main" id="{00000000-0008-0000-0500-00002079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57" name="Rectangle 921">
            <a:extLst>
              <a:ext uri="{FF2B5EF4-FFF2-40B4-BE49-F238E27FC236}">
                <a16:creationId xmlns:a16="http://schemas.microsoft.com/office/drawing/2014/main" id="{00000000-0008-0000-0500-000021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58" name="Rectangle 922">
            <a:extLst>
              <a:ext uri="{FF2B5EF4-FFF2-40B4-BE49-F238E27FC236}">
                <a16:creationId xmlns:a16="http://schemas.microsoft.com/office/drawing/2014/main" id="{00000000-0008-0000-0500-00002279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59" name="Rectangle 923">
            <a:extLst>
              <a:ext uri="{FF2B5EF4-FFF2-40B4-BE49-F238E27FC236}">
                <a16:creationId xmlns:a16="http://schemas.microsoft.com/office/drawing/2014/main" id="{00000000-0008-0000-0500-000023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60" name="Rectangle 924">
            <a:extLst>
              <a:ext uri="{FF2B5EF4-FFF2-40B4-BE49-F238E27FC236}">
                <a16:creationId xmlns:a16="http://schemas.microsoft.com/office/drawing/2014/main" id="{00000000-0008-0000-0500-000024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61" name="Oval 925">
            <a:extLst>
              <a:ext uri="{FF2B5EF4-FFF2-40B4-BE49-F238E27FC236}">
                <a16:creationId xmlns:a16="http://schemas.microsoft.com/office/drawing/2014/main" id="{00000000-0008-0000-0500-00002579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62" name="Oval 926">
            <a:extLst>
              <a:ext uri="{FF2B5EF4-FFF2-40B4-BE49-F238E27FC236}">
                <a16:creationId xmlns:a16="http://schemas.microsoft.com/office/drawing/2014/main" id="{00000000-0008-0000-0500-00002679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63" name="Oval 927">
            <a:extLst>
              <a:ext uri="{FF2B5EF4-FFF2-40B4-BE49-F238E27FC236}">
                <a16:creationId xmlns:a16="http://schemas.microsoft.com/office/drawing/2014/main" id="{00000000-0008-0000-0500-00002779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64" name="Oval 928">
            <a:extLst>
              <a:ext uri="{FF2B5EF4-FFF2-40B4-BE49-F238E27FC236}">
                <a16:creationId xmlns:a16="http://schemas.microsoft.com/office/drawing/2014/main" id="{00000000-0008-0000-0500-00002879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65" name="AutoShape 929">
            <a:extLst>
              <a:ext uri="{FF2B5EF4-FFF2-40B4-BE49-F238E27FC236}">
                <a16:creationId xmlns:a16="http://schemas.microsoft.com/office/drawing/2014/main" id="{00000000-0008-0000-0500-00002979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66" name="AutoShape 930">
            <a:extLst>
              <a:ext uri="{FF2B5EF4-FFF2-40B4-BE49-F238E27FC236}">
                <a16:creationId xmlns:a16="http://schemas.microsoft.com/office/drawing/2014/main" id="{00000000-0008-0000-0500-00002A79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10451" name="Group 931">
          <a:extLst>
            <a:ext uri="{FF2B5EF4-FFF2-40B4-BE49-F238E27FC236}">
              <a16:creationId xmlns:a16="http://schemas.microsoft.com/office/drawing/2014/main" id="{00000000-0008-0000-0500-000053781200}"/>
            </a:ext>
          </a:extLst>
        </xdr:cNvPr>
        <xdr:cNvGrpSpPr>
          <a:grpSpLocks/>
        </xdr:cNvGrpSpPr>
      </xdr:nvGrpSpPr>
      <xdr:grpSpPr bwMode="auto">
        <a:xfrm>
          <a:off x="5724525" y="1158875"/>
          <a:ext cx="0" cy="368300"/>
          <a:chOff x="624" y="37"/>
          <a:chExt cx="552" cy="248"/>
        </a:xfrm>
      </xdr:grpSpPr>
      <xdr:sp macro="" textlink="">
        <xdr:nvSpPr>
          <xdr:cNvPr id="1210639" name="Rectangle 932">
            <a:extLst>
              <a:ext uri="{FF2B5EF4-FFF2-40B4-BE49-F238E27FC236}">
                <a16:creationId xmlns:a16="http://schemas.microsoft.com/office/drawing/2014/main" id="{00000000-0008-0000-0500-00000F79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40" name="Rectangle 933">
            <a:extLst>
              <a:ext uri="{FF2B5EF4-FFF2-40B4-BE49-F238E27FC236}">
                <a16:creationId xmlns:a16="http://schemas.microsoft.com/office/drawing/2014/main" id="{00000000-0008-0000-0500-00001079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41" name="Rectangle 934">
            <a:extLst>
              <a:ext uri="{FF2B5EF4-FFF2-40B4-BE49-F238E27FC236}">
                <a16:creationId xmlns:a16="http://schemas.microsoft.com/office/drawing/2014/main" id="{00000000-0008-0000-0500-00001179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42" name="Rectangle 935">
            <a:extLst>
              <a:ext uri="{FF2B5EF4-FFF2-40B4-BE49-F238E27FC236}">
                <a16:creationId xmlns:a16="http://schemas.microsoft.com/office/drawing/2014/main" id="{00000000-0008-0000-0500-00001279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43" name="Rectangle 936">
            <a:extLst>
              <a:ext uri="{FF2B5EF4-FFF2-40B4-BE49-F238E27FC236}">
                <a16:creationId xmlns:a16="http://schemas.microsoft.com/office/drawing/2014/main" id="{00000000-0008-0000-0500-000013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44" name="Rectangle 937">
            <a:extLst>
              <a:ext uri="{FF2B5EF4-FFF2-40B4-BE49-F238E27FC236}">
                <a16:creationId xmlns:a16="http://schemas.microsoft.com/office/drawing/2014/main" id="{00000000-0008-0000-0500-00001479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45" name="Rectangle 938">
            <a:extLst>
              <a:ext uri="{FF2B5EF4-FFF2-40B4-BE49-F238E27FC236}">
                <a16:creationId xmlns:a16="http://schemas.microsoft.com/office/drawing/2014/main" id="{00000000-0008-0000-0500-000015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46" name="Rectangle 939">
            <a:extLst>
              <a:ext uri="{FF2B5EF4-FFF2-40B4-BE49-F238E27FC236}">
                <a16:creationId xmlns:a16="http://schemas.microsoft.com/office/drawing/2014/main" id="{00000000-0008-0000-0500-000016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47" name="Oval 940">
            <a:extLst>
              <a:ext uri="{FF2B5EF4-FFF2-40B4-BE49-F238E27FC236}">
                <a16:creationId xmlns:a16="http://schemas.microsoft.com/office/drawing/2014/main" id="{00000000-0008-0000-0500-00001779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48" name="Oval 941">
            <a:extLst>
              <a:ext uri="{FF2B5EF4-FFF2-40B4-BE49-F238E27FC236}">
                <a16:creationId xmlns:a16="http://schemas.microsoft.com/office/drawing/2014/main" id="{00000000-0008-0000-0500-00001879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49" name="Oval 942">
            <a:extLst>
              <a:ext uri="{FF2B5EF4-FFF2-40B4-BE49-F238E27FC236}">
                <a16:creationId xmlns:a16="http://schemas.microsoft.com/office/drawing/2014/main" id="{00000000-0008-0000-0500-00001979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50" name="Oval 943">
            <a:extLst>
              <a:ext uri="{FF2B5EF4-FFF2-40B4-BE49-F238E27FC236}">
                <a16:creationId xmlns:a16="http://schemas.microsoft.com/office/drawing/2014/main" id="{00000000-0008-0000-0500-00001A79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51" name="AutoShape 944">
            <a:extLst>
              <a:ext uri="{FF2B5EF4-FFF2-40B4-BE49-F238E27FC236}">
                <a16:creationId xmlns:a16="http://schemas.microsoft.com/office/drawing/2014/main" id="{00000000-0008-0000-0500-00001B79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52" name="AutoShape 945">
            <a:extLst>
              <a:ext uri="{FF2B5EF4-FFF2-40B4-BE49-F238E27FC236}">
                <a16:creationId xmlns:a16="http://schemas.microsoft.com/office/drawing/2014/main" id="{00000000-0008-0000-0500-00001C79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10452" name="Group 946">
          <a:extLst>
            <a:ext uri="{FF2B5EF4-FFF2-40B4-BE49-F238E27FC236}">
              <a16:creationId xmlns:a16="http://schemas.microsoft.com/office/drawing/2014/main" id="{00000000-0008-0000-0500-000054781200}"/>
            </a:ext>
          </a:extLst>
        </xdr:cNvPr>
        <xdr:cNvGrpSpPr>
          <a:grpSpLocks/>
        </xdr:cNvGrpSpPr>
      </xdr:nvGrpSpPr>
      <xdr:grpSpPr bwMode="auto">
        <a:xfrm>
          <a:off x="5724525" y="1158875"/>
          <a:ext cx="0" cy="368300"/>
          <a:chOff x="624" y="37"/>
          <a:chExt cx="552" cy="248"/>
        </a:xfrm>
      </xdr:grpSpPr>
      <xdr:sp macro="" textlink="">
        <xdr:nvSpPr>
          <xdr:cNvPr id="1210625" name="Rectangle 947">
            <a:extLst>
              <a:ext uri="{FF2B5EF4-FFF2-40B4-BE49-F238E27FC236}">
                <a16:creationId xmlns:a16="http://schemas.microsoft.com/office/drawing/2014/main" id="{00000000-0008-0000-0500-00000179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26" name="Rectangle 948">
            <a:extLst>
              <a:ext uri="{FF2B5EF4-FFF2-40B4-BE49-F238E27FC236}">
                <a16:creationId xmlns:a16="http://schemas.microsoft.com/office/drawing/2014/main" id="{00000000-0008-0000-0500-00000279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27" name="Rectangle 949">
            <a:extLst>
              <a:ext uri="{FF2B5EF4-FFF2-40B4-BE49-F238E27FC236}">
                <a16:creationId xmlns:a16="http://schemas.microsoft.com/office/drawing/2014/main" id="{00000000-0008-0000-0500-00000379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28" name="Rectangle 950">
            <a:extLst>
              <a:ext uri="{FF2B5EF4-FFF2-40B4-BE49-F238E27FC236}">
                <a16:creationId xmlns:a16="http://schemas.microsoft.com/office/drawing/2014/main" id="{00000000-0008-0000-0500-00000479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29" name="Rectangle 951">
            <a:extLst>
              <a:ext uri="{FF2B5EF4-FFF2-40B4-BE49-F238E27FC236}">
                <a16:creationId xmlns:a16="http://schemas.microsoft.com/office/drawing/2014/main" id="{00000000-0008-0000-0500-000005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30" name="Rectangle 952">
            <a:extLst>
              <a:ext uri="{FF2B5EF4-FFF2-40B4-BE49-F238E27FC236}">
                <a16:creationId xmlns:a16="http://schemas.microsoft.com/office/drawing/2014/main" id="{00000000-0008-0000-0500-00000679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31" name="Rectangle 953">
            <a:extLst>
              <a:ext uri="{FF2B5EF4-FFF2-40B4-BE49-F238E27FC236}">
                <a16:creationId xmlns:a16="http://schemas.microsoft.com/office/drawing/2014/main" id="{00000000-0008-0000-0500-000007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32" name="Rectangle 954">
            <a:extLst>
              <a:ext uri="{FF2B5EF4-FFF2-40B4-BE49-F238E27FC236}">
                <a16:creationId xmlns:a16="http://schemas.microsoft.com/office/drawing/2014/main" id="{00000000-0008-0000-0500-000008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33" name="Oval 955">
            <a:extLst>
              <a:ext uri="{FF2B5EF4-FFF2-40B4-BE49-F238E27FC236}">
                <a16:creationId xmlns:a16="http://schemas.microsoft.com/office/drawing/2014/main" id="{00000000-0008-0000-0500-00000979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34" name="Oval 956">
            <a:extLst>
              <a:ext uri="{FF2B5EF4-FFF2-40B4-BE49-F238E27FC236}">
                <a16:creationId xmlns:a16="http://schemas.microsoft.com/office/drawing/2014/main" id="{00000000-0008-0000-0500-00000A79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35" name="Oval 957">
            <a:extLst>
              <a:ext uri="{FF2B5EF4-FFF2-40B4-BE49-F238E27FC236}">
                <a16:creationId xmlns:a16="http://schemas.microsoft.com/office/drawing/2014/main" id="{00000000-0008-0000-0500-00000B79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36" name="Oval 958">
            <a:extLst>
              <a:ext uri="{FF2B5EF4-FFF2-40B4-BE49-F238E27FC236}">
                <a16:creationId xmlns:a16="http://schemas.microsoft.com/office/drawing/2014/main" id="{00000000-0008-0000-0500-00000C79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37" name="AutoShape 959">
            <a:extLst>
              <a:ext uri="{FF2B5EF4-FFF2-40B4-BE49-F238E27FC236}">
                <a16:creationId xmlns:a16="http://schemas.microsoft.com/office/drawing/2014/main" id="{00000000-0008-0000-0500-00000D79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38" name="AutoShape 960">
            <a:extLst>
              <a:ext uri="{FF2B5EF4-FFF2-40B4-BE49-F238E27FC236}">
                <a16:creationId xmlns:a16="http://schemas.microsoft.com/office/drawing/2014/main" id="{00000000-0008-0000-0500-00000E79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10453" name="Group 961">
          <a:extLst>
            <a:ext uri="{FF2B5EF4-FFF2-40B4-BE49-F238E27FC236}">
              <a16:creationId xmlns:a16="http://schemas.microsoft.com/office/drawing/2014/main" id="{00000000-0008-0000-0500-000055781200}"/>
            </a:ext>
          </a:extLst>
        </xdr:cNvPr>
        <xdr:cNvGrpSpPr>
          <a:grpSpLocks/>
        </xdr:cNvGrpSpPr>
      </xdr:nvGrpSpPr>
      <xdr:grpSpPr bwMode="auto">
        <a:xfrm>
          <a:off x="5724525" y="1158875"/>
          <a:ext cx="0" cy="368300"/>
          <a:chOff x="624" y="37"/>
          <a:chExt cx="552" cy="248"/>
        </a:xfrm>
      </xdr:grpSpPr>
      <xdr:sp macro="" textlink="">
        <xdr:nvSpPr>
          <xdr:cNvPr id="1210611" name="Rectangle 962">
            <a:extLst>
              <a:ext uri="{FF2B5EF4-FFF2-40B4-BE49-F238E27FC236}">
                <a16:creationId xmlns:a16="http://schemas.microsoft.com/office/drawing/2014/main" id="{00000000-0008-0000-0500-0000F378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12" name="Rectangle 963">
            <a:extLst>
              <a:ext uri="{FF2B5EF4-FFF2-40B4-BE49-F238E27FC236}">
                <a16:creationId xmlns:a16="http://schemas.microsoft.com/office/drawing/2014/main" id="{00000000-0008-0000-0500-0000F478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13" name="Rectangle 964">
            <a:extLst>
              <a:ext uri="{FF2B5EF4-FFF2-40B4-BE49-F238E27FC236}">
                <a16:creationId xmlns:a16="http://schemas.microsoft.com/office/drawing/2014/main" id="{00000000-0008-0000-0500-0000F578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14" name="Rectangle 965">
            <a:extLst>
              <a:ext uri="{FF2B5EF4-FFF2-40B4-BE49-F238E27FC236}">
                <a16:creationId xmlns:a16="http://schemas.microsoft.com/office/drawing/2014/main" id="{00000000-0008-0000-0500-0000F678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15" name="Rectangle 966">
            <a:extLst>
              <a:ext uri="{FF2B5EF4-FFF2-40B4-BE49-F238E27FC236}">
                <a16:creationId xmlns:a16="http://schemas.microsoft.com/office/drawing/2014/main" id="{00000000-0008-0000-0500-0000F778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16" name="Rectangle 967">
            <a:extLst>
              <a:ext uri="{FF2B5EF4-FFF2-40B4-BE49-F238E27FC236}">
                <a16:creationId xmlns:a16="http://schemas.microsoft.com/office/drawing/2014/main" id="{00000000-0008-0000-0500-0000F878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17" name="Rectangle 968">
            <a:extLst>
              <a:ext uri="{FF2B5EF4-FFF2-40B4-BE49-F238E27FC236}">
                <a16:creationId xmlns:a16="http://schemas.microsoft.com/office/drawing/2014/main" id="{00000000-0008-0000-0500-0000F978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18" name="Rectangle 969">
            <a:extLst>
              <a:ext uri="{FF2B5EF4-FFF2-40B4-BE49-F238E27FC236}">
                <a16:creationId xmlns:a16="http://schemas.microsoft.com/office/drawing/2014/main" id="{00000000-0008-0000-0500-0000FA78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19" name="Oval 970">
            <a:extLst>
              <a:ext uri="{FF2B5EF4-FFF2-40B4-BE49-F238E27FC236}">
                <a16:creationId xmlns:a16="http://schemas.microsoft.com/office/drawing/2014/main" id="{00000000-0008-0000-0500-0000FB78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20" name="Oval 971">
            <a:extLst>
              <a:ext uri="{FF2B5EF4-FFF2-40B4-BE49-F238E27FC236}">
                <a16:creationId xmlns:a16="http://schemas.microsoft.com/office/drawing/2014/main" id="{00000000-0008-0000-0500-0000FC78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21" name="Oval 972">
            <a:extLst>
              <a:ext uri="{FF2B5EF4-FFF2-40B4-BE49-F238E27FC236}">
                <a16:creationId xmlns:a16="http://schemas.microsoft.com/office/drawing/2014/main" id="{00000000-0008-0000-0500-0000FD78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22" name="Oval 973">
            <a:extLst>
              <a:ext uri="{FF2B5EF4-FFF2-40B4-BE49-F238E27FC236}">
                <a16:creationId xmlns:a16="http://schemas.microsoft.com/office/drawing/2014/main" id="{00000000-0008-0000-0500-0000FE78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23" name="AutoShape 974">
            <a:extLst>
              <a:ext uri="{FF2B5EF4-FFF2-40B4-BE49-F238E27FC236}">
                <a16:creationId xmlns:a16="http://schemas.microsoft.com/office/drawing/2014/main" id="{00000000-0008-0000-0500-0000FF78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24" name="AutoShape 975">
            <a:extLst>
              <a:ext uri="{FF2B5EF4-FFF2-40B4-BE49-F238E27FC236}">
                <a16:creationId xmlns:a16="http://schemas.microsoft.com/office/drawing/2014/main" id="{00000000-0008-0000-0500-00000079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10454" name="Group 976">
          <a:extLst>
            <a:ext uri="{FF2B5EF4-FFF2-40B4-BE49-F238E27FC236}">
              <a16:creationId xmlns:a16="http://schemas.microsoft.com/office/drawing/2014/main" id="{00000000-0008-0000-0500-000056781200}"/>
            </a:ext>
          </a:extLst>
        </xdr:cNvPr>
        <xdr:cNvGrpSpPr>
          <a:grpSpLocks/>
        </xdr:cNvGrpSpPr>
      </xdr:nvGrpSpPr>
      <xdr:grpSpPr bwMode="auto">
        <a:xfrm>
          <a:off x="5724525" y="1158875"/>
          <a:ext cx="0" cy="368300"/>
          <a:chOff x="624" y="37"/>
          <a:chExt cx="552" cy="248"/>
        </a:xfrm>
      </xdr:grpSpPr>
      <xdr:sp macro="" textlink="">
        <xdr:nvSpPr>
          <xdr:cNvPr id="1210597" name="Rectangle 977">
            <a:extLst>
              <a:ext uri="{FF2B5EF4-FFF2-40B4-BE49-F238E27FC236}">
                <a16:creationId xmlns:a16="http://schemas.microsoft.com/office/drawing/2014/main" id="{00000000-0008-0000-0500-0000E578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98" name="Rectangle 978">
            <a:extLst>
              <a:ext uri="{FF2B5EF4-FFF2-40B4-BE49-F238E27FC236}">
                <a16:creationId xmlns:a16="http://schemas.microsoft.com/office/drawing/2014/main" id="{00000000-0008-0000-0500-0000E678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99" name="Rectangle 979">
            <a:extLst>
              <a:ext uri="{FF2B5EF4-FFF2-40B4-BE49-F238E27FC236}">
                <a16:creationId xmlns:a16="http://schemas.microsoft.com/office/drawing/2014/main" id="{00000000-0008-0000-0500-0000E778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00" name="Rectangle 980">
            <a:extLst>
              <a:ext uri="{FF2B5EF4-FFF2-40B4-BE49-F238E27FC236}">
                <a16:creationId xmlns:a16="http://schemas.microsoft.com/office/drawing/2014/main" id="{00000000-0008-0000-0500-0000E878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01" name="Rectangle 981">
            <a:extLst>
              <a:ext uri="{FF2B5EF4-FFF2-40B4-BE49-F238E27FC236}">
                <a16:creationId xmlns:a16="http://schemas.microsoft.com/office/drawing/2014/main" id="{00000000-0008-0000-0500-0000E978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02" name="Rectangle 982">
            <a:extLst>
              <a:ext uri="{FF2B5EF4-FFF2-40B4-BE49-F238E27FC236}">
                <a16:creationId xmlns:a16="http://schemas.microsoft.com/office/drawing/2014/main" id="{00000000-0008-0000-0500-0000EA78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03" name="Rectangle 983">
            <a:extLst>
              <a:ext uri="{FF2B5EF4-FFF2-40B4-BE49-F238E27FC236}">
                <a16:creationId xmlns:a16="http://schemas.microsoft.com/office/drawing/2014/main" id="{00000000-0008-0000-0500-0000EB78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04" name="Rectangle 984">
            <a:extLst>
              <a:ext uri="{FF2B5EF4-FFF2-40B4-BE49-F238E27FC236}">
                <a16:creationId xmlns:a16="http://schemas.microsoft.com/office/drawing/2014/main" id="{00000000-0008-0000-0500-0000EC78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05" name="Oval 985">
            <a:extLst>
              <a:ext uri="{FF2B5EF4-FFF2-40B4-BE49-F238E27FC236}">
                <a16:creationId xmlns:a16="http://schemas.microsoft.com/office/drawing/2014/main" id="{00000000-0008-0000-0500-0000ED78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06" name="Oval 986">
            <a:extLst>
              <a:ext uri="{FF2B5EF4-FFF2-40B4-BE49-F238E27FC236}">
                <a16:creationId xmlns:a16="http://schemas.microsoft.com/office/drawing/2014/main" id="{00000000-0008-0000-0500-0000EE78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07" name="Oval 987">
            <a:extLst>
              <a:ext uri="{FF2B5EF4-FFF2-40B4-BE49-F238E27FC236}">
                <a16:creationId xmlns:a16="http://schemas.microsoft.com/office/drawing/2014/main" id="{00000000-0008-0000-0500-0000EF78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08" name="Oval 988">
            <a:extLst>
              <a:ext uri="{FF2B5EF4-FFF2-40B4-BE49-F238E27FC236}">
                <a16:creationId xmlns:a16="http://schemas.microsoft.com/office/drawing/2014/main" id="{00000000-0008-0000-0500-0000F078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09" name="AutoShape 989">
            <a:extLst>
              <a:ext uri="{FF2B5EF4-FFF2-40B4-BE49-F238E27FC236}">
                <a16:creationId xmlns:a16="http://schemas.microsoft.com/office/drawing/2014/main" id="{00000000-0008-0000-0500-0000F178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10" name="AutoShape 990">
            <a:extLst>
              <a:ext uri="{FF2B5EF4-FFF2-40B4-BE49-F238E27FC236}">
                <a16:creationId xmlns:a16="http://schemas.microsoft.com/office/drawing/2014/main" id="{00000000-0008-0000-0500-0000F278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10455" name="Group 991">
          <a:extLst>
            <a:ext uri="{FF2B5EF4-FFF2-40B4-BE49-F238E27FC236}">
              <a16:creationId xmlns:a16="http://schemas.microsoft.com/office/drawing/2014/main" id="{00000000-0008-0000-0500-000057781200}"/>
            </a:ext>
          </a:extLst>
        </xdr:cNvPr>
        <xdr:cNvGrpSpPr>
          <a:grpSpLocks/>
        </xdr:cNvGrpSpPr>
      </xdr:nvGrpSpPr>
      <xdr:grpSpPr bwMode="auto">
        <a:xfrm>
          <a:off x="5724525" y="1158875"/>
          <a:ext cx="0" cy="368300"/>
          <a:chOff x="624" y="37"/>
          <a:chExt cx="552" cy="248"/>
        </a:xfrm>
      </xdr:grpSpPr>
      <xdr:sp macro="" textlink="">
        <xdr:nvSpPr>
          <xdr:cNvPr id="1210583" name="Rectangle 992">
            <a:extLst>
              <a:ext uri="{FF2B5EF4-FFF2-40B4-BE49-F238E27FC236}">
                <a16:creationId xmlns:a16="http://schemas.microsoft.com/office/drawing/2014/main" id="{00000000-0008-0000-0500-0000D778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84" name="Rectangle 993">
            <a:extLst>
              <a:ext uri="{FF2B5EF4-FFF2-40B4-BE49-F238E27FC236}">
                <a16:creationId xmlns:a16="http://schemas.microsoft.com/office/drawing/2014/main" id="{00000000-0008-0000-0500-0000D878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85" name="Rectangle 994">
            <a:extLst>
              <a:ext uri="{FF2B5EF4-FFF2-40B4-BE49-F238E27FC236}">
                <a16:creationId xmlns:a16="http://schemas.microsoft.com/office/drawing/2014/main" id="{00000000-0008-0000-0500-0000D978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86" name="Rectangle 995">
            <a:extLst>
              <a:ext uri="{FF2B5EF4-FFF2-40B4-BE49-F238E27FC236}">
                <a16:creationId xmlns:a16="http://schemas.microsoft.com/office/drawing/2014/main" id="{00000000-0008-0000-0500-0000DA78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87" name="Rectangle 996">
            <a:extLst>
              <a:ext uri="{FF2B5EF4-FFF2-40B4-BE49-F238E27FC236}">
                <a16:creationId xmlns:a16="http://schemas.microsoft.com/office/drawing/2014/main" id="{00000000-0008-0000-0500-0000DB78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88" name="Rectangle 997">
            <a:extLst>
              <a:ext uri="{FF2B5EF4-FFF2-40B4-BE49-F238E27FC236}">
                <a16:creationId xmlns:a16="http://schemas.microsoft.com/office/drawing/2014/main" id="{00000000-0008-0000-0500-0000DC78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89" name="Rectangle 998">
            <a:extLst>
              <a:ext uri="{FF2B5EF4-FFF2-40B4-BE49-F238E27FC236}">
                <a16:creationId xmlns:a16="http://schemas.microsoft.com/office/drawing/2014/main" id="{00000000-0008-0000-0500-0000DD78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90" name="Rectangle 999">
            <a:extLst>
              <a:ext uri="{FF2B5EF4-FFF2-40B4-BE49-F238E27FC236}">
                <a16:creationId xmlns:a16="http://schemas.microsoft.com/office/drawing/2014/main" id="{00000000-0008-0000-0500-0000DE78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91" name="Oval 1000">
            <a:extLst>
              <a:ext uri="{FF2B5EF4-FFF2-40B4-BE49-F238E27FC236}">
                <a16:creationId xmlns:a16="http://schemas.microsoft.com/office/drawing/2014/main" id="{00000000-0008-0000-0500-0000DF78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92" name="Oval 1001">
            <a:extLst>
              <a:ext uri="{FF2B5EF4-FFF2-40B4-BE49-F238E27FC236}">
                <a16:creationId xmlns:a16="http://schemas.microsoft.com/office/drawing/2014/main" id="{00000000-0008-0000-0500-0000E078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93" name="Oval 1002">
            <a:extLst>
              <a:ext uri="{FF2B5EF4-FFF2-40B4-BE49-F238E27FC236}">
                <a16:creationId xmlns:a16="http://schemas.microsoft.com/office/drawing/2014/main" id="{00000000-0008-0000-0500-0000E178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94" name="Oval 1003">
            <a:extLst>
              <a:ext uri="{FF2B5EF4-FFF2-40B4-BE49-F238E27FC236}">
                <a16:creationId xmlns:a16="http://schemas.microsoft.com/office/drawing/2014/main" id="{00000000-0008-0000-0500-0000E278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95" name="AutoShape 1004">
            <a:extLst>
              <a:ext uri="{FF2B5EF4-FFF2-40B4-BE49-F238E27FC236}">
                <a16:creationId xmlns:a16="http://schemas.microsoft.com/office/drawing/2014/main" id="{00000000-0008-0000-0500-0000E378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96" name="AutoShape 1005">
            <a:extLst>
              <a:ext uri="{FF2B5EF4-FFF2-40B4-BE49-F238E27FC236}">
                <a16:creationId xmlns:a16="http://schemas.microsoft.com/office/drawing/2014/main" id="{00000000-0008-0000-0500-0000E478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10456" name="Group 1006">
          <a:extLst>
            <a:ext uri="{FF2B5EF4-FFF2-40B4-BE49-F238E27FC236}">
              <a16:creationId xmlns:a16="http://schemas.microsoft.com/office/drawing/2014/main" id="{00000000-0008-0000-0500-000058781200}"/>
            </a:ext>
          </a:extLst>
        </xdr:cNvPr>
        <xdr:cNvGrpSpPr>
          <a:grpSpLocks/>
        </xdr:cNvGrpSpPr>
      </xdr:nvGrpSpPr>
      <xdr:grpSpPr bwMode="auto">
        <a:xfrm>
          <a:off x="5724525" y="1158875"/>
          <a:ext cx="0" cy="368300"/>
          <a:chOff x="624" y="37"/>
          <a:chExt cx="552" cy="248"/>
        </a:xfrm>
      </xdr:grpSpPr>
      <xdr:sp macro="" textlink="">
        <xdr:nvSpPr>
          <xdr:cNvPr id="1210569" name="Rectangle 1007">
            <a:extLst>
              <a:ext uri="{FF2B5EF4-FFF2-40B4-BE49-F238E27FC236}">
                <a16:creationId xmlns:a16="http://schemas.microsoft.com/office/drawing/2014/main" id="{00000000-0008-0000-0500-0000C978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70" name="Rectangle 1008">
            <a:extLst>
              <a:ext uri="{FF2B5EF4-FFF2-40B4-BE49-F238E27FC236}">
                <a16:creationId xmlns:a16="http://schemas.microsoft.com/office/drawing/2014/main" id="{00000000-0008-0000-0500-0000CA78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71" name="Rectangle 1009">
            <a:extLst>
              <a:ext uri="{FF2B5EF4-FFF2-40B4-BE49-F238E27FC236}">
                <a16:creationId xmlns:a16="http://schemas.microsoft.com/office/drawing/2014/main" id="{00000000-0008-0000-0500-0000CB78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72" name="Rectangle 1010">
            <a:extLst>
              <a:ext uri="{FF2B5EF4-FFF2-40B4-BE49-F238E27FC236}">
                <a16:creationId xmlns:a16="http://schemas.microsoft.com/office/drawing/2014/main" id="{00000000-0008-0000-0500-0000CC78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73" name="Rectangle 1011">
            <a:extLst>
              <a:ext uri="{FF2B5EF4-FFF2-40B4-BE49-F238E27FC236}">
                <a16:creationId xmlns:a16="http://schemas.microsoft.com/office/drawing/2014/main" id="{00000000-0008-0000-0500-0000CD78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74" name="Rectangle 1012">
            <a:extLst>
              <a:ext uri="{FF2B5EF4-FFF2-40B4-BE49-F238E27FC236}">
                <a16:creationId xmlns:a16="http://schemas.microsoft.com/office/drawing/2014/main" id="{00000000-0008-0000-0500-0000CE78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75" name="Rectangle 1013">
            <a:extLst>
              <a:ext uri="{FF2B5EF4-FFF2-40B4-BE49-F238E27FC236}">
                <a16:creationId xmlns:a16="http://schemas.microsoft.com/office/drawing/2014/main" id="{00000000-0008-0000-0500-0000CF78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76" name="Rectangle 1014">
            <a:extLst>
              <a:ext uri="{FF2B5EF4-FFF2-40B4-BE49-F238E27FC236}">
                <a16:creationId xmlns:a16="http://schemas.microsoft.com/office/drawing/2014/main" id="{00000000-0008-0000-0500-0000D078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77" name="Oval 1015">
            <a:extLst>
              <a:ext uri="{FF2B5EF4-FFF2-40B4-BE49-F238E27FC236}">
                <a16:creationId xmlns:a16="http://schemas.microsoft.com/office/drawing/2014/main" id="{00000000-0008-0000-0500-0000D178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78" name="Oval 1016">
            <a:extLst>
              <a:ext uri="{FF2B5EF4-FFF2-40B4-BE49-F238E27FC236}">
                <a16:creationId xmlns:a16="http://schemas.microsoft.com/office/drawing/2014/main" id="{00000000-0008-0000-0500-0000D278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79" name="Oval 1017">
            <a:extLst>
              <a:ext uri="{FF2B5EF4-FFF2-40B4-BE49-F238E27FC236}">
                <a16:creationId xmlns:a16="http://schemas.microsoft.com/office/drawing/2014/main" id="{00000000-0008-0000-0500-0000D378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80" name="Oval 1018">
            <a:extLst>
              <a:ext uri="{FF2B5EF4-FFF2-40B4-BE49-F238E27FC236}">
                <a16:creationId xmlns:a16="http://schemas.microsoft.com/office/drawing/2014/main" id="{00000000-0008-0000-0500-0000D478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81" name="AutoShape 1019">
            <a:extLst>
              <a:ext uri="{FF2B5EF4-FFF2-40B4-BE49-F238E27FC236}">
                <a16:creationId xmlns:a16="http://schemas.microsoft.com/office/drawing/2014/main" id="{00000000-0008-0000-0500-0000D578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82" name="AutoShape 1020">
            <a:extLst>
              <a:ext uri="{FF2B5EF4-FFF2-40B4-BE49-F238E27FC236}">
                <a16:creationId xmlns:a16="http://schemas.microsoft.com/office/drawing/2014/main" id="{00000000-0008-0000-0500-0000D678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10457" name="Group 1021">
          <a:extLst>
            <a:ext uri="{FF2B5EF4-FFF2-40B4-BE49-F238E27FC236}">
              <a16:creationId xmlns:a16="http://schemas.microsoft.com/office/drawing/2014/main" id="{00000000-0008-0000-0500-000059781200}"/>
            </a:ext>
          </a:extLst>
        </xdr:cNvPr>
        <xdr:cNvGrpSpPr>
          <a:grpSpLocks/>
        </xdr:cNvGrpSpPr>
      </xdr:nvGrpSpPr>
      <xdr:grpSpPr bwMode="auto">
        <a:xfrm>
          <a:off x="5724525" y="1158875"/>
          <a:ext cx="0" cy="368300"/>
          <a:chOff x="624" y="37"/>
          <a:chExt cx="552" cy="248"/>
        </a:xfrm>
      </xdr:grpSpPr>
      <xdr:sp macro="" textlink="">
        <xdr:nvSpPr>
          <xdr:cNvPr id="1210555" name="Rectangle 1022">
            <a:extLst>
              <a:ext uri="{FF2B5EF4-FFF2-40B4-BE49-F238E27FC236}">
                <a16:creationId xmlns:a16="http://schemas.microsoft.com/office/drawing/2014/main" id="{00000000-0008-0000-0500-0000BB78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56" name="Rectangle 1023">
            <a:extLst>
              <a:ext uri="{FF2B5EF4-FFF2-40B4-BE49-F238E27FC236}">
                <a16:creationId xmlns:a16="http://schemas.microsoft.com/office/drawing/2014/main" id="{00000000-0008-0000-0500-0000BC78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57" name="Rectangle 1024">
            <a:extLst>
              <a:ext uri="{FF2B5EF4-FFF2-40B4-BE49-F238E27FC236}">
                <a16:creationId xmlns:a16="http://schemas.microsoft.com/office/drawing/2014/main" id="{00000000-0008-0000-0500-0000BD78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58" name="Rectangle 1025">
            <a:extLst>
              <a:ext uri="{FF2B5EF4-FFF2-40B4-BE49-F238E27FC236}">
                <a16:creationId xmlns:a16="http://schemas.microsoft.com/office/drawing/2014/main" id="{00000000-0008-0000-0500-0000BE78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59" name="Rectangle 1026">
            <a:extLst>
              <a:ext uri="{FF2B5EF4-FFF2-40B4-BE49-F238E27FC236}">
                <a16:creationId xmlns:a16="http://schemas.microsoft.com/office/drawing/2014/main" id="{00000000-0008-0000-0500-0000BF78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60" name="Rectangle 1027">
            <a:extLst>
              <a:ext uri="{FF2B5EF4-FFF2-40B4-BE49-F238E27FC236}">
                <a16:creationId xmlns:a16="http://schemas.microsoft.com/office/drawing/2014/main" id="{00000000-0008-0000-0500-0000C078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61" name="Rectangle 1028">
            <a:extLst>
              <a:ext uri="{FF2B5EF4-FFF2-40B4-BE49-F238E27FC236}">
                <a16:creationId xmlns:a16="http://schemas.microsoft.com/office/drawing/2014/main" id="{00000000-0008-0000-0500-0000C178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62" name="Rectangle 1029">
            <a:extLst>
              <a:ext uri="{FF2B5EF4-FFF2-40B4-BE49-F238E27FC236}">
                <a16:creationId xmlns:a16="http://schemas.microsoft.com/office/drawing/2014/main" id="{00000000-0008-0000-0500-0000C278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63" name="Oval 1030">
            <a:extLst>
              <a:ext uri="{FF2B5EF4-FFF2-40B4-BE49-F238E27FC236}">
                <a16:creationId xmlns:a16="http://schemas.microsoft.com/office/drawing/2014/main" id="{00000000-0008-0000-0500-0000C378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64" name="Oval 1031">
            <a:extLst>
              <a:ext uri="{FF2B5EF4-FFF2-40B4-BE49-F238E27FC236}">
                <a16:creationId xmlns:a16="http://schemas.microsoft.com/office/drawing/2014/main" id="{00000000-0008-0000-0500-0000C478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65" name="Oval 1032">
            <a:extLst>
              <a:ext uri="{FF2B5EF4-FFF2-40B4-BE49-F238E27FC236}">
                <a16:creationId xmlns:a16="http://schemas.microsoft.com/office/drawing/2014/main" id="{00000000-0008-0000-0500-0000C578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66" name="Oval 1033">
            <a:extLst>
              <a:ext uri="{FF2B5EF4-FFF2-40B4-BE49-F238E27FC236}">
                <a16:creationId xmlns:a16="http://schemas.microsoft.com/office/drawing/2014/main" id="{00000000-0008-0000-0500-0000C678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67" name="AutoShape 1034">
            <a:extLst>
              <a:ext uri="{FF2B5EF4-FFF2-40B4-BE49-F238E27FC236}">
                <a16:creationId xmlns:a16="http://schemas.microsoft.com/office/drawing/2014/main" id="{00000000-0008-0000-0500-0000C778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68" name="AutoShape 1035">
            <a:extLst>
              <a:ext uri="{FF2B5EF4-FFF2-40B4-BE49-F238E27FC236}">
                <a16:creationId xmlns:a16="http://schemas.microsoft.com/office/drawing/2014/main" id="{00000000-0008-0000-0500-0000C878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10458" name="Group 1036">
          <a:extLst>
            <a:ext uri="{FF2B5EF4-FFF2-40B4-BE49-F238E27FC236}">
              <a16:creationId xmlns:a16="http://schemas.microsoft.com/office/drawing/2014/main" id="{00000000-0008-0000-0500-00005A781200}"/>
            </a:ext>
          </a:extLst>
        </xdr:cNvPr>
        <xdr:cNvGrpSpPr>
          <a:grpSpLocks/>
        </xdr:cNvGrpSpPr>
      </xdr:nvGrpSpPr>
      <xdr:grpSpPr bwMode="auto">
        <a:xfrm>
          <a:off x="5724525" y="1158875"/>
          <a:ext cx="0" cy="368300"/>
          <a:chOff x="624" y="37"/>
          <a:chExt cx="552" cy="248"/>
        </a:xfrm>
      </xdr:grpSpPr>
      <xdr:sp macro="" textlink="">
        <xdr:nvSpPr>
          <xdr:cNvPr id="1210541" name="Rectangle 1037">
            <a:extLst>
              <a:ext uri="{FF2B5EF4-FFF2-40B4-BE49-F238E27FC236}">
                <a16:creationId xmlns:a16="http://schemas.microsoft.com/office/drawing/2014/main" id="{00000000-0008-0000-0500-0000AD78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42" name="Rectangle 1038">
            <a:extLst>
              <a:ext uri="{FF2B5EF4-FFF2-40B4-BE49-F238E27FC236}">
                <a16:creationId xmlns:a16="http://schemas.microsoft.com/office/drawing/2014/main" id="{00000000-0008-0000-0500-0000AE78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43" name="Rectangle 1039">
            <a:extLst>
              <a:ext uri="{FF2B5EF4-FFF2-40B4-BE49-F238E27FC236}">
                <a16:creationId xmlns:a16="http://schemas.microsoft.com/office/drawing/2014/main" id="{00000000-0008-0000-0500-0000AF78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44" name="Rectangle 1040">
            <a:extLst>
              <a:ext uri="{FF2B5EF4-FFF2-40B4-BE49-F238E27FC236}">
                <a16:creationId xmlns:a16="http://schemas.microsoft.com/office/drawing/2014/main" id="{00000000-0008-0000-0500-0000B078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45" name="Rectangle 1041">
            <a:extLst>
              <a:ext uri="{FF2B5EF4-FFF2-40B4-BE49-F238E27FC236}">
                <a16:creationId xmlns:a16="http://schemas.microsoft.com/office/drawing/2014/main" id="{00000000-0008-0000-0500-0000B178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46" name="Rectangle 1042">
            <a:extLst>
              <a:ext uri="{FF2B5EF4-FFF2-40B4-BE49-F238E27FC236}">
                <a16:creationId xmlns:a16="http://schemas.microsoft.com/office/drawing/2014/main" id="{00000000-0008-0000-0500-0000B278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47" name="Rectangle 1043">
            <a:extLst>
              <a:ext uri="{FF2B5EF4-FFF2-40B4-BE49-F238E27FC236}">
                <a16:creationId xmlns:a16="http://schemas.microsoft.com/office/drawing/2014/main" id="{00000000-0008-0000-0500-0000B378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48" name="Rectangle 1044">
            <a:extLst>
              <a:ext uri="{FF2B5EF4-FFF2-40B4-BE49-F238E27FC236}">
                <a16:creationId xmlns:a16="http://schemas.microsoft.com/office/drawing/2014/main" id="{00000000-0008-0000-0500-0000B478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49" name="Oval 1045">
            <a:extLst>
              <a:ext uri="{FF2B5EF4-FFF2-40B4-BE49-F238E27FC236}">
                <a16:creationId xmlns:a16="http://schemas.microsoft.com/office/drawing/2014/main" id="{00000000-0008-0000-0500-0000B578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50" name="Oval 1046">
            <a:extLst>
              <a:ext uri="{FF2B5EF4-FFF2-40B4-BE49-F238E27FC236}">
                <a16:creationId xmlns:a16="http://schemas.microsoft.com/office/drawing/2014/main" id="{00000000-0008-0000-0500-0000B678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51" name="Oval 1047">
            <a:extLst>
              <a:ext uri="{FF2B5EF4-FFF2-40B4-BE49-F238E27FC236}">
                <a16:creationId xmlns:a16="http://schemas.microsoft.com/office/drawing/2014/main" id="{00000000-0008-0000-0500-0000B778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52" name="Oval 1048">
            <a:extLst>
              <a:ext uri="{FF2B5EF4-FFF2-40B4-BE49-F238E27FC236}">
                <a16:creationId xmlns:a16="http://schemas.microsoft.com/office/drawing/2014/main" id="{00000000-0008-0000-0500-0000B878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53" name="AutoShape 1049">
            <a:extLst>
              <a:ext uri="{FF2B5EF4-FFF2-40B4-BE49-F238E27FC236}">
                <a16:creationId xmlns:a16="http://schemas.microsoft.com/office/drawing/2014/main" id="{00000000-0008-0000-0500-0000B978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54" name="AutoShape 1050">
            <a:extLst>
              <a:ext uri="{FF2B5EF4-FFF2-40B4-BE49-F238E27FC236}">
                <a16:creationId xmlns:a16="http://schemas.microsoft.com/office/drawing/2014/main" id="{00000000-0008-0000-0500-0000BA78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10459" name="Group 1051">
          <a:extLst>
            <a:ext uri="{FF2B5EF4-FFF2-40B4-BE49-F238E27FC236}">
              <a16:creationId xmlns:a16="http://schemas.microsoft.com/office/drawing/2014/main" id="{00000000-0008-0000-0500-00005B781200}"/>
            </a:ext>
          </a:extLst>
        </xdr:cNvPr>
        <xdr:cNvGrpSpPr>
          <a:grpSpLocks/>
        </xdr:cNvGrpSpPr>
      </xdr:nvGrpSpPr>
      <xdr:grpSpPr bwMode="auto">
        <a:xfrm>
          <a:off x="5724525" y="1146175"/>
          <a:ext cx="0" cy="381000"/>
          <a:chOff x="675" y="362"/>
          <a:chExt cx="278" cy="249"/>
        </a:xfrm>
      </xdr:grpSpPr>
      <xdr:sp macro="" textlink="">
        <xdr:nvSpPr>
          <xdr:cNvPr id="1210533" name="Rectangle 1052">
            <a:extLst>
              <a:ext uri="{FF2B5EF4-FFF2-40B4-BE49-F238E27FC236}">
                <a16:creationId xmlns:a16="http://schemas.microsoft.com/office/drawing/2014/main" id="{00000000-0008-0000-0500-0000A578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34" name="Rectangle 1053">
            <a:extLst>
              <a:ext uri="{FF2B5EF4-FFF2-40B4-BE49-F238E27FC236}">
                <a16:creationId xmlns:a16="http://schemas.microsoft.com/office/drawing/2014/main" id="{00000000-0008-0000-0500-0000A678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35" name="Rectangle 1054">
            <a:extLst>
              <a:ext uri="{FF2B5EF4-FFF2-40B4-BE49-F238E27FC236}">
                <a16:creationId xmlns:a16="http://schemas.microsoft.com/office/drawing/2014/main" id="{00000000-0008-0000-0500-0000A778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36" name="Rectangle 1055">
            <a:extLst>
              <a:ext uri="{FF2B5EF4-FFF2-40B4-BE49-F238E27FC236}">
                <a16:creationId xmlns:a16="http://schemas.microsoft.com/office/drawing/2014/main" id="{00000000-0008-0000-0500-0000A878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37" name="Rectangle 1056">
            <a:extLst>
              <a:ext uri="{FF2B5EF4-FFF2-40B4-BE49-F238E27FC236}">
                <a16:creationId xmlns:a16="http://schemas.microsoft.com/office/drawing/2014/main" id="{00000000-0008-0000-0500-0000A978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38" name="Oval 1057">
            <a:extLst>
              <a:ext uri="{FF2B5EF4-FFF2-40B4-BE49-F238E27FC236}">
                <a16:creationId xmlns:a16="http://schemas.microsoft.com/office/drawing/2014/main" id="{00000000-0008-0000-0500-0000AA78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39" name="Oval 1058">
            <a:extLst>
              <a:ext uri="{FF2B5EF4-FFF2-40B4-BE49-F238E27FC236}">
                <a16:creationId xmlns:a16="http://schemas.microsoft.com/office/drawing/2014/main" id="{00000000-0008-0000-0500-0000AB78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40" name="AutoShape 1059">
            <a:extLst>
              <a:ext uri="{FF2B5EF4-FFF2-40B4-BE49-F238E27FC236}">
                <a16:creationId xmlns:a16="http://schemas.microsoft.com/office/drawing/2014/main" id="{00000000-0008-0000-0500-0000AC78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10460" name="Group 1060">
          <a:extLst>
            <a:ext uri="{FF2B5EF4-FFF2-40B4-BE49-F238E27FC236}">
              <a16:creationId xmlns:a16="http://schemas.microsoft.com/office/drawing/2014/main" id="{00000000-0008-0000-0500-00005C781200}"/>
            </a:ext>
          </a:extLst>
        </xdr:cNvPr>
        <xdr:cNvGrpSpPr>
          <a:grpSpLocks/>
        </xdr:cNvGrpSpPr>
      </xdr:nvGrpSpPr>
      <xdr:grpSpPr bwMode="auto">
        <a:xfrm>
          <a:off x="5724525" y="1146175"/>
          <a:ext cx="0" cy="381000"/>
          <a:chOff x="675" y="362"/>
          <a:chExt cx="278" cy="249"/>
        </a:xfrm>
      </xdr:grpSpPr>
      <xdr:sp macro="" textlink="">
        <xdr:nvSpPr>
          <xdr:cNvPr id="1210525" name="Rectangle 1061">
            <a:extLst>
              <a:ext uri="{FF2B5EF4-FFF2-40B4-BE49-F238E27FC236}">
                <a16:creationId xmlns:a16="http://schemas.microsoft.com/office/drawing/2014/main" id="{00000000-0008-0000-0500-00009D78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26" name="Rectangle 1062">
            <a:extLst>
              <a:ext uri="{FF2B5EF4-FFF2-40B4-BE49-F238E27FC236}">
                <a16:creationId xmlns:a16="http://schemas.microsoft.com/office/drawing/2014/main" id="{00000000-0008-0000-0500-00009E78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27" name="Rectangle 1063">
            <a:extLst>
              <a:ext uri="{FF2B5EF4-FFF2-40B4-BE49-F238E27FC236}">
                <a16:creationId xmlns:a16="http://schemas.microsoft.com/office/drawing/2014/main" id="{00000000-0008-0000-0500-00009F78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28" name="Rectangle 1064">
            <a:extLst>
              <a:ext uri="{FF2B5EF4-FFF2-40B4-BE49-F238E27FC236}">
                <a16:creationId xmlns:a16="http://schemas.microsoft.com/office/drawing/2014/main" id="{00000000-0008-0000-0500-0000A078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29" name="Rectangle 1065">
            <a:extLst>
              <a:ext uri="{FF2B5EF4-FFF2-40B4-BE49-F238E27FC236}">
                <a16:creationId xmlns:a16="http://schemas.microsoft.com/office/drawing/2014/main" id="{00000000-0008-0000-0500-0000A178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30" name="Oval 1066">
            <a:extLst>
              <a:ext uri="{FF2B5EF4-FFF2-40B4-BE49-F238E27FC236}">
                <a16:creationId xmlns:a16="http://schemas.microsoft.com/office/drawing/2014/main" id="{00000000-0008-0000-0500-0000A278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31" name="Oval 1067">
            <a:extLst>
              <a:ext uri="{FF2B5EF4-FFF2-40B4-BE49-F238E27FC236}">
                <a16:creationId xmlns:a16="http://schemas.microsoft.com/office/drawing/2014/main" id="{00000000-0008-0000-0500-0000A378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32" name="AutoShape 1068">
            <a:extLst>
              <a:ext uri="{FF2B5EF4-FFF2-40B4-BE49-F238E27FC236}">
                <a16:creationId xmlns:a16="http://schemas.microsoft.com/office/drawing/2014/main" id="{00000000-0008-0000-0500-0000A478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10461" name="Group 1069">
          <a:extLst>
            <a:ext uri="{FF2B5EF4-FFF2-40B4-BE49-F238E27FC236}">
              <a16:creationId xmlns:a16="http://schemas.microsoft.com/office/drawing/2014/main" id="{00000000-0008-0000-0500-00005D781200}"/>
            </a:ext>
          </a:extLst>
        </xdr:cNvPr>
        <xdr:cNvGrpSpPr>
          <a:grpSpLocks/>
        </xdr:cNvGrpSpPr>
      </xdr:nvGrpSpPr>
      <xdr:grpSpPr bwMode="auto">
        <a:xfrm>
          <a:off x="5724525" y="1146175"/>
          <a:ext cx="0" cy="381000"/>
          <a:chOff x="675" y="362"/>
          <a:chExt cx="278" cy="249"/>
        </a:xfrm>
      </xdr:grpSpPr>
      <xdr:sp macro="" textlink="">
        <xdr:nvSpPr>
          <xdr:cNvPr id="1210517" name="Rectangle 1070">
            <a:extLst>
              <a:ext uri="{FF2B5EF4-FFF2-40B4-BE49-F238E27FC236}">
                <a16:creationId xmlns:a16="http://schemas.microsoft.com/office/drawing/2014/main" id="{00000000-0008-0000-0500-00009578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18" name="Rectangle 1071">
            <a:extLst>
              <a:ext uri="{FF2B5EF4-FFF2-40B4-BE49-F238E27FC236}">
                <a16:creationId xmlns:a16="http://schemas.microsoft.com/office/drawing/2014/main" id="{00000000-0008-0000-0500-00009678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19" name="Rectangle 1072">
            <a:extLst>
              <a:ext uri="{FF2B5EF4-FFF2-40B4-BE49-F238E27FC236}">
                <a16:creationId xmlns:a16="http://schemas.microsoft.com/office/drawing/2014/main" id="{00000000-0008-0000-0500-00009778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20" name="Rectangle 1073">
            <a:extLst>
              <a:ext uri="{FF2B5EF4-FFF2-40B4-BE49-F238E27FC236}">
                <a16:creationId xmlns:a16="http://schemas.microsoft.com/office/drawing/2014/main" id="{00000000-0008-0000-0500-00009878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21" name="Rectangle 1074">
            <a:extLst>
              <a:ext uri="{FF2B5EF4-FFF2-40B4-BE49-F238E27FC236}">
                <a16:creationId xmlns:a16="http://schemas.microsoft.com/office/drawing/2014/main" id="{00000000-0008-0000-0500-00009978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22" name="Oval 1075">
            <a:extLst>
              <a:ext uri="{FF2B5EF4-FFF2-40B4-BE49-F238E27FC236}">
                <a16:creationId xmlns:a16="http://schemas.microsoft.com/office/drawing/2014/main" id="{00000000-0008-0000-0500-00009A78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23" name="Oval 1076">
            <a:extLst>
              <a:ext uri="{FF2B5EF4-FFF2-40B4-BE49-F238E27FC236}">
                <a16:creationId xmlns:a16="http://schemas.microsoft.com/office/drawing/2014/main" id="{00000000-0008-0000-0500-00009B78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24" name="AutoShape 1077">
            <a:extLst>
              <a:ext uri="{FF2B5EF4-FFF2-40B4-BE49-F238E27FC236}">
                <a16:creationId xmlns:a16="http://schemas.microsoft.com/office/drawing/2014/main" id="{00000000-0008-0000-0500-00009C78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5</xdr:col>
      <xdr:colOff>190500</xdr:colOff>
      <xdr:row>2</xdr:row>
      <xdr:rowOff>139700</xdr:rowOff>
    </xdr:from>
    <xdr:to>
      <xdr:col>6</xdr:col>
      <xdr:colOff>558800</xdr:colOff>
      <xdr:row>3</xdr:row>
      <xdr:rowOff>76200</xdr:rowOff>
    </xdr:to>
    <xdr:grpSp>
      <xdr:nvGrpSpPr>
        <xdr:cNvPr id="1210462" name="Group 1090">
          <a:extLst>
            <a:ext uri="{FF2B5EF4-FFF2-40B4-BE49-F238E27FC236}">
              <a16:creationId xmlns:a16="http://schemas.microsoft.com/office/drawing/2014/main" id="{00000000-0008-0000-0500-00005E781200}"/>
            </a:ext>
          </a:extLst>
        </xdr:cNvPr>
        <xdr:cNvGrpSpPr>
          <a:grpSpLocks/>
        </xdr:cNvGrpSpPr>
      </xdr:nvGrpSpPr>
      <xdr:grpSpPr bwMode="auto">
        <a:xfrm>
          <a:off x="4419600" y="1235075"/>
          <a:ext cx="1187450" cy="508000"/>
          <a:chOff x="727" y="291"/>
          <a:chExt cx="534" cy="327"/>
        </a:xfrm>
      </xdr:grpSpPr>
      <xdr:sp macro="" textlink="">
        <xdr:nvSpPr>
          <xdr:cNvPr id="1210509" name="Rectangle 737">
            <a:extLst>
              <a:ext uri="{FF2B5EF4-FFF2-40B4-BE49-F238E27FC236}">
                <a16:creationId xmlns:a16="http://schemas.microsoft.com/office/drawing/2014/main" id="{00000000-0008-0000-0500-00008D78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10" name="Rectangle 739">
            <a:extLst>
              <a:ext uri="{FF2B5EF4-FFF2-40B4-BE49-F238E27FC236}">
                <a16:creationId xmlns:a16="http://schemas.microsoft.com/office/drawing/2014/main" id="{00000000-0008-0000-0500-00008E78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94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11" name="Rectangle 741">
            <a:extLst>
              <a:ext uri="{FF2B5EF4-FFF2-40B4-BE49-F238E27FC236}">
                <a16:creationId xmlns:a16="http://schemas.microsoft.com/office/drawing/2014/main" id="{00000000-0008-0000-0500-00008F781200}"/>
              </a:ext>
            </a:extLst>
          </xdr:cNvPr>
          <xdr:cNvSpPr>
            <a:spLocks noChangeArrowheads="1"/>
          </xdr:cNvSpPr>
        </xdr:nvSpPr>
        <xdr:spPr bwMode="auto">
          <a:xfrm>
            <a:off x="727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12" name="Rectangle 742">
            <a:extLst>
              <a:ext uri="{FF2B5EF4-FFF2-40B4-BE49-F238E27FC236}">
                <a16:creationId xmlns:a16="http://schemas.microsoft.com/office/drawing/2014/main" id="{00000000-0008-0000-0500-000090781200}"/>
              </a:ext>
            </a:extLst>
          </xdr:cNvPr>
          <xdr:cNvSpPr>
            <a:spLocks noChangeArrowheads="1"/>
          </xdr:cNvSpPr>
        </xdr:nvSpPr>
        <xdr:spPr bwMode="auto">
          <a:xfrm>
            <a:off x="1128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13" name="Rectangle 744">
            <a:extLst>
              <a:ext uri="{FF2B5EF4-FFF2-40B4-BE49-F238E27FC236}">
                <a16:creationId xmlns:a16="http://schemas.microsoft.com/office/drawing/2014/main" id="{00000000-0008-0000-0500-000091781200}"/>
              </a:ext>
            </a:extLst>
          </xdr:cNvPr>
          <xdr:cNvSpPr>
            <a:spLocks noChangeArrowheads="1"/>
          </xdr:cNvSpPr>
        </xdr:nvSpPr>
        <xdr:spPr bwMode="auto">
          <a:xfrm>
            <a:off x="727" y="613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14" name="Rectangle 1087">
            <a:extLst>
              <a:ext uri="{FF2B5EF4-FFF2-40B4-BE49-F238E27FC236}">
                <a16:creationId xmlns:a16="http://schemas.microsoft.com/office/drawing/2014/main" id="{00000000-0008-0000-0500-000092781200}"/>
              </a:ext>
            </a:extLst>
          </xdr:cNvPr>
          <xdr:cNvSpPr>
            <a:spLocks noChangeArrowheads="1"/>
          </xdr:cNvSpPr>
        </xdr:nvSpPr>
        <xdr:spPr bwMode="auto">
          <a:xfrm>
            <a:off x="729" y="291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15" name="Rectangle 1088">
            <a:extLst>
              <a:ext uri="{FF2B5EF4-FFF2-40B4-BE49-F238E27FC236}">
                <a16:creationId xmlns:a16="http://schemas.microsoft.com/office/drawing/2014/main" id="{00000000-0008-0000-0500-0000937812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569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16" name="Rectangle 1089">
            <a:extLst>
              <a:ext uri="{FF2B5EF4-FFF2-40B4-BE49-F238E27FC236}">
                <a16:creationId xmlns:a16="http://schemas.microsoft.com/office/drawing/2014/main" id="{00000000-0008-0000-0500-0000947812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1096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3</xdr:col>
      <xdr:colOff>139700</xdr:colOff>
      <xdr:row>2</xdr:row>
      <xdr:rowOff>63500</xdr:rowOff>
    </xdr:from>
    <xdr:to>
      <xdr:col>3</xdr:col>
      <xdr:colOff>685800</xdr:colOff>
      <xdr:row>2</xdr:row>
      <xdr:rowOff>419100</xdr:rowOff>
    </xdr:to>
    <xdr:grpSp>
      <xdr:nvGrpSpPr>
        <xdr:cNvPr id="1210463" name="Group 1091">
          <a:extLst>
            <a:ext uri="{FF2B5EF4-FFF2-40B4-BE49-F238E27FC236}">
              <a16:creationId xmlns:a16="http://schemas.microsoft.com/office/drawing/2014/main" id="{00000000-0008-0000-0500-00005F781200}"/>
            </a:ext>
          </a:extLst>
        </xdr:cNvPr>
        <xdr:cNvGrpSpPr>
          <a:grpSpLocks/>
        </xdr:cNvGrpSpPr>
      </xdr:nvGrpSpPr>
      <xdr:grpSpPr bwMode="auto">
        <a:xfrm>
          <a:off x="3216275" y="1158875"/>
          <a:ext cx="546100" cy="355600"/>
          <a:chOff x="727" y="291"/>
          <a:chExt cx="534" cy="327"/>
        </a:xfrm>
      </xdr:grpSpPr>
      <xdr:sp macro="" textlink="">
        <xdr:nvSpPr>
          <xdr:cNvPr id="1210501" name="Rectangle 1092">
            <a:extLst>
              <a:ext uri="{FF2B5EF4-FFF2-40B4-BE49-F238E27FC236}">
                <a16:creationId xmlns:a16="http://schemas.microsoft.com/office/drawing/2014/main" id="{00000000-0008-0000-0500-00008578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02" name="Rectangle 1093">
            <a:extLst>
              <a:ext uri="{FF2B5EF4-FFF2-40B4-BE49-F238E27FC236}">
                <a16:creationId xmlns:a16="http://schemas.microsoft.com/office/drawing/2014/main" id="{00000000-0008-0000-0500-00008678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94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03" name="Rectangle 1094">
            <a:extLst>
              <a:ext uri="{FF2B5EF4-FFF2-40B4-BE49-F238E27FC236}">
                <a16:creationId xmlns:a16="http://schemas.microsoft.com/office/drawing/2014/main" id="{00000000-0008-0000-0500-000087781200}"/>
              </a:ext>
            </a:extLst>
          </xdr:cNvPr>
          <xdr:cNvSpPr>
            <a:spLocks noChangeArrowheads="1"/>
          </xdr:cNvSpPr>
        </xdr:nvSpPr>
        <xdr:spPr bwMode="auto">
          <a:xfrm>
            <a:off x="727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04" name="Rectangle 1095">
            <a:extLst>
              <a:ext uri="{FF2B5EF4-FFF2-40B4-BE49-F238E27FC236}">
                <a16:creationId xmlns:a16="http://schemas.microsoft.com/office/drawing/2014/main" id="{00000000-0008-0000-0500-000088781200}"/>
              </a:ext>
            </a:extLst>
          </xdr:cNvPr>
          <xdr:cNvSpPr>
            <a:spLocks noChangeArrowheads="1"/>
          </xdr:cNvSpPr>
        </xdr:nvSpPr>
        <xdr:spPr bwMode="auto">
          <a:xfrm>
            <a:off x="1128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05" name="Rectangle 1096">
            <a:extLst>
              <a:ext uri="{FF2B5EF4-FFF2-40B4-BE49-F238E27FC236}">
                <a16:creationId xmlns:a16="http://schemas.microsoft.com/office/drawing/2014/main" id="{00000000-0008-0000-0500-000089781200}"/>
              </a:ext>
            </a:extLst>
          </xdr:cNvPr>
          <xdr:cNvSpPr>
            <a:spLocks noChangeArrowheads="1"/>
          </xdr:cNvSpPr>
        </xdr:nvSpPr>
        <xdr:spPr bwMode="auto">
          <a:xfrm>
            <a:off x="727" y="613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06" name="Rectangle 1097">
            <a:extLst>
              <a:ext uri="{FF2B5EF4-FFF2-40B4-BE49-F238E27FC236}">
                <a16:creationId xmlns:a16="http://schemas.microsoft.com/office/drawing/2014/main" id="{00000000-0008-0000-0500-00008A781200}"/>
              </a:ext>
            </a:extLst>
          </xdr:cNvPr>
          <xdr:cNvSpPr>
            <a:spLocks noChangeArrowheads="1"/>
          </xdr:cNvSpPr>
        </xdr:nvSpPr>
        <xdr:spPr bwMode="auto">
          <a:xfrm>
            <a:off x="729" y="291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07" name="Rectangle 1098">
            <a:extLst>
              <a:ext uri="{FF2B5EF4-FFF2-40B4-BE49-F238E27FC236}">
                <a16:creationId xmlns:a16="http://schemas.microsoft.com/office/drawing/2014/main" id="{00000000-0008-0000-0500-00008B7812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569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08" name="Rectangle 1099">
            <a:extLst>
              <a:ext uri="{FF2B5EF4-FFF2-40B4-BE49-F238E27FC236}">
                <a16:creationId xmlns:a16="http://schemas.microsoft.com/office/drawing/2014/main" id="{00000000-0008-0000-0500-00008C7812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1096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101600</xdr:colOff>
      <xdr:row>0</xdr:row>
      <xdr:rowOff>787400</xdr:rowOff>
    </xdr:to>
    <xdr:pic>
      <xdr:nvPicPr>
        <xdr:cNvPr id="1210466" name="1034 Imagen" descr="logo masercon ultimo.jpg">
          <a:extLst>
            <a:ext uri="{FF2B5EF4-FFF2-40B4-BE49-F238E27FC236}">
              <a16:creationId xmlns:a16="http://schemas.microsoft.com/office/drawing/2014/main" id="{00000000-0008-0000-0500-000062781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5179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139700</xdr:colOff>
      <xdr:row>2</xdr:row>
      <xdr:rowOff>63500</xdr:rowOff>
    </xdr:from>
    <xdr:to>
      <xdr:col>7</xdr:col>
      <xdr:colOff>685800</xdr:colOff>
      <xdr:row>2</xdr:row>
      <xdr:rowOff>419100</xdr:rowOff>
    </xdr:to>
    <xdr:grpSp>
      <xdr:nvGrpSpPr>
        <xdr:cNvPr id="1158" name="Group 1091">
          <a:extLst>
            <a:ext uri="{FF2B5EF4-FFF2-40B4-BE49-F238E27FC236}">
              <a16:creationId xmlns:a16="http://schemas.microsoft.com/office/drawing/2014/main" id="{00000000-0008-0000-0500-000086040000}"/>
            </a:ext>
          </a:extLst>
        </xdr:cNvPr>
        <xdr:cNvGrpSpPr>
          <a:grpSpLocks/>
        </xdr:cNvGrpSpPr>
      </xdr:nvGrpSpPr>
      <xdr:grpSpPr bwMode="auto">
        <a:xfrm>
          <a:off x="5864225" y="1158875"/>
          <a:ext cx="546100" cy="355600"/>
          <a:chOff x="727" y="291"/>
          <a:chExt cx="534" cy="327"/>
        </a:xfrm>
      </xdr:grpSpPr>
      <xdr:sp macro="" textlink="">
        <xdr:nvSpPr>
          <xdr:cNvPr id="1159" name="Rectangle 1092">
            <a:extLst>
              <a:ext uri="{FF2B5EF4-FFF2-40B4-BE49-F238E27FC236}">
                <a16:creationId xmlns:a16="http://schemas.microsoft.com/office/drawing/2014/main" id="{00000000-0008-0000-0500-000087040000}"/>
              </a:ext>
            </a:extLst>
          </xdr:cNvPr>
          <xdr:cNvSpPr>
            <a:spLocks noChangeArrowheads="1"/>
          </xdr:cNvSpPr>
        </xdr:nvSpPr>
        <xdr:spPr bwMode="auto">
          <a:xfrm>
            <a:off x="861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60" name="Rectangle 1093">
            <a:extLst>
              <a:ext uri="{FF2B5EF4-FFF2-40B4-BE49-F238E27FC236}">
                <a16:creationId xmlns:a16="http://schemas.microsoft.com/office/drawing/2014/main" id="{00000000-0008-0000-0500-0000880400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94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61" name="Rectangle 1094">
            <a:extLst>
              <a:ext uri="{FF2B5EF4-FFF2-40B4-BE49-F238E27FC236}">
                <a16:creationId xmlns:a16="http://schemas.microsoft.com/office/drawing/2014/main" id="{00000000-0008-0000-0500-000089040000}"/>
              </a:ext>
            </a:extLst>
          </xdr:cNvPr>
          <xdr:cNvSpPr>
            <a:spLocks noChangeArrowheads="1"/>
          </xdr:cNvSpPr>
        </xdr:nvSpPr>
        <xdr:spPr bwMode="auto">
          <a:xfrm>
            <a:off x="727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62" name="Rectangle 1095">
            <a:extLst>
              <a:ext uri="{FF2B5EF4-FFF2-40B4-BE49-F238E27FC236}">
                <a16:creationId xmlns:a16="http://schemas.microsoft.com/office/drawing/2014/main" id="{00000000-0008-0000-0500-00008A040000}"/>
              </a:ext>
            </a:extLst>
          </xdr:cNvPr>
          <xdr:cNvSpPr>
            <a:spLocks noChangeArrowheads="1"/>
          </xdr:cNvSpPr>
        </xdr:nvSpPr>
        <xdr:spPr bwMode="auto">
          <a:xfrm>
            <a:off x="1128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63" name="Rectangle 1096">
            <a:extLst>
              <a:ext uri="{FF2B5EF4-FFF2-40B4-BE49-F238E27FC236}">
                <a16:creationId xmlns:a16="http://schemas.microsoft.com/office/drawing/2014/main" id="{00000000-0008-0000-0500-00008B040000}"/>
              </a:ext>
            </a:extLst>
          </xdr:cNvPr>
          <xdr:cNvSpPr>
            <a:spLocks noChangeArrowheads="1"/>
          </xdr:cNvSpPr>
        </xdr:nvSpPr>
        <xdr:spPr bwMode="auto">
          <a:xfrm>
            <a:off x="727" y="613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64" name="Rectangle 1097">
            <a:extLst>
              <a:ext uri="{FF2B5EF4-FFF2-40B4-BE49-F238E27FC236}">
                <a16:creationId xmlns:a16="http://schemas.microsoft.com/office/drawing/2014/main" id="{00000000-0008-0000-0500-00008C040000}"/>
              </a:ext>
            </a:extLst>
          </xdr:cNvPr>
          <xdr:cNvSpPr>
            <a:spLocks noChangeArrowheads="1"/>
          </xdr:cNvSpPr>
        </xdr:nvSpPr>
        <xdr:spPr bwMode="auto">
          <a:xfrm>
            <a:off x="729" y="291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65" name="Rectangle 1098">
            <a:extLst>
              <a:ext uri="{FF2B5EF4-FFF2-40B4-BE49-F238E27FC236}">
                <a16:creationId xmlns:a16="http://schemas.microsoft.com/office/drawing/2014/main" id="{00000000-0008-0000-0500-00008D0400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569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66" name="Rectangle 1099">
            <a:extLst>
              <a:ext uri="{FF2B5EF4-FFF2-40B4-BE49-F238E27FC236}">
                <a16:creationId xmlns:a16="http://schemas.microsoft.com/office/drawing/2014/main" id="{00000000-0008-0000-0500-00008E0400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1096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139700</xdr:colOff>
      <xdr:row>2</xdr:row>
      <xdr:rowOff>63500</xdr:rowOff>
    </xdr:from>
    <xdr:to>
      <xdr:col>8</xdr:col>
      <xdr:colOff>685800</xdr:colOff>
      <xdr:row>2</xdr:row>
      <xdr:rowOff>419100</xdr:rowOff>
    </xdr:to>
    <xdr:grpSp>
      <xdr:nvGrpSpPr>
        <xdr:cNvPr id="1167" name="Group 1091">
          <a:extLst>
            <a:ext uri="{FF2B5EF4-FFF2-40B4-BE49-F238E27FC236}">
              <a16:creationId xmlns:a16="http://schemas.microsoft.com/office/drawing/2014/main" id="{00000000-0008-0000-0500-00008F040000}"/>
            </a:ext>
          </a:extLst>
        </xdr:cNvPr>
        <xdr:cNvGrpSpPr>
          <a:grpSpLocks/>
        </xdr:cNvGrpSpPr>
      </xdr:nvGrpSpPr>
      <xdr:grpSpPr bwMode="auto">
        <a:xfrm>
          <a:off x="6645275" y="1158875"/>
          <a:ext cx="546100" cy="355600"/>
          <a:chOff x="727" y="291"/>
          <a:chExt cx="534" cy="327"/>
        </a:xfrm>
      </xdr:grpSpPr>
      <xdr:sp macro="" textlink="">
        <xdr:nvSpPr>
          <xdr:cNvPr id="1168" name="Rectangle 1092">
            <a:extLst>
              <a:ext uri="{FF2B5EF4-FFF2-40B4-BE49-F238E27FC236}">
                <a16:creationId xmlns:a16="http://schemas.microsoft.com/office/drawing/2014/main" id="{00000000-0008-0000-0500-000090040000}"/>
              </a:ext>
            </a:extLst>
          </xdr:cNvPr>
          <xdr:cNvSpPr>
            <a:spLocks noChangeArrowheads="1"/>
          </xdr:cNvSpPr>
        </xdr:nvSpPr>
        <xdr:spPr bwMode="auto">
          <a:xfrm>
            <a:off x="861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69" name="Rectangle 1093">
            <a:extLst>
              <a:ext uri="{FF2B5EF4-FFF2-40B4-BE49-F238E27FC236}">
                <a16:creationId xmlns:a16="http://schemas.microsoft.com/office/drawing/2014/main" id="{00000000-0008-0000-0500-0000910400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94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70" name="Rectangle 1094">
            <a:extLst>
              <a:ext uri="{FF2B5EF4-FFF2-40B4-BE49-F238E27FC236}">
                <a16:creationId xmlns:a16="http://schemas.microsoft.com/office/drawing/2014/main" id="{00000000-0008-0000-0500-000092040000}"/>
              </a:ext>
            </a:extLst>
          </xdr:cNvPr>
          <xdr:cNvSpPr>
            <a:spLocks noChangeArrowheads="1"/>
          </xdr:cNvSpPr>
        </xdr:nvSpPr>
        <xdr:spPr bwMode="auto">
          <a:xfrm>
            <a:off x="727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71" name="Rectangle 1095">
            <a:extLst>
              <a:ext uri="{FF2B5EF4-FFF2-40B4-BE49-F238E27FC236}">
                <a16:creationId xmlns:a16="http://schemas.microsoft.com/office/drawing/2014/main" id="{00000000-0008-0000-0500-000093040000}"/>
              </a:ext>
            </a:extLst>
          </xdr:cNvPr>
          <xdr:cNvSpPr>
            <a:spLocks noChangeArrowheads="1"/>
          </xdr:cNvSpPr>
        </xdr:nvSpPr>
        <xdr:spPr bwMode="auto">
          <a:xfrm>
            <a:off x="1128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72" name="Rectangle 1096">
            <a:extLst>
              <a:ext uri="{FF2B5EF4-FFF2-40B4-BE49-F238E27FC236}">
                <a16:creationId xmlns:a16="http://schemas.microsoft.com/office/drawing/2014/main" id="{00000000-0008-0000-0500-000094040000}"/>
              </a:ext>
            </a:extLst>
          </xdr:cNvPr>
          <xdr:cNvSpPr>
            <a:spLocks noChangeArrowheads="1"/>
          </xdr:cNvSpPr>
        </xdr:nvSpPr>
        <xdr:spPr bwMode="auto">
          <a:xfrm>
            <a:off x="727" y="613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73" name="Rectangle 1097">
            <a:extLst>
              <a:ext uri="{FF2B5EF4-FFF2-40B4-BE49-F238E27FC236}">
                <a16:creationId xmlns:a16="http://schemas.microsoft.com/office/drawing/2014/main" id="{00000000-0008-0000-0500-000095040000}"/>
              </a:ext>
            </a:extLst>
          </xdr:cNvPr>
          <xdr:cNvSpPr>
            <a:spLocks noChangeArrowheads="1"/>
          </xdr:cNvSpPr>
        </xdr:nvSpPr>
        <xdr:spPr bwMode="auto">
          <a:xfrm>
            <a:off x="729" y="291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74" name="Rectangle 1098">
            <a:extLst>
              <a:ext uri="{FF2B5EF4-FFF2-40B4-BE49-F238E27FC236}">
                <a16:creationId xmlns:a16="http://schemas.microsoft.com/office/drawing/2014/main" id="{00000000-0008-0000-0500-0000960400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569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75" name="Rectangle 1099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1096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9</xdr:col>
      <xdr:colOff>139700</xdr:colOff>
      <xdr:row>2</xdr:row>
      <xdr:rowOff>63500</xdr:rowOff>
    </xdr:from>
    <xdr:to>
      <xdr:col>9</xdr:col>
      <xdr:colOff>685800</xdr:colOff>
      <xdr:row>2</xdr:row>
      <xdr:rowOff>419100</xdr:rowOff>
    </xdr:to>
    <xdr:grpSp>
      <xdr:nvGrpSpPr>
        <xdr:cNvPr id="1176" name="Group 1091">
          <a:extLst>
            <a:ext uri="{FF2B5EF4-FFF2-40B4-BE49-F238E27FC236}">
              <a16:creationId xmlns:a16="http://schemas.microsoft.com/office/drawing/2014/main" id="{00000000-0008-0000-0500-000098040000}"/>
            </a:ext>
          </a:extLst>
        </xdr:cNvPr>
        <xdr:cNvGrpSpPr>
          <a:grpSpLocks/>
        </xdr:cNvGrpSpPr>
      </xdr:nvGrpSpPr>
      <xdr:grpSpPr bwMode="auto">
        <a:xfrm>
          <a:off x="7426325" y="1158875"/>
          <a:ext cx="546100" cy="355600"/>
          <a:chOff x="727" y="291"/>
          <a:chExt cx="534" cy="327"/>
        </a:xfrm>
      </xdr:grpSpPr>
      <xdr:sp macro="" textlink="">
        <xdr:nvSpPr>
          <xdr:cNvPr id="1177" name="Rectangle 1092">
            <a:extLst>
              <a:ext uri="{FF2B5EF4-FFF2-40B4-BE49-F238E27FC236}">
                <a16:creationId xmlns:a16="http://schemas.microsoft.com/office/drawing/2014/main" id="{00000000-0008-0000-0500-000099040000}"/>
              </a:ext>
            </a:extLst>
          </xdr:cNvPr>
          <xdr:cNvSpPr>
            <a:spLocks noChangeArrowheads="1"/>
          </xdr:cNvSpPr>
        </xdr:nvSpPr>
        <xdr:spPr bwMode="auto">
          <a:xfrm>
            <a:off x="861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78" name="Rectangle 1093">
            <a:extLst>
              <a:ext uri="{FF2B5EF4-FFF2-40B4-BE49-F238E27FC236}">
                <a16:creationId xmlns:a16="http://schemas.microsoft.com/office/drawing/2014/main" id="{00000000-0008-0000-0500-00009A0400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94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79" name="Rectangle 1094">
            <a:extLst>
              <a:ext uri="{FF2B5EF4-FFF2-40B4-BE49-F238E27FC236}">
                <a16:creationId xmlns:a16="http://schemas.microsoft.com/office/drawing/2014/main" id="{00000000-0008-0000-0500-00009B040000}"/>
              </a:ext>
            </a:extLst>
          </xdr:cNvPr>
          <xdr:cNvSpPr>
            <a:spLocks noChangeArrowheads="1"/>
          </xdr:cNvSpPr>
        </xdr:nvSpPr>
        <xdr:spPr bwMode="auto">
          <a:xfrm>
            <a:off x="727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80" name="Rectangle 1095">
            <a:extLst>
              <a:ext uri="{FF2B5EF4-FFF2-40B4-BE49-F238E27FC236}">
                <a16:creationId xmlns:a16="http://schemas.microsoft.com/office/drawing/2014/main" id="{00000000-0008-0000-0500-00009C040000}"/>
              </a:ext>
            </a:extLst>
          </xdr:cNvPr>
          <xdr:cNvSpPr>
            <a:spLocks noChangeArrowheads="1"/>
          </xdr:cNvSpPr>
        </xdr:nvSpPr>
        <xdr:spPr bwMode="auto">
          <a:xfrm>
            <a:off x="1128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81" name="Rectangle 1096">
            <a:extLst>
              <a:ext uri="{FF2B5EF4-FFF2-40B4-BE49-F238E27FC236}">
                <a16:creationId xmlns:a16="http://schemas.microsoft.com/office/drawing/2014/main" id="{00000000-0008-0000-0500-00009D040000}"/>
              </a:ext>
            </a:extLst>
          </xdr:cNvPr>
          <xdr:cNvSpPr>
            <a:spLocks noChangeArrowheads="1"/>
          </xdr:cNvSpPr>
        </xdr:nvSpPr>
        <xdr:spPr bwMode="auto">
          <a:xfrm>
            <a:off x="727" y="613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82" name="Rectangle 1097">
            <a:extLst>
              <a:ext uri="{FF2B5EF4-FFF2-40B4-BE49-F238E27FC236}">
                <a16:creationId xmlns:a16="http://schemas.microsoft.com/office/drawing/2014/main" id="{00000000-0008-0000-0500-00009E040000}"/>
              </a:ext>
            </a:extLst>
          </xdr:cNvPr>
          <xdr:cNvSpPr>
            <a:spLocks noChangeArrowheads="1"/>
          </xdr:cNvSpPr>
        </xdr:nvSpPr>
        <xdr:spPr bwMode="auto">
          <a:xfrm>
            <a:off x="729" y="291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83" name="Rectangle 1098">
            <a:extLst>
              <a:ext uri="{FF2B5EF4-FFF2-40B4-BE49-F238E27FC236}">
                <a16:creationId xmlns:a16="http://schemas.microsoft.com/office/drawing/2014/main" id="{00000000-0008-0000-0500-00009F0400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569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84" name="Rectangle 1099">
            <a:extLst>
              <a:ext uri="{FF2B5EF4-FFF2-40B4-BE49-F238E27FC236}">
                <a16:creationId xmlns:a16="http://schemas.microsoft.com/office/drawing/2014/main" id="{00000000-0008-0000-0500-0000A00400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1096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10</xdr:col>
      <xdr:colOff>139700</xdr:colOff>
      <xdr:row>2</xdr:row>
      <xdr:rowOff>63500</xdr:rowOff>
    </xdr:from>
    <xdr:to>
      <xdr:col>10</xdr:col>
      <xdr:colOff>685800</xdr:colOff>
      <xdr:row>2</xdr:row>
      <xdr:rowOff>419100</xdr:rowOff>
    </xdr:to>
    <xdr:grpSp>
      <xdr:nvGrpSpPr>
        <xdr:cNvPr id="1185" name="Group 1091">
          <a:extLst>
            <a:ext uri="{FF2B5EF4-FFF2-40B4-BE49-F238E27FC236}">
              <a16:creationId xmlns:a16="http://schemas.microsoft.com/office/drawing/2014/main" id="{00000000-0008-0000-0500-0000A1040000}"/>
            </a:ext>
          </a:extLst>
        </xdr:cNvPr>
        <xdr:cNvGrpSpPr>
          <a:grpSpLocks/>
        </xdr:cNvGrpSpPr>
      </xdr:nvGrpSpPr>
      <xdr:grpSpPr bwMode="auto">
        <a:xfrm>
          <a:off x="8207375" y="1158875"/>
          <a:ext cx="546100" cy="355600"/>
          <a:chOff x="727" y="291"/>
          <a:chExt cx="534" cy="327"/>
        </a:xfrm>
      </xdr:grpSpPr>
      <xdr:sp macro="" textlink="">
        <xdr:nvSpPr>
          <xdr:cNvPr id="1186" name="Rectangle 1092">
            <a:extLst>
              <a:ext uri="{FF2B5EF4-FFF2-40B4-BE49-F238E27FC236}">
                <a16:creationId xmlns:a16="http://schemas.microsoft.com/office/drawing/2014/main" id="{00000000-0008-0000-0500-0000A2040000}"/>
              </a:ext>
            </a:extLst>
          </xdr:cNvPr>
          <xdr:cNvSpPr>
            <a:spLocks noChangeArrowheads="1"/>
          </xdr:cNvSpPr>
        </xdr:nvSpPr>
        <xdr:spPr bwMode="auto">
          <a:xfrm>
            <a:off x="861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87" name="Rectangle 1093">
            <a:extLst>
              <a:ext uri="{FF2B5EF4-FFF2-40B4-BE49-F238E27FC236}">
                <a16:creationId xmlns:a16="http://schemas.microsoft.com/office/drawing/2014/main" id="{00000000-0008-0000-0500-0000A30400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94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88" name="Rectangle 1094">
            <a:extLst>
              <a:ext uri="{FF2B5EF4-FFF2-40B4-BE49-F238E27FC236}">
                <a16:creationId xmlns:a16="http://schemas.microsoft.com/office/drawing/2014/main" id="{00000000-0008-0000-0500-0000A4040000}"/>
              </a:ext>
            </a:extLst>
          </xdr:cNvPr>
          <xdr:cNvSpPr>
            <a:spLocks noChangeArrowheads="1"/>
          </xdr:cNvSpPr>
        </xdr:nvSpPr>
        <xdr:spPr bwMode="auto">
          <a:xfrm>
            <a:off x="727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89" name="Rectangle 1095">
            <a:extLst>
              <a:ext uri="{FF2B5EF4-FFF2-40B4-BE49-F238E27FC236}">
                <a16:creationId xmlns:a16="http://schemas.microsoft.com/office/drawing/2014/main" id="{00000000-0008-0000-0500-0000A5040000}"/>
              </a:ext>
            </a:extLst>
          </xdr:cNvPr>
          <xdr:cNvSpPr>
            <a:spLocks noChangeArrowheads="1"/>
          </xdr:cNvSpPr>
        </xdr:nvSpPr>
        <xdr:spPr bwMode="auto">
          <a:xfrm>
            <a:off x="1128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90" name="Rectangle 1096">
            <a:extLst>
              <a:ext uri="{FF2B5EF4-FFF2-40B4-BE49-F238E27FC236}">
                <a16:creationId xmlns:a16="http://schemas.microsoft.com/office/drawing/2014/main" id="{00000000-0008-0000-0500-0000A6040000}"/>
              </a:ext>
            </a:extLst>
          </xdr:cNvPr>
          <xdr:cNvSpPr>
            <a:spLocks noChangeArrowheads="1"/>
          </xdr:cNvSpPr>
        </xdr:nvSpPr>
        <xdr:spPr bwMode="auto">
          <a:xfrm>
            <a:off x="727" y="613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91" name="Rectangle 1097">
            <a:extLst>
              <a:ext uri="{FF2B5EF4-FFF2-40B4-BE49-F238E27FC236}">
                <a16:creationId xmlns:a16="http://schemas.microsoft.com/office/drawing/2014/main" id="{00000000-0008-0000-0500-0000A7040000}"/>
              </a:ext>
            </a:extLst>
          </xdr:cNvPr>
          <xdr:cNvSpPr>
            <a:spLocks noChangeArrowheads="1"/>
          </xdr:cNvSpPr>
        </xdr:nvSpPr>
        <xdr:spPr bwMode="auto">
          <a:xfrm>
            <a:off x="729" y="291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92" name="Rectangle 1098">
            <a:extLst>
              <a:ext uri="{FF2B5EF4-FFF2-40B4-BE49-F238E27FC236}">
                <a16:creationId xmlns:a16="http://schemas.microsoft.com/office/drawing/2014/main" id="{00000000-0008-0000-0500-0000A80400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569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93" name="Rectangle 1099">
            <a:extLst>
              <a:ext uri="{FF2B5EF4-FFF2-40B4-BE49-F238E27FC236}">
                <a16:creationId xmlns:a16="http://schemas.microsoft.com/office/drawing/2014/main" id="{00000000-0008-0000-0500-0000A90400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1096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11</xdr:col>
      <xdr:colOff>425449</xdr:colOff>
      <xdr:row>1</xdr:row>
      <xdr:rowOff>25399</xdr:rowOff>
    </xdr:from>
    <xdr:to>
      <xdr:col>15</xdr:col>
      <xdr:colOff>523874</xdr:colOff>
      <xdr:row>8</xdr:row>
      <xdr:rowOff>114299</xdr:rowOff>
    </xdr:to>
    <xdr:grpSp>
      <xdr:nvGrpSpPr>
        <xdr:cNvPr id="1230" name="Group 1091">
          <a:extLst>
            <a:ext uri="{FF2B5EF4-FFF2-40B4-BE49-F238E27FC236}">
              <a16:creationId xmlns:a16="http://schemas.microsoft.com/office/drawing/2014/main" id="{00000000-0008-0000-0500-0000CE040000}"/>
            </a:ext>
          </a:extLst>
        </xdr:cNvPr>
        <xdr:cNvGrpSpPr>
          <a:grpSpLocks/>
        </xdr:cNvGrpSpPr>
      </xdr:nvGrpSpPr>
      <xdr:grpSpPr bwMode="auto">
        <a:xfrm>
          <a:off x="9274174" y="882649"/>
          <a:ext cx="3222625" cy="1908175"/>
          <a:chOff x="727" y="291"/>
          <a:chExt cx="534" cy="327"/>
        </a:xfrm>
      </xdr:grpSpPr>
      <xdr:sp macro="" textlink="">
        <xdr:nvSpPr>
          <xdr:cNvPr id="1231" name="Rectangle 1092">
            <a:extLst>
              <a:ext uri="{FF2B5EF4-FFF2-40B4-BE49-F238E27FC236}">
                <a16:creationId xmlns:a16="http://schemas.microsoft.com/office/drawing/2014/main" id="{00000000-0008-0000-0500-0000CF040000}"/>
              </a:ext>
            </a:extLst>
          </xdr:cNvPr>
          <xdr:cNvSpPr>
            <a:spLocks noChangeArrowheads="1"/>
          </xdr:cNvSpPr>
        </xdr:nvSpPr>
        <xdr:spPr bwMode="auto">
          <a:xfrm>
            <a:off x="861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32" name="Rectangle 1093">
            <a:extLst>
              <a:ext uri="{FF2B5EF4-FFF2-40B4-BE49-F238E27FC236}">
                <a16:creationId xmlns:a16="http://schemas.microsoft.com/office/drawing/2014/main" id="{00000000-0008-0000-0500-0000D00400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94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33" name="Rectangle 1094">
            <a:extLst>
              <a:ext uri="{FF2B5EF4-FFF2-40B4-BE49-F238E27FC236}">
                <a16:creationId xmlns:a16="http://schemas.microsoft.com/office/drawing/2014/main" id="{00000000-0008-0000-0500-0000D1040000}"/>
              </a:ext>
            </a:extLst>
          </xdr:cNvPr>
          <xdr:cNvSpPr>
            <a:spLocks noChangeArrowheads="1"/>
          </xdr:cNvSpPr>
        </xdr:nvSpPr>
        <xdr:spPr bwMode="auto">
          <a:xfrm>
            <a:off x="727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34" name="Rectangle 1095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SpPr>
            <a:spLocks noChangeArrowheads="1"/>
          </xdr:cNvSpPr>
        </xdr:nvSpPr>
        <xdr:spPr bwMode="auto">
          <a:xfrm>
            <a:off x="1128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35" name="Rectangle 1096">
            <a:extLst>
              <a:ext uri="{FF2B5EF4-FFF2-40B4-BE49-F238E27FC236}">
                <a16:creationId xmlns:a16="http://schemas.microsoft.com/office/drawing/2014/main" id="{00000000-0008-0000-0500-0000D3040000}"/>
              </a:ext>
            </a:extLst>
          </xdr:cNvPr>
          <xdr:cNvSpPr>
            <a:spLocks noChangeArrowheads="1"/>
          </xdr:cNvSpPr>
        </xdr:nvSpPr>
        <xdr:spPr bwMode="auto">
          <a:xfrm>
            <a:off x="727" y="613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36" name="Rectangle 1097">
            <a:extLst>
              <a:ext uri="{FF2B5EF4-FFF2-40B4-BE49-F238E27FC236}">
                <a16:creationId xmlns:a16="http://schemas.microsoft.com/office/drawing/2014/main" id="{00000000-0008-0000-0500-0000D4040000}"/>
              </a:ext>
            </a:extLst>
          </xdr:cNvPr>
          <xdr:cNvSpPr>
            <a:spLocks noChangeArrowheads="1"/>
          </xdr:cNvSpPr>
        </xdr:nvSpPr>
        <xdr:spPr bwMode="auto">
          <a:xfrm>
            <a:off x="729" y="291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37" name="Rectangle 1098">
            <a:extLst>
              <a:ext uri="{FF2B5EF4-FFF2-40B4-BE49-F238E27FC236}">
                <a16:creationId xmlns:a16="http://schemas.microsoft.com/office/drawing/2014/main" id="{00000000-0008-0000-0500-0000D50400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569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38" name="Rectangle 1099">
            <a:extLst>
              <a:ext uri="{FF2B5EF4-FFF2-40B4-BE49-F238E27FC236}">
                <a16:creationId xmlns:a16="http://schemas.microsoft.com/office/drawing/2014/main" id="{00000000-0008-0000-0500-0000D60400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1096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 editAs="oneCell">
    <xdr:from>
      <xdr:col>11</xdr:col>
      <xdr:colOff>428625</xdr:colOff>
      <xdr:row>9</xdr:row>
      <xdr:rowOff>76200</xdr:rowOff>
    </xdr:from>
    <xdr:to>
      <xdr:col>15</xdr:col>
      <xdr:colOff>485775</xdr:colOff>
      <xdr:row>21</xdr:row>
      <xdr:rowOff>158115</xdr:rowOff>
    </xdr:to>
    <xdr:pic>
      <xdr:nvPicPr>
        <xdr:cNvPr id="2" name="Imagen 1" descr="Vidrios y aluminio roa">
          <a:extLst>
            <a:ext uri="{FF2B5EF4-FFF2-40B4-BE49-F238E27FC236}">
              <a16:creationId xmlns:a16="http://schemas.microsoft.com/office/drawing/2014/main" id="{F22B76D4-76F7-AECA-EC55-125DF58E35B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43"/>
        <a:stretch/>
      </xdr:blipFill>
      <xdr:spPr bwMode="auto">
        <a:xfrm>
          <a:off x="12973050" y="2914650"/>
          <a:ext cx="3181350" cy="2491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37" name="Group 1">
          <a:extLst>
            <a:ext uri="{FF2B5EF4-FFF2-40B4-BE49-F238E27FC236}">
              <a16:creationId xmlns:a16="http://schemas.microsoft.com/office/drawing/2014/main" id="{00000000-0008-0000-0300-0000AD6F1200}"/>
            </a:ext>
          </a:extLst>
        </xdr:cNvPr>
        <xdr:cNvGrpSpPr>
          <a:grpSpLocks/>
        </xdr:cNvGrpSpPr>
      </xdr:nvGrpSpPr>
      <xdr:grpSpPr bwMode="auto">
        <a:xfrm>
          <a:off x="6766560" y="1305560"/>
          <a:ext cx="0" cy="391160"/>
          <a:chOff x="632" y="220"/>
          <a:chExt cx="195" cy="136"/>
        </a:xfrm>
      </xdr:grpSpPr>
      <xdr:sp macro="" textlink="">
        <xdr:nvSpPr>
          <xdr:cNvPr id="1213434" name="Rectangle 2">
            <a:extLst>
              <a:ext uri="{FF2B5EF4-FFF2-40B4-BE49-F238E27FC236}">
                <a16:creationId xmlns:a16="http://schemas.microsoft.com/office/drawing/2014/main" id="{00000000-0008-0000-0300-0000FA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35" name="Rectangle 3">
            <a:extLst>
              <a:ext uri="{FF2B5EF4-FFF2-40B4-BE49-F238E27FC236}">
                <a16:creationId xmlns:a16="http://schemas.microsoft.com/office/drawing/2014/main" id="{00000000-0008-0000-0300-0000FB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36" name="Rectangle 4">
            <a:extLst>
              <a:ext uri="{FF2B5EF4-FFF2-40B4-BE49-F238E27FC236}">
                <a16:creationId xmlns:a16="http://schemas.microsoft.com/office/drawing/2014/main" id="{00000000-0008-0000-0300-0000FC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37" name="Rectangle 5">
            <a:extLst>
              <a:ext uri="{FF2B5EF4-FFF2-40B4-BE49-F238E27FC236}">
                <a16:creationId xmlns:a16="http://schemas.microsoft.com/office/drawing/2014/main" id="{00000000-0008-0000-0300-0000FD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38" name="Line 6">
            <a:extLst>
              <a:ext uri="{FF2B5EF4-FFF2-40B4-BE49-F238E27FC236}">
                <a16:creationId xmlns:a16="http://schemas.microsoft.com/office/drawing/2014/main" id="{00000000-0008-0000-0300-0000FE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39" name="Line 7">
            <a:extLst>
              <a:ext uri="{FF2B5EF4-FFF2-40B4-BE49-F238E27FC236}">
                <a16:creationId xmlns:a16="http://schemas.microsoft.com/office/drawing/2014/main" id="{00000000-0008-0000-0300-0000FF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40" name="Line 8">
            <a:extLst>
              <a:ext uri="{FF2B5EF4-FFF2-40B4-BE49-F238E27FC236}">
                <a16:creationId xmlns:a16="http://schemas.microsoft.com/office/drawing/2014/main" id="{00000000-0008-0000-0300-00000084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38" name="Group 9">
          <a:extLst>
            <a:ext uri="{FF2B5EF4-FFF2-40B4-BE49-F238E27FC236}">
              <a16:creationId xmlns:a16="http://schemas.microsoft.com/office/drawing/2014/main" id="{00000000-0008-0000-0300-0000AE6F1200}"/>
            </a:ext>
          </a:extLst>
        </xdr:cNvPr>
        <xdr:cNvGrpSpPr>
          <a:grpSpLocks/>
        </xdr:cNvGrpSpPr>
      </xdr:nvGrpSpPr>
      <xdr:grpSpPr bwMode="auto">
        <a:xfrm>
          <a:off x="6766560" y="1305560"/>
          <a:ext cx="0" cy="391160"/>
          <a:chOff x="632" y="220"/>
          <a:chExt cx="195" cy="136"/>
        </a:xfrm>
      </xdr:grpSpPr>
      <xdr:sp macro="" textlink="">
        <xdr:nvSpPr>
          <xdr:cNvPr id="1213427" name="Rectangle 10">
            <a:extLst>
              <a:ext uri="{FF2B5EF4-FFF2-40B4-BE49-F238E27FC236}">
                <a16:creationId xmlns:a16="http://schemas.microsoft.com/office/drawing/2014/main" id="{00000000-0008-0000-0300-0000F3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28" name="Rectangle 11">
            <a:extLst>
              <a:ext uri="{FF2B5EF4-FFF2-40B4-BE49-F238E27FC236}">
                <a16:creationId xmlns:a16="http://schemas.microsoft.com/office/drawing/2014/main" id="{00000000-0008-0000-0300-0000F4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29" name="Rectangle 12">
            <a:extLst>
              <a:ext uri="{FF2B5EF4-FFF2-40B4-BE49-F238E27FC236}">
                <a16:creationId xmlns:a16="http://schemas.microsoft.com/office/drawing/2014/main" id="{00000000-0008-0000-0300-0000F5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30" name="Rectangle 13">
            <a:extLst>
              <a:ext uri="{FF2B5EF4-FFF2-40B4-BE49-F238E27FC236}">
                <a16:creationId xmlns:a16="http://schemas.microsoft.com/office/drawing/2014/main" id="{00000000-0008-0000-0300-0000F6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31" name="Line 14">
            <a:extLst>
              <a:ext uri="{FF2B5EF4-FFF2-40B4-BE49-F238E27FC236}">
                <a16:creationId xmlns:a16="http://schemas.microsoft.com/office/drawing/2014/main" id="{00000000-0008-0000-0300-0000F7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32" name="Line 15">
            <a:extLst>
              <a:ext uri="{FF2B5EF4-FFF2-40B4-BE49-F238E27FC236}">
                <a16:creationId xmlns:a16="http://schemas.microsoft.com/office/drawing/2014/main" id="{00000000-0008-0000-0300-0000F8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33" name="Line 16">
            <a:extLst>
              <a:ext uri="{FF2B5EF4-FFF2-40B4-BE49-F238E27FC236}">
                <a16:creationId xmlns:a16="http://schemas.microsoft.com/office/drawing/2014/main" id="{00000000-0008-0000-0300-0000F9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190500</xdr:rowOff>
    </xdr:from>
    <xdr:to>
      <xdr:col>8</xdr:col>
      <xdr:colOff>0</xdr:colOff>
      <xdr:row>3</xdr:row>
      <xdr:rowOff>0</xdr:rowOff>
    </xdr:to>
    <xdr:grpSp>
      <xdr:nvGrpSpPr>
        <xdr:cNvPr id="1208239" name="Group 17">
          <a:extLst>
            <a:ext uri="{FF2B5EF4-FFF2-40B4-BE49-F238E27FC236}">
              <a16:creationId xmlns:a16="http://schemas.microsoft.com/office/drawing/2014/main" id="{00000000-0008-0000-0300-0000AF6F1200}"/>
            </a:ext>
          </a:extLst>
        </xdr:cNvPr>
        <xdr:cNvGrpSpPr>
          <a:grpSpLocks/>
        </xdr:cNvGrpSpPr>
      </xdr:nvGrpSpPr>
      <xdr:grpSpPr bwMode="auto">
        <a:xfrm>
          <a:off x="6766560" y="1318260"/>
          <a:ext cx="0" cy="378460"/>
          <a:chOff x="570" y="224"/>
          <a:chExt cx="377" cy="136"/>
        </a:xfrm>
      </xdr:grpSpPr>
      <xdr:sp macro="" textlink="">
        <xdr:nvSpPr>
          <xdr:cNvPr id="1213414" name="Rectangle 18">
            <a:extLst>
              <a:ext uri="{FF2B5EF4-FFF2-40B4-BE49-F238E27FC236}">
                <a16:creationId xmlns:a16="http://schemas.microsoft.com/office/drawing/2014/main" id="{00000000-0008-0000-0300-0000E6831200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15" name="Rectangle 19">
            <a:extLst>
              <a:ext uri="{FF2B5EF4-FFF2-40B4-BE49-F238E27FC236}">
                <a16:creationId xmlns:a16="http://schemas.microsoft.com/office/drawing/2014/main" id="{00000000-0008-0000-0300-0000E7831200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16" name="Rectangle 20">
            <a:extLst>
              <a:ext uri="{FF2B5EF4-FFF2-40B4-BE49-F238E27FC236}">
                <a16:creationId xmlns:a16="http://schemas.microsoft.com/office/drawing/2014/main" id="{00000000-0008-0000-0300-0000E8831200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17" name="Rectangle 21">
            <a:extLst>
              <a:ext uri="{FF2B5EF4-FFF2-40B4-BE49-F238E27FC236}">
                <a16:creationId xmlns:a16="http://schemas.microsoft.com/office/drawing/2014/main" id="{00000000-0008-0000-0300-0000E9831200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18" name="Line 22">
            <a:extLst>
              <a:ext uri="{FF2B5EF4-FFF2-40B4-BE49-F238E27FC236}">
                <a16:creationId xmlns:a16="http://schemas.microsoft.com/office/drawing/2014/main" id="{00000000-0008-0000-0300-0000EA831200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19" name="Line 23">
            <a:extLst>
              <a:ext uri="{FF2B5EF4-FFF2-40B4-BE49-F238E27FC236}">
                <a16:creationId xmlns:a16="http://schemas.microsoft.com/office/drawing/2014/main" id="{00000000-0008-0000-0300-0000EB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20" name="Line 24">
            <a:extLst>
              <a:ext uri="{FF2B5EF4-FFF2-40B4-BE49-F238E27FC236}">
                <a16:creationId xmlns:a16="http://schemas.microsoft.com/office/drawing/2014/main" id="{00000000-0008-0000-0300-0000EC831200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21" name="Rectangle 25">
            <a:extLst>
              <a:ext uri="{FF2B5EF4-FFF2-40B4-BE49-F238E27FC236}">
                <a16:creationId xmlns:a16="http://schemas.microsoft.com/office/drawing/2014/main" id="{00000000-0008-0000-0300-0000ED831200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22" name="Line 26">
            <a:extLst>
              <a:ext uri="{FF2B5EF4-FFF2-40B4-BE49-F238E27FC236}">
                <a16:creationId xmlns:a16="http://schemas.microsoft.com/office/drawing/2014/main" id="{00000000-0008-0000-0300-0000EE831200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23" name="Rectangle 27">
            <a:extLst>
              <a:ext uri="{FF2B5EF4-FFF2-40B4-BE49-F238E27FC236}">
                <a16:creationId xmlns:a16="http://schemas.microsoft.com/office/drawing/2014/main" id="{00000000-0008-0000-0300-0000EF831200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24" name="Line 28">
            <a:extLst>
              <a:ext uri="{FF2B5EF4-FFF2-40B4-BE49-F238E27FC236}">
                <a16:creationId xmlns:a16="http://schemas.microsoft.com/office/drawing/2014/main" id="{00000000-0008-0000-0300-0000F0831200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25" name="Line 29">
            <a:extLst>
              <a:ext uri="{FF2B5EF4-FFF2-40B4-BE49-F238E27FC236}">
                <a16:creationId xmlns:a16="http://schemas.microsoft.com/office/drawing/2014/main" id="{00000000-0008-0000-0300-0000F18312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26" name="Line 30">
            <a:extLst>
              <a:ext uri="{FF2B5EF4-FFF2-40B4-BE49-F238E27FC236}">
                <a16:creationId xmlns:a16="http://schemas.microsoft.com/office/drawing/2014/main" id="{00000000-0008-0000-0300-0000F283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190500</xdr:rowOff>
    </xdr:from>
    <xdr:to>
      <xdr:col>8</xdr:col>
      <xdr:colOff>0</xdr:colOff>
      <xdr:row>3</xdr:row>
      <xdr:rowOff>0</xdr:rowOff>
    </xdr:to>
    <xdr:grpSp>
      <xdr:nvGrpSpPr>
        <xdr:cNvPr id="1208240" name="Group 31">
          <a:extLst>
            <a:ext uri="{FF2B5EF4-FFF2-40B4-BE49-F238E27FC236}">
              <a16:creationId xmlns:a16="http://schemas.microsoft.com/office/drawing/2014/main" id="{00000000-0008-0000-0300-0000B06F1200}"/>
            </a:ext>
          </a:extLst>
        </xdr:cNvPr>
        <xdr:cNvGrpSpPr>
          <a:grpSpLocks/>
        </xdr:cNvGrpSpPr>
      </xdr:nvGrpSpPr>
      <xdr:grpSpPr bwMode="auto">
        <a:xfrm>
          <a:off x="6766560" y="1318260"/>
          <a:ext cx="0" cy="378460"/>
          <a:chOff x="570" y="224"/>
          <a:chExt cx="377" cy="136"/>
        </a:xfrm>
      </xdr:grpSpPr>
      <xdr:sp macro="" textlink="">
        <xdr:nvSpPr>
          <xdr:cNvPr id="1213401" name="Rectangle 32">
            <a:extLst>
              <a:ext uri="{FF2B5EF4-FFF2-40B4-BE49-F238E27FC236}">
                <a16:creationId xmlns:a16="http://schemas.microsoft.com/office/drawing/2014/main" id="{00000000-0008-0000-0300-0000D9831200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02" name="Rectangle 33">
            <a:extLst>
              <a:ext uri="{FF2B5EF4-FFF2-40B4-BE49-F238E27FC236}">
                <a16:creationId xmlns:a16="http://schemas.microsoft.com/office/drawing/2014/main" id="{00000000-0008-0000-0300-0000DA831200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03" name="Rectangle 34">
            <a:extLst>
              <a:ext uri="{FF2B5EF4-FFF2-40B4-BE49-F238E27FC236}">
                <a16:creationId xmlns:a16="http://schemas.microsoft.com/office/drawing/2014/main" id="{00000000-0008-0000-0300-0000DB831200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04" name="Rectangle 35">
            <a:extLst>
              <a:ext uri="{FF2B5EF4-FFF2-40B4-BE49-F238E27FC236}">
                <a16:creationId xmlns:a16="http://schemas.microsoft.com/office/drawing/2014/main" id="{00000000-0008-0000-0300-0000DC831200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05" name="Line 36">
            <a:extLst>
              <a:ext uri="{FF2B5EF4-FFF2-40B4-BE49-F238E27FC236}">
                <a16:creationId xmlns:a16="http://schemas.microsoft.com/office/drawing/2014/main" id="{00000000-0008-0000-0300-0000DD831200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06" name="Line 37">
            <a:extLst>
              <a:ext uri="{FF2B5EF4-FFF2-40B4-BE49-F238E27FC236}">
                <a16:creationId xmlns:a16="http://schemas.microsoft.com/office/drawing/2014/main" id="{00000000-0008-0000-0300-0000DE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07" name="Line 38">
            <a:extLst>
              <a:ext uri="{FF2B5EF4-FFF2-40B4-BE49-F238E27FC236}">
                <a16:creationId xmlns:a16="http://schemas.microsoft.com/office/drawing/2014/main" id="{00000000-0008-0000-0300-0000DF831200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08" name="Rectangle 39">
            <a:extLst>
              <a:ext uri="{FF2B5EF4-FFF2-40B4-BE49-F238E27FC236}">
                <a16:creationId xmlns:a16="http://schemas.microsoft.com/office/drawing/2014/main" id="{00000000-0008-0000-0300-0000E0831200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09" name="Line 40">
            <a:extLst>
              <a:ext uri="{FF2B5EF4-FFF2-40B4-BE49-F238E27FC236}">
                <a16:creationId xmlns:a16="http://schemas.microsoft.com/office/drawing/2014/main" id="{00000000-0008-0000-0300-0000E1831200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10" name="Rectangle 41">
            <a:extLst>
              <a:ext uri="{FF2B5EF4-FFF2-40B4-BE49-F238E27FC236}">
                <a16:creationId xmlns:a16="http://schemas.microsoft.com/office/drawing/2014/main" id="{00000000-0008-0000-0300-0000E2831200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11" name="Line 42">
            <a:extLst>
              <a:ext uri="{FF2B5EF4-FFF2-40B4-BE49-F238E27FC236}">
                <a16:creationId xmlns:a16="http://schemas.microsoft.com/office/drawing/2014/main" id="{00000000-0008-0000-0300-0000E3831200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12" name="Line 43">
            <a:extLst>
              <a:ext uri="{FF2B5EF4-FFF2-40B4-BE49-F238E27FC236}">
                <a16:creationId xmlns:a16="http://schemas.microsoft.com/office/drawing/2014/main" id="{00000000-0008-0000-0300-0000E48312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13" name="Line 44">
            <a:extLst>
              <a:ext uri="{FF2B5EF4-FFF2-40B4-BE49-F238E27FC236}">
                <a16:creationId xmlns:a16="http://schemas.microsoft.com/office/drawing/2014/main" id="{00000000-0008-0000-0300-0000E583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190500</xdr:rowOff>
    </xdr:from>
    <xdr:to>
      <xdr:col>8</xdr:col>
      <xdr:colOff>0</xdr:colOff>
      <xdr:row>3</xdr:row>
      <xdr:rowOff>0</xdr:rowOff>
    </xdr:to>
    <xdr:grpSp>
      <xdr:nvGrpSpPr>
        <xdr:cNvPr id="1208241" name="Group 45">
          <a:extLst>
            <a:ext uri="{FF2B5EF4-FFF2-40B4-BE49-F238E27FC236}">
              <a16:creationId xmlns:a16="http://schemas.microsoft.com/office/drawing/2014/main" id="{00000000-0008-0000-0300-0000B16F1200}"/>
            </a:ext>
          </a:extLst>
        </xdr:cNvPr>
        <xdr:cNvGrpSpPr>
          <a:grpSpLocks/>
        </xdr:cNvGrpSpPr>
      </xdr:nvGrpSpPr>
      <xdr:grpSpPr bwMode="auto">
        <a:xfrm>
          <a:off x="6766560" y="1318260"/>
          <a:ext cx="0" cy="378460"/>
          <a:chOff x="570" y="224"/>
          <a:chExt cx="377" cy="136"/>
        </a:xfrm>
      </xdr:grpSpPr>
      <xdr:sp macro="" textlink="">
        <xdr:nvSpPr>
          <xdr:cNvPr id="1213388" name="Rectangle 46">
            <a:extLst>
              <a:ext uri="{FF2B5EF4-FFF2-40B4-BE49-F238E27FC236}">
                <a16:creationId xmlns:a16="http://schemas.microsoft.com/office/drawing/2014/main" id="{00000000-0008-0000-0300-0000CC831200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89" name="Rectangle 47">
            <a:extLst>
              <a:ext uri="{FF2B5EF4-FFF2-40B4-BE49-F238E27FC236}">
                <a16:creationId xmlns:a16="http://schemas.microsoft.com/office/drawing/2014/main" id="{00000000-0008-0000-0300-0000CD831200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90" name="Rectangle 48">
            <a:extLst>
              <a:ext uri="{FF2B5EF4-FFF2-40B4-BE49-F238E27FC236}">
                <a16:creationId xmlns:a16="http://schemas.microsoft.com/office/drawing/2014/main" id="{00000000-0008-0000-0300-0000CE831200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91" name="Rectangle 49">
            <a:extLst>
              <a:ext uri="{FF2B5EF4-FFF2-40B4-BE49-F238E27FC236}">
                <a16:creationId xmlns:a16="http://schemas.microsoft.com/office/drawing/2014/main" id="{00000000-0008-0000-0300-0000CF831200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92" name="Line 50">
            <a:extLst>
              <a:ext uri="{FF2B5EF4-FFF2-40B4-BE49-F238E27FC236}">
                <a16:creationId xmlns:a16="http://schemas.microsoft.com/office/drawing/2014/main" id="{00000000-0008-0000-0300-0000D0831200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93" name="Line 51">
            <a:extLst>
              <a:ext uri="{FF2B5EF4-FFF2-40B4-BE49-F238E27FC236}">
                <a16:creationId xmlns:a16="http://schemas.microsoft.com/office/drawing/2014/main" id="{00000000-0008-0000-0300-0000D1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94" name="Line 52">
            <a:extLst>
              <a:ext uri="{FF2B5EF4-FFF2-40B4-BE49-F238E27FC236}">
                <a16:creationId xmlns:a16="http://schemas.microsoft.com/office/drawing/2014/main" id="{00000000-0008-0000-0300-0000D2831200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95" name="Rectangle 53">
            <a:extLst>
              <a:ext uri="{FF2B5EF4-FFF2-40B4-BE49-F238E27FC236}">
                <a16:creationId xmlns:a16="http://schemas.microsoft.com/office/drawing/2014/main" id="{00000000-0008-0000-0300-0000D3831200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96" name="Line 54">
            <a:extLst>
              <a:ext uri="{FF2B5EF4-FFF2-40B4-BE49-F238E27FC236}">
                <a16:creationId xmlns:a16="http://schemas.microsoft.com/office/drawing/2014/main" id="{00000000-0008-0000-0300-0000D4831200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97" name="Rectangle 55">
            <a:extLst>
              <a:ext uri="{FF2B5EF4-FFF2-40B4-BE49-F238E27FC236}">
                <a16:creationId xmlns:a16="http://schemas.microsoft.com/office/drawing/2014/main" id="{00000000-0008-0000-0300-0000D5831200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98" name="Line 56">
            <a:extLst>
              <a:ext uri="{FF2B5EF4-FFF2-40B4-BE49-F238E27FC236}">
                <a16:creationId xmlns:a16="http://schemas.microsoft.com/office/drawing/2014/main" id="{00000000-0008-0000-0300-0000D6831200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99" name="Line 57">
            <a:extLst>
              <a:ext uri="{FF2B5EF4-FFF2-40B4-BE49-F238E27FC236}">
                <a16:creationId xmlns:a16="http://schemas.microsoft.com/office/drawing/2014/main" id="{00000000-0008-0000-0300-0000D78312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00" name="Line 58">
            <a:extLst>
              <a:ext uri="{FF2B5EF4-FFF2-40B4-BE49-F238E27FC236}">
                <a16:creationId xmlns:a16="http://schemas.microsoft.com/office/drawing/2014/main" id="{00000000-0008-0000-0300-0000D883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190500</xdr:rowOff>
    </xdr:from>
    <xdr:to>
      <xdr:col>8</xdr:col>
      <xdr:colOff>0</xdr:colOff>
      <xdr:row>3</xdr:row>
      <xdr:rowOff>0</xdr:rowOff>
    </xdr:to>
    <xdr:grpSp>
      <xdr:nvGrpSpPr>
        <xdr:cNvPr id="1208242" name="Group 59">
          <a:extLst>
            <a:ext uri="{FF2B5EF4-FFF2-40B4-BE49-F238E27FC236}">
              <a16:creationId xmlns:a16="http://schemas.microsoft.com/office/drawing/2014/main" id="{00000000-0008-0000-0300-0000B26F1200}"/>
            </a:ext>
          </a:extLst>
        </xdr:cNvPr>
        <xdr:cNvGrpSpPr>
          <a:grpSpLocks/>
        </xdr:cNvGrpSpPr>
      </xdr:nvGrpSpPr>
      <xdr:grpSpPr bwMode="auto">
        <a:xfrm>
          <a:off x="6766560" y="1318260"/>
          <a:ext cx="0" cy="378460"/>
          <a:chOff x="570" y="224"/>
          <a:chExt cx="377" cy="136"/>
        </a:xfrm>
      </xdr:grpSpPr>
      <xdr:sp macro="" textlink="">
        <xdr:nvSpPr>
          <xdr:cNvPr id="1213375" name="Rectangle 60">
            <a:extLst>
              <a:ext uri="{FF2B5EF4-FFF2-40B4-BE49-F238E27FC236}">
                <a16:creationId xmlns:a16="http://schemas.microsoft.com/office/drawing/2014/main" id="{00000000-0008-0000-0300-0000BF831200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76" name="Rectangle 61">
            <a:extLst>
              <a:ext uri="{FF2B5EF4-FFF2-40B4-BE49-F238E27FC236}">
                <a16:creationId xmlns:a16="http://schemas.microsoft.com/office/drawing/2014/main" id="{00000000-0008-0000-0300-0000C0831200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77" name="Rectangle 62">
            <a:extLst>
              <a:ext uri="{FF2B5EF4-FFF2-40B4-BE49-F238E27FC236}">
                <a16:creationId xmlns:a16="http://schemas.microsoft.com/office/drawing/2014/main" id="{00000000-0008-0000-0300-0000C1831200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78" name="Rectangle 63">
            <a:extLst>
              <a:ext uri="{FF2B5EF4-FFF2-40B4-BE49-F238E27FC236}">
                <a16:creationId xmlns:a16="http://schemas.microsoft.com/office/drawing/2014/main" id="{00000000-0008-0000-0300-0000C2831200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79" name="Line 64">
            <a:extLst>
              <a:ext uri="{FF2B5EF4-FFF2-40B4-BE49-F238E27FC236}">
                <a16:creationId xmlns:a16="http://schemas.microsoft.com/office/drawing/2014/main" id="{00000000-0008-0000-0300-0000C3831200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80" name="Line 65">
            <a:extLst>
              <a:ext uri="{FF2B5EF4-FFF2-40B4-BE49-F238E27FC236}">
                <a16:creationId xmlns:a16="http://schemas.microsoft.com/office/drawing/2014/main" id="{00000000-0008-0000-0300-0000C4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81" name="Line 66">
            <a:extLst>
              <a:ext uri="{FF2B5EF4-FFF2-40B4-BE49-F238E27FC236}">
                <a16:creationId xmlns:a16="http://schemas.microsoft.com/office/drawing/2014/main" id="{00000000-0008-0000-0300-0000C5831200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82" name="Rectangle 67">
            <a:extLst>
              <a:ext uri="{FF2B5EF4-FFF2-40B4-BE49-F238E27FC236}">
                <a16:creationId xmlns:a16="http://schemas.microsoft.com/office/drawing/2014/main" id="{00000000-0008-0000-0300-0000C6831200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83" name="Line 68">
            <a:extLst>
              <a:ext uri="{FF2B5EF4-FFF2-40B4-BE49-F238E27FC236}">
                <a16:creationId xmlns:a16="http://schemas.microsoft.com/office/drawing/2014/main" id="{00000000-0008-0000-0300-0000C7831200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84" name="Rectangle 69">
            <a:extLst>
              <a:ext uri="{FF2B5EF4-FFF2-40B4-BE49-F238E27FC236}">
                <a16:creationId xmlns:a16="http://schemas.microsoft.com/office/drawing/2014/main" id="{00000000-0008-0000-0300-0000C8831200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85" name="Line 70">
            <a:extLst>
              <a:ext uri="{FF2B5EF4-FFF2-40B4-BE49-F238E27FC236}">
                <a16:creationId xmlns:a16="http://schemas.microsoft.com/office/drawing/2014/main" id="{00000000-0008-0000-0300-0000C9831200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86" name="Line 71">
            <a:extLst>
              <a:ext uri="{FF2B5EF4-FFF2-40B4-BE49-F238E27FC236}">
                <a16:creationId xmlns:a16="http://schemas.microsoft.com/office/drawing/2014/main" id="{00000000-0008-0000-0300-0000CA8312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87" name="Line 72">
            <a:extLst>
              <a:ext uri="{FF2B5EF4-FFF2-40B4-BE49-F238E27FC236}">
                <a16:creationId xmlns:a16="http://schemas.microsoft.com/office/drawing/2014/main" id="{00000000-0008-0000-0300-0000CB83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43" name="Group 73">
          <a:extLst>
            <a:ext uri="{FF2B5EF4-FFF2-40B4-BE49-F238E27FC236}">
              <a16:creationId xmlns:a16="http://schemas.microsoft.com/office/drawing/2014/main" id="{00000000-0008-0000-0300-0000B36F1200}"/>
            </a:ext>
          </a:extLst>
        </xdr:cNvPr>
        <xdr:cNvGrpSpPr>
          <a:grpSpLocks/>
        </xdr:cNvGrpSpPr>
      </xdr:nvGrpSpPr>
      <xdr:grpSpPr bwMode="auto">
        <a:xfrm>
          <a:off x="6766560" y="1305560"/>
          <a:ext cx="0" cy="391160"/>
          <a:chOff x="632" y="220"/>
          <a:chExt cx="195" cy="136"/>
        </a:xfrm>
      </xdr:grpSpPr>
      <xdr:sp macro="" textlink="">
        <xdr:nvSpPr>
          <xdr:cNvPr id="1213368" name="Rectangle 74">
            <a:extLst>
              <a:ext uri="{FF2B5EF4-FFF2-40B4-BE49-F238E27FC236}">
                <a16:creationId xmlns:a16="http://schemas.microsoft.com/office/drawing/2014/main" id="{00000000-0008-0000-0300-0000B8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69" name="Rectangle 75">
            <a:extLst>
              <a:ext uri="{FF2B5EF4-FFF2-40B4-BE49-F238E27FC236}">
                <a16:creationId xmlns:a16="http://schemas.microsoft.com/office/drawing/2014/main" id="{00000000-0008-0000-0300-0000B9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70" name="Rectangle 76">
            <a:extLst>
              <a:ext uri="{FF2B5EF4-FFF2-40B4-BE49-F238E27FC236}">
                <a16:creationId xmlns:a16="http://schemas.microsoft.com/office/drawing/2014/main" id="{00000000-0008-0000-0300-0000BA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71" name="Rectangle 77">
            <a:extLst>
              <a:ext uri="{FF2B5EF4-FFF2-40B4-BE49-F238E27FC236}">
                <a16:creationId xmlns:a16="http://schemas.microsoft.com/office/drawing/2014/main" id="{00000000-0008-0000-0300-0000BB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72" name="Line 78">
            <a:extLst>
              <a:ext uri="{FF2B5EF4-FFF2-40B4-BE49-F238E27FC236}">
                <a16:creationId xmlns:a16="http://schemas.microsoft.com/office/drawing/2014/main" id="{00000000-0008-0000-0300-0000BC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73" name="Line 79">
            <a:extLst>
              <a:ext uri="{FF2B5EF4-FFF2-40B4-BE49-F238E27FC236}">
                <a16:creationId xmlns:a16="http://schemas.microsoft.com/office/drawing/2014/main" id="{00000000-0008-0000-0300-0000BD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74" name="Line 80">
            <a:extLst>
              <a:ext uri="{FF2B5EF4-FFF2-40B4-BE49-F238E27FC236}">
                <a16:creationId xmlns:a16="http://schemas.microsoft.com/office/drawing/2014/main" id="{00000000-0008-0000-0300-0000BE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44" name="Group 81">
          <a:extLst>
            <a:ext uri="{FF2B5EF4-FFF2-40B4-BE49-F238E27FC236}">
              <a16:creationId xmlns:a16="http://schemas.microsoft.com/office/drawing/2014/main" id="{00000000-0008-0000-0300-0000B46F1200}"/>
            </a:ext>
          </a:extLst>
        </xdr:cNvPr>
        <xdr:cNvGrpSpPr>
          <a:grpSpLocks/>
        </xdr:cNvGrpSpPr>
      </xdr:nvGrpSpPr>
      <xdr:grpSpPr bwMode="auto">
        <a:xfrm>
          <a:off x="6766560" y="1305560"/>
          <a:ext cx="0" cy="391160"/>
          <a:chOff x="632" y="220"/>
          <a:chExt cx="195" cy="136"/>
        </a:xfrm>
      </xdr:grpSpPr>
      <xdr:sp macro="" textlink="">
        <xdr:nvSpPr>
          <xdr:cNvPr id="1213361" name="Rectangle 82">
            <a:extLst>
              <a:ext uri="{FF2B5EF4-FFF2-40B4-BE49-F238E27FC236}">
                <a16:creationId xmlns:a16="http://schemas.microsoft.com/office/drawing/2014/main" id="{00000000-0008-0000-0300-0000B1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62" name="Rectangle 83">
            <a:extLst>
              <a:ext uri="{FF2B5EF4-FFF2-40B4-BE49-F238E27FC236}">
                <a16:creationId xmlns:a16="http://schemas.microsoft.com/office/drawing/2014/main" id="{00000000-0008-0000-0300-0000B2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63" name="Rectangle 84">
            <a:extLst>
              <a:ext uri="{FF2B5EF4-FFF2-40B4-BE49-F238E27FC236}">
                <a16:creationId xmlns:a16="http://schemas.microsoft.com/office/drawing/2014/main" id="{00000000-0008-0000-0300-0000B3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64" name="Rectangle 85">
            <a:extLst>
              <a:ext uri="{FF2B5EF4-FFF2-40B4-BE49-F238E27FC236}">
                <a16:creationId xmlns:a16="http://schemas.microsoft.com/office/drawing/2014/main" id="{00000000-0008-0000-0300-0000B4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65" name="Line 86">
            <a:extLst>
              <a:ext uri="{FF2B5EF4-FFF2-40B4-BE49-F238E27FC236}">
                <a16:creationId xmlns:a16="http://schemas.microsoft.com/office/drawing/2014/main" id="{00000000-0008-0000-0300-0000B5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66" name="Line 87">
            <a:extLst>
              <a:ext uri="{FF2B5EF4-FFF2-40B4-BE49-F238E27FC236}">
                <a16:creationId xmlns:a16="http://schemas.microsoft.com/office/drawing/2014/main" id="{00000000-0008-0000-0300-0000B6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67" name="Line 88">
            <a:extLst>
              <a:ext uri="{FF2B5EF4-FFF2-40B4-BE49-F238E27FC236}">
                <a16:creationId xmlns:a16="http://schemas.microsoft.com/office/drawing/2014/main" id="{00000000-0008-0000-0300-0000B7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45" name="Group 89">
          <a:extLst>
            <a:ext uri="{FF2B5EF4-FFF2-40B4-BE49-F238E27FC236}">
              <a16:creationId xmlns:a16="http://schemas.microsoft.com/office/drawing/2014/main" id="{00000000-0008-0000-0300-0000B56F1200}"/>
            </a:ext>
          </a:extLst>
        </xdr:cNvPr>
        <xdr:cNvGrpSpPr>
          <a:grpSpLocks/>
        </xdr:cNvGrpSpPr>
      </xdr:nvGrpSpPr>
      <xdr:grpSpPr bwMode="auto">
        <a:xfrm>
          <a:off x="6766560" y="1305560"/>
          <a:ext cx="0" cy="391160"/>
          <a:chOff x="632" y="220"/>
          <a:chExt cx="195" cy="136"/>
        </a:xfrm>
      </xdr:grpSpPr>
      <xdr:sp macro="" textlink="">
        <xdr:nvSpPr>
          <xdr:cNvPr id="1213354" name="Rectangle 90">
            <a:extLst>
              <a:ext uri="{FF2B5EF4-FFF2-40B4-BE49-F238E27FC236}">
                <a16:creationId xmlns:a16="http://schemas.microsoft.com/office/drawing/2014/main" id="{00000000-0008-0000-0300-0000AA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55" name="Rectangle 91">
            <a:extLst>
              <a:ext uri="{FF2B5EF4-FFF2-40B4-BE49-F238E27FC236}">
                <a16:creationId xmlns:a16="http://schemas.microsoft.com/office/drawing/2014/main" id="{00000000-0008-0000-0300-0000AB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56" name="Rectangle 92">
            <a:extLst>
              <a:ext uri="{FF2B5EF4-FFF2-40B4-BE49-F238E27FC236}">
                <a16:creationId xmlns:a16="http://schemas.microsoft.com/office/drawing/2014/main" id="{00000000-0008-0000-0300-0000AC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57" name="Rectangle 93">
            <a:extLst>
              <a:ext uri="{FF2B5EF4-FFF2-40B4-BE49-F238E27FC236}">
                <a16:creationId xmlns:a16="http://schemas.microsoft.com/office/drawing/2014/main" id="{00000000-0008-0000-0300-0000AD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58" name="Line 94">
            <a:extLst>
              <a:ext uri="{FF2B5EF4-FFF2-40B4-BE49-F238E27FC236}">
                <a16:creationId xmlns:a16="http://schemas.microsoft.com/office/drawing/2014/main" id="{00000000-0008-0000-0300-0000AE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59" name="Line 95">
            <a:extLst>
              <a:ext uri="{FF2B5EF4-FFF2-40B4-BE49-F238E27FC236}">
                <a16:creationId xmlns:a16="http://schemas.microsoft.com/office/drawing/2014/main" id="{00000000-0008-0000-0300-0000AF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60" name="Line 96">
            <a:extLst>
              <a:ext uri="{FF2B5EF4-FFF2-40B4-BE49-F238E27FC236}">
                <a16:creationId xmlns:a16="http://schemas.microsoft.com/office/drawing/2014/main" id="{00000000-0008-0000-0300-0000B0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46" name="Group 97">
          <a:extLst>
            <a:ext uri="{FF2B5EF4-FFF2-40B4-BE49-F238E27FC236}">
              <a16:creationId xmlns:a16="http://schemas.microsoft.com/office/drawing/2014/main" id="{00000000-0008-0000-0300-0000B66F1200}"/>
            </a:ext>
          </a:extLst>
        </xdr:cNvPr>
        <xdr:cNvGrpSpPr>
          <a:grpSpLocks/>
        </xdr:cNvGrpSpPr>
      </xdr:nvGrpSpPr>
      <xdr:grpSpPr bwMode="auto">
        <a:xfrm>
          <a:off x="6766560" y="1305560"/>
          <a:ext cx="0" cy="391160"/>
          <a:chOff x="632" y="220"/>
          <a:chExt cx="195" cy="136"/>
        </a:xfrm>
      </xdr:grpSpPr>
      <xdr:sp macro="" textlink="">
        <xdr:nvSpPr>
          <xdr:cNvPr id="1213347" name="Rectangle 98">
            <a:extLst>
              <a:ext uri="{FF2B5EF4-FFF2-40B4-BE49-F238E27FC236}">
                <a16:creationId xmlns:a16="http://schemas.microsoft.com/office/drawing/2014/main" id="{00000000-0008-0000-0300-0000A3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48" name="Rectangle 99">
            <a:extLst>
              <a:ext uri="{FF2B5EF4-FFF2-40B4-BE49-F238E27FC236}">
                <a16:creationId xmlns:a16="http://schemas.microsoft.com/office/drawing/2014/main" id="{00000000-0008-0000-0300-0000A4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49" name="Rectangle 100">
            <a:extLst>
              <a:ext uri="{FF2B5EF4-FFF2-40B4-BE49-F238E27FC236}">
                <a16:creationId xmlns:a16="http://schemas.microsoft.com/office/drawing/2014/main" id="{00000000-0008-0000-0300-0000A5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50" name="Rectangle 101">
            <a:extLst>
              <a:ext uri="{FF2B5EF4-FFF2-40B4-BE49-F238E27FC236}">
                <a16:creationId xmlns:a16="http://schemas.microsoft.com/office/drawing/2014/main" id="{00000000-0008-0000-0300-0000A6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51" name="Line 102">
            <a:extLst>
              <a:ext uri="{FF2B5EF4-FFF2-40B4-BE49-F238E27FC236}">
                <a16:creationId xmlns:a16="http://schemas.microsoft.com/office/drawing/2014/main" id="{00000000-0008-0000-0300-0000A7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52" name="Line 103">
            <a:extLst>
              <a:ext uri="{FF2B5EF4-FFF2-40B4-BE49-F238E27FC236}">
                <a16:creationId xmlns:a16="http://schemas.microsoft.com/office/drawing/2014/main" id="{00000000-0008-0000-0300-0000A8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53" name="Line 104">
            <a:extLst>
              <a:ext uri="{FF2B5EF4-FFF2-40B4-BE49-F238E27FC236}">
                <a16:creationId xmlns:a16="http://schemas.microsoft.com/office/drawing/2014/main" id="{00000000-0008-0000-0300-0000A9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47" name="Group 105">
          <a:extLst>
            <a:ext uri="{FF2B5EF4-FFF2-40B4-BE49-F238E27FC236}">
              <a16:creationId xmlns:a16="http://schemas.microsoft.com/office/drawing/2014/main" id="{00000000-0008-0000-0300-0000B76F1200}"/>
            </a:ext>
          </a:extLst>
        </xdr:cNvPr>
        <xdr:cNvGrpSpPr>
          <a:grpSpLocks/>
        </xdr:cNvGrpSpPr>
      </xdr:nvGrpSpPr>
      <xdr:grpSpPr bwMode="auto">
        <a:xfrm>
          <a:off x="6766560" y="1305560"/>
          <a:ext cx="0" cy="391160"/>
          <a:chOff x="632" y="220"/>
          <a:chExt cx="195" cy="136"/>
        </a:xfrm>
      </xdr:grpSpPr>
      <xdr:sp macro="" textlink="">
        <xdr:nvSpPr>
          <xdr:cNvPr id="1213340" name="Rectangle 106">
            <a:extLst>
              <a:ext uri="{FF2B5EF4-FFF2-40B4-BE49-F238E27FC236}">
                <a16:creationId xmlns:a16="http://schemas.microsoft.com/office/drawing/2014/main" id="{00000000-0008-0000-0300-00009C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41" name="Rectangle 107">
            <a:extLst>
              <a:ext uri="{FF2B5EF4-FFF2-40B4-BE49-F238E27FC236}">
                <a16:creationId xmlns:a16="http://schemas.microsoft.com/office/drawing/2014/main" id="{00000000-0008-0000-0300-00009D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42" name="Rectangle 108">
            <a:extLst>
              <a:ext uri="{FF2B5EF4-FFF2-40B4-BE49-F238E27FC236}">
                <a16:creationId xmlns:a16="http://schemas.microsoft.com/office/drawing/2014/main" id="{00000000-0008-0000-0300-00009E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43" name="Rectangle 109">
            <a:extLst>
              <a:ext uri="{FF2B5EF4-FFF2-40B4-BE49-F238E27FC236}">
                <a16:creationId xmlns:a16="http://schemas.microsoft.com/office/drawing/2014/main" id="{00000000-0008-0000-0300-00009F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44" name="Line 110">
            <a:extLst>
              <a:ext uri="{FF2B5EF4-FFF2-40B4-BE49-F238E27FC236}">
                <a16:creationId xmlns:a16="http://schemas.microsoft.com/office/drawing/2014/main" id="{00000000-0008-0000-0300-0000A0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45" name="Line 111">
            <a:extLst>
              <a:ext uri="{FF2B5EF4-FFF2-40B4-BE49-F238E27FC236}">
                <a16:creationId xmlns:a16="http://schemas.microsoft.com/office/drawing/2014/main" id="{00000000-0008-0000-0300-0000A1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46" name="Line 112">
            <a:extLst>
              <a:ext uri="{FF2B5EF4-FFF2-40B4-BE49-F238E27FC236}">
                <a16:creationId xmlns:a16="http://schemas.microsoft.com/office/drawing/2014/main" id="{00000000-0008-0000-0300-0000A2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48" name="Group 113">
          <a:extLst>
            <a:ext uri="{FF2B5EF4-FFF2-40B4-BE49-F238E27FC236}">
              <a16:creationId xmlns:a16="http://schemas.microsoft.com/office/drawing/2014/main" id="{00000000-0008-0000-0300-0000B86F1200}"/>
            </a:ext>
          </a:extLst>
        </xdr:cNvPr>
        <xdr:cNvGrpSpPr>
          <a:grpSpLocks/>
        </xdr:cNvGrpSpPr>
      </xdr:nvGrpSpPr>
      <xdr:grpSpPr bwMode="auto">
        <a:xfrm>
          <a:off x="6766560" y="1305560"/>
          <a:ext cx="0" cy="391160"/>
          <a:chOff x="632" y="220"/>
          <a:chExt cx="195" cy="136"/>
        </a:xfrm>
      </xdr:grpSpPr>
      <xdr:sp macro="" textlink="">
        <xdr:nvSpPr>
          <xdr:cNvPr id="1213333" name="Rectangle 114">
            <a:extLst>
              <a:ext uri="{FF2B5EF4-FFF2-40B4-BE49-F238E27FC236}">
                <a16:creationId xmlns:a16="http://schemas.microsoft.com/office/drawing/2014/main" id="{00000000-0008-0000-0300-000095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34" name="Rectangle 115">
            <a:extLst>
              <a:ext uri="{FF2B5EF4-FFF2-40B4-BE49-F238E27FC236}">
                <a16:creationId xmlns:a16="http://schemas.microsoft.com/office/drawing/2014/main" id="{00000000-0008-0000-0300-000096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35" name="Rectangle 116">
            <a:extLst>
              <a:ext uri="{FF2B5EF4-FFF2-40B4-BE49-F238E27FC236}">
                <a16:creationId xmlns:a16="http://schemas.microsoft.com/office/drawing/2014/main" id="{00000000-0008-0000-0300-000097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36" name="Rectangle 117">
            <a:extLst>
              <a:ext uri="{FF2B5EF4-FFF2-40B4-BE49-F238E27FC236}">
                <a16:creationId xmlns:a16="http://schemas.microsoft.com/office/drawing/2014/main" id="{00000000-0008-0000-0300-000098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37" name="Line 118">
            <a:extLst>
              <a:ext uri="{FF2B5EF4-FFF2-40B4-BE49-F238E27FC236}">
                <a16:creationId xmlns:a16="http://schemas.microsoft.com/office/drawing/2014/main" id="{00000000-0008-0000-0300-000099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38" name="Line 119">
            <a:extLst>
              <a:ext uri="{FF2B5EF4-FFF2-40B4-BE49-F238E27FC236}">
                <a16:creationId xmlns:a16="http://schemas.microsoft.com/office/drawing/2014/main" id="{00000000-0008-0000-0300-00009A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39" name="Line 120">
            <a:extLst>
              <a:ext uri="{FF2B5EF4-FFF2-40B4-BE49-F238E27FC236}">
                <a16:creationId xmlns:a16="http://schemas.microsoft.com/office/drawing/2014/main" id="{00000000-0008-0000-0300-00009B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49" name="Group 121">
          <a:extLst>
            <a:ext uri="{FF2B5EF4-FFF2-40B4-BE49-F238E27FC236}">
              <a16:creationId xmlns:a16="http://schemas.microsoft.com/office/drawing/2014/main" id="{00000000-0008-0000-0300-0000B96F1200}"/>
            </a:ext>
          </a:extLst>
        </xdr:cNvPr>
        <xdr:cNvGrpSpPr>
          <a:grpSpLocks/>
        </xdr:cNvGrpSpPr>
      </xdr:nvGrpSpPr>
      <xdr:grpSpPr bwMode="auto">
        <a:xfrm>
          <a:off x="6766560" y="1305560"/>
          <a:ext cx="0" cy="391160"/>
          <a:chOff x="632" y="220"/>
          <a:chExt cx="195" cy="136"/>
        </a:xfrm>
      </xdr:grpSpPr>
      <xdr:sp macro="" textlink="">
        <xdr:nvSpPr>
          <xdr:cNvPr id="1213326" name="Rectangle 122">
            <a:extLst>
              <a:ext uri="{FF2B5EF4-FFF2-40B4-BE49-F238E27FC236}">
                <a16:creationId xmlns:a16="http://schemas.microsoft.com/office/drawing/2014/main" id="{00000000-0008-0000-0300-00008E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27" name="Rectangle 123">
            <a:extLst>
              <a:ext uri="{FF2B5EF4-FFF2-40B4-BE49-F238E27FC236}">
                <a16:creationId xmlns:a16="http://schemas.microsoft.com/office/drawing/2014/main" id="{00000000-0008-0000-0300-00008F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28" name="Rectangle 124">
            <a:extLst>
              <a:ext uri="{FF2B5EF4-FFF2-40B4-BE49-F238E27FC236}">
                <a16:creationId xmlns:a16="http://schemas.microsoft.com/office/drawing/2014/main" id="{00000000-0008-0000-0300-000090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29" name="Rectangle 125">
            <a:extLst>
              <a:ext uri="{FF2B5EF4-FFF2-40B4-BE49-F238E27FC236}">
                <a16:creationId xmlns:a16="http://schemas.microsoft.com/office/drawing/2014/main" id="{00000000-0008-0000-0300-000091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30" name="Line 126">
            <a:extLst>
              <a:ext uri="{FF2B5EF4-FFF2-40B4-BE49-F238E27FC236}">
                <a16:creationId xmlns:a16="http://schemas.microsoft.com/office/drawing/2014/main" id="{00000000-0008-0000-0300-000092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31" name="Line 127">
            <a:extLst>
              <a:ext uri="{FF2B5EF4-FFF2-40B4-BE49-F238E27FC236}">
                <a16:creationId xmlns:a16="http://schemas.microsoft.com/office/drawing/2014/main" id="{00000000-0008-0000-0300-000093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32" name="Line 128">
            <a:extLst>
              <a:ext uri="{FF2B5EF4-FFF2-40B4-BE49-F238E27FC236}">
                <a16:creationId xmlns:a16="http://schemas.microsoft.com/office/drawing/2014/main" id="{00000000-0008-0000-0300-000094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50" name="Group 129">
          <a:extLst>
            <a:ext uri="{FF2B5EF4-FFF2-40B4-BE49-F238E27FC236}">
              <a16:creationId xmlns:a16="http://schemas.microsoft.com/office/drawing/2014/main" id="{00000000-0008-0000-0300-0000BA6F1200}"/>
            </a:ext>
          </a:extLst>
        </xdr:cNvPr>
        <xdr:cNvGrpSpPr>
          <a:grpSpLocks/>
        </xdr:cNvGrpSpPr>
      </xdr:nvGrpSpPr>
      <xdr:grpSpPr bwMode="auto">
        <a:xfrm>
          <a:off x="6766560" y="1305560"/>
          <a:ext cx="0" cy="391160"/>
          <a:chOff x="632" y="220"/>
          <a:chExt cx="195" cy="136"/>
        </a:xfrm>
      </xdr:grpSpPr>
      <xdr:sp macro="" textlink="">
        <xdr:nvSpPr>
          <xdr:cNvPr id="1213319" name="Rectangle 130">
            <a:extLst>
              <a:ext uri="{FF2B5EF4-FFF2-40B4-BE49-F238E27FC236}">
                <a16:creationId xmlns:a16="http://schemas.microsoft.com/office/drawing/2014/main" id="{00000000-0008-0000-0300-000087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20" name="Rectangle 131">
            <a:extLst>
              <a:ext uri="{FF2B5EF4-FFF2-40B4-BE49-F238E27FC236}">
                <a16:creationId xmlns:a16="http://schemas.microsoft.com/office/drawing/2014/main" id="{00000000-0008-0000-0300-000088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21" name="Rectangle 132">
            <a:extLst>
              <a:ext uri="{FF2B5EF4-FFF2-40B4-BE49-F238E27FC236}">
                <a16:creationId xmlns:a16="http://schemas.microsoft.com/office/drawing/2014/main" id="{00000000-0008-0000-0300-000089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22" name="Rectangle 133">
            <a:extLst>
              <a:ext uri="{FF2B5EF4-FFF2-40B4-BE49-F238E27FC236}">
                <a16:creationId xmlns:a16="http://schemas.microsoft.com/office/drawing/2014/main" id="{00000000-0008-0000-0300-00008A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23" name="Line 134">
            <a:extLst>
              <a:ext uri="{FF2B5EF4-FFF2-40B4-BE49-F238E27FC236}">
                <a16:creationId xmlns:a16="http://schemas.microsoft.com/office/drawing/2014/main" id="{00000000-0008-0000-0300-00008B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24" name="Line 135">
            <a:extLst>
              <a:ext uri="{FF2B5EF4-FFF2-40B4-BE49-F238E27FC236}">
                <a16:creationId xmlns:a16="http://schemas.microsoft.com/office/drawing/2014/main" id="{00000000-0008-0000-0300-00008C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25" name="Line 136">
            <a:extLst>
              <a:ext uri="{FF2B5EF4-FFF2-40B4-BE49-F238E27FC236}">
                <a16:creationId xmlns:a16="http://schemas.microsoft.com/office/drawing/2014/main" id="{00000000-0008-0000-0300-00008D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51" name="Group 137">
          <a:extLst>
            <a:ext uri="{FF2B5EF4-FFF2-40B4-BE49-F238E27FC236}">
              <a16:creationId xmlns:a16="http://schemas.microsoft.com/office/drawing/2014/main" id="{00000000-0008-0000-0300-0000BB6F1200}"/>
            </a:ext>
          </a:extLst>
        </xdr:cNvPr>
        <xdr:cNvGrpSpPr>
          <a:grpSpLocks/>
        </xdr:cNvGrpSpPr>
      </xdr:nvGrpSpPr>
      <xdr:grpSpPr bwMode="auto">
        <a:xfrm>
          <a:off x="6766560" y="1305560"/>
          <a:ext cx="0" cy="391160"/>
          <a:chOff x="632" y="220"/>
          <a:chExt cx="195" cy="136"/>
        </a:xfrm>
      </xdr:grpSpPr>
      <xdr:sp macro="" textlink="">
        <xdr:nvSpPr>
          <xdr:cNvPr id="1213312" name="Rectangle 138">
            <a:extLst>
              <a:ext uri="{FF2B5EF4-FFF2-40B4-BE49-F238E27FC236}">
                <a16:creationId xmlns:a16="http://schemas.microsoft.com/office/drawing/2014/main" id="{00000000-0008-0000-0300-000080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13" name="Rectangle 139">
            <a:extLst>
              <a:ext uri="{FF2B5EF4-FFF2-40B4-BE49-F238E27FC236}">
                <a16:creationId xmlns:a16="http://schemas.microsoft.com/office/drawing/2014/main" id="{00000000-0008-0000-0300-000081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14" name="Rectangle 140">
            <a:extLst>
              <a:ext uri="{FF2B5EF4-FFF2-40B4-BE49-F238E27FC236}">
                <a16:creationId xmlns:a16="http://schemas.microsoft.com/office/drawing/2014/main" id="{00000000-0008-0000-0300-000082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15" name="Rectangle 141">
            <a:extLst>
              <a:ext uri="{FF2B5EF4-FFF2-40B4-BE49-F238E27FC236}">
                <a16:creationId xmlns:a16="http://schemas.microsoft.com/office/drawing/2014/main" id="{00000000-0008-0000-0300-000083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16" name="Line 142">
            <a:extLst>
              <a:ext uri="{FF2B5EF4-FFF2-40B4-BE49-F238E27FC236}">
                <a16:creationId xmlns:a16="http://schemas.microsoft.com/office/drawing/2014/main" id="{00000000-0008-0000-0300-000084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17" name="Line 143">
            <a:extLst>
              <a:ext uri="{FF2B5EF4-FFF2-40B4-BE49-F238E27FC236}">
                <a16:creationId xmlns:a16="http://schemas.microsoft.com/office/drawing/2014/main" id="{00000000-0008-0000-0300-000085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18" name="Line 144">
            <a:extLst>
              <a:ext uri="{FF2B5EF4-FFF2-40B4-BE49-F238E27FC236}">
                <a16:creationId xmlns:a16="http://schemas.microsoft.com/office/drawing/2014/main" id="{00000000-0008-0000-0300-000086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52" name="Group 145">
          <a:extLst>
            <a:ext uri="{FF2B5EF4-FFF2-40B4-BE49-F238E27FC236}">
              <a16:creationId xmlns:a16="http://schemas.microsoft.com/office/drawing/2014/main" id="{00000000-0008-0000-0300-0000BC6F1200}"/>
            </a:ext>
          </a:extLst>
        </xdr:cNvPr>
        <xdr:cNvGrpSpPr>
          <a:grpSpLocks/>
        </xdr:cNvGrpSpPr>
      </xdr:nvGrpSpPr>
      <xdr:grpSpPr bwMode="auto">
        <a:xfrm>
          <a:off x="6766560" y="1305560"/>
          <a:ext cx="0" cy="391160"/>
          <a:chOff x="632" y="220"/>
          <a:chExt cx="195" cy="136"/>
        </a:xfrm>
      </xdr:grpSpPr>
      <xdr:sp macro="" textlink="">
        <xdr:nvSpPr>
          <xdr:cNvPr id="1213305" name="Rectangle 146">
            <a:extLst>
              <a:ext uri="{FF2B5EF4-FFF2-40B4-BE49-F238E27FC236}">
                <a16:creationId xmlns:a16="http://schemas.microsoft.com/office/drawing/2014/main" id="{00000000-0008-0000-0300-000079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06" name="Rectangle 147">
            <a:extLst>
              <a:ext uri="{FF2B5EF4-FFF2-40B4-BE49-F238E27FC236}">
                <a16:creationId xmlns:a16="http://schemas.microsoft.com/office/drawing/2014/main" id="{00000000-0008-0000-0300-00007A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07" name="Rectangle 148">
            <a:extLst>
              <a:ext uri="{FF2B5EF4-FFF2-40B4-BE49-F238E27FC236}">
                <a16:creationId xmlns:a16="http://schemas.microsoft.com/office/drawing/2014/main" id="{00000000-0008-0000-0300-00007B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08" name="Rectangle 149">
            <a:extLst>
              <a:ext uri="{FF2B5EF4-FFF2-40B4-BE49-F238E27FC236}">
                <a16:creationId xmlns:a16="http://schemas.microsoft.com/office/drawing/2014/main" id="{00000000-0008-0000-0300-00007C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09" name="Line 150">
            <a:extLst>
              <a:ext uri="{FF2B5EF4-FFF2-40B4-BE49-F238E27FC236}">
                <a16:creationId xmlns:a16="http://schemas.microsoft.com/office/drawing/2014/main" id="{00000000-0008-0000-0300-00007D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10" name="Line 151">
            <a:extLst>
              <a:ext uri="{FF2B5EF4-FFF2-40B4-BE49-F238E27FC236}">
                <a16:creationId xmlns:a16="http://schemas.microsoft.com/office/drawing/2014/main" id="{00000000-0008-0000-0300-00007E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11" name="Line 152">
            <a:extLst>
              <a:ext uri="{FF2B5EF4-FFF2-40B4-BE49-F238E27FC236}">
                <a16:creationId xmlns:a16="http://schemas.microsoft.com/office/drawing/2014/main" id="{00000000-0008-0000-0300-00007F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53" name="Group 153">
          <a:extLst>
            <a:ext uri="{FF2B5EF4-FFF2-40B4-BE49-F238E27FC236}">
              <a16:creationId xmlns:a16="http://schemas.microsoft.com/office/drawing/2014/main" id="{00000000-0008-0000-0300-0000BD6F1200}"/>
            </a:ext>
          </a:extLst>
        </xdr:cNvPr>
        <xdr:cNvGrpSpPr>
          <a:grpSpLocks/>
        </xdr:cNvGrpSpPr>
      </xdr:nvGrpSpPr>
      <xdr:grpSpPr bwMode="auto">
        <a:xfrm>
          <a:off x="6766560" y="1305560"/>
          <a:ext cx="0" cy="391160"/>
          <a:chOff x="632" y="220"/>
          <a:chExt cx="195" cy="136"/>
        </a:xfrm>
      </xdr:grpSpPr>
      <xdr:sp macro="" textlink="">
        <xdr:nvSpPr>
          <xdr:cNvPr id="1213298" name="Rectangle 154">
            <a:extLst>
              <a:ext uri="{FF2B5EF4-FFF2-40B4-BE49-F238E27FC236}">
                <a16:creationId xmlns:a16="http://schemas.microsoft.com/office/drawing/2014/main" id="{00000000-0008-0000-0300-000072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99" name="Rectangle 155">
            <a:extLst>
              <a:ext uri="{FF2B5EF4-FFF2-40B4-BE49-F238E27FC236}">
                <a16:creationId xmlns:a16="http://schemas.microsoft.com/office/drawing/2014/main" id="{00000000-0008-0000-0300-000073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00" name="Rectangle 156">
            <a:extLst>
              <a:ext uri="{FF2B5EF4-FFF2-40B4-BE49-F238E27FC236}">
                <a16:creationId xmlns:a16="http://schemas.microsoft.com/office/drawing/2014/main" id="{00000000-0008-0000-0300-000074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01" name="Rectangle 157">
            <a:extLst>
              <a:ext uri="{FF2B5EF4-FFF2-40B4-BE49-F238E27FC236}">
                <a16:creationId xmlns:a16="http://schemas.microsoft.com/office/drawing/2014/main" id="{00000000-0008-0000-0300-000075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02" name="Line 158">
            <a:extLst>
              <a:ext uri="{FF2B5EF4-FFF2-40B4-BE49-F238E27FC236}">
                <a16:creationId xmlns:a16="http://schemas.microsoft.com/office/drawing/2014/main" id="{00000000-0008-0000-0300-000076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03" name="Line 159">
            <a:extLst>
              <a:ext uri="{FF2B5EF4-FFF2-40B4-BE49-F238E27FC236}">
                <a16:creationId xmlns:a16="http://schemas.microsoft.com/office/drawing/2014/main" id="{00000000-0008-0000-0300-000077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04" name="Line 160">
            <a:extLst>
              <a:ext uri="{FF2B5EF4-FFF2-40B4-BE49-F238E27FC236}">
                <a16:creationId xmlns:a16="http://schemas.microsoft.com/office/drawing/2014/main" id="{00000000-0008-0000-0300-000078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54" name="Group 161">
          <a:extLst>
            <a:ext uri="{FF2B5EF4-FFF2-40B4-BE49-F238E27FC236}">
              <a16:creationId xmlns:a16="http://schemas.microsoft.com/office/drawing/2014/main" id="{00000000-0008-0000-0300-0000BE6F1200}"/>
            </a:ext>
          </a:extLst>
        </xdr:cNvPr>
        <xdr:cNvGrpSpPr>
          <a:grpSpLocks/>
        </xdr:cNvGrpSpPr>
      </xdr:nvGrpSpPr>
      <xdr:grpSpPr bwMode="auto">
        <a:xfrm>
          <a:off x="6766560" y="1305560"/>
          <a:ext cx="0" cy="391160"/>
          <a:chOff x="632" y="220"/>
          <a:chExt cx="195" cy="136"/>
        </a:xfrm>
      </xdr:grpSpPr>
      <xdr:sp macro="" textlink="">
        <xdr:nvSpPr>
          <xdr:cNvPr id="1213291" name="Rectangle 162">
            <a:extLst>
              <a:ext uri="{FF2B5EF4-FFF2-40B4-BE49-F238E27FC236}">
                <a16:creationId xmlns:a16="http://schemas.microsoft.com/office/drawing/2014/main" id="{00000000-0008-0000-0300-00006B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92" name="Rectangle 163">
            <a:extLst>
              <a:ext uri="{FF2B5EF4-FFF2-40B4-BE49-F238E27FC236}">
                <a16:creationId xmlns:a16="http://schemas.microsoft.com/office/drawing/2014/main" id="{00000000-0008-0000-0300-00006C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93" name="Rectangle 164">
            <a:extLst>
              <a:ext uri="{FF2B5EF4-FFF2-40B4-BE49-F238E27FC236}">
                <a16:creationId xmlns:a16="http://schemas.microsoft.com/office/drawing/2014/main" id="{00000000-0008-0000-0300-00006D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94" name="Rectangle 165">
            <a:extLst>
              <a:ext uri="{FF2B5EF4-FFF2-40B4-BE49-F238E27FC236}">
                <a16:creationId xmlns:a16="http://schemas.microsoft.com/office/drawing/2014/main" id="{00000000-0008-0000-0300-00006E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95" name="Line 166">
            <a:extLst>
              <a:ext uri="{FF2B5EF4-FFF2-40B4-BE49-F238E27FC236}">
                <a16:creationId xmlns:a16="http://schemas.microsoft.com/office/drawing/2014/main" id="{00000000-0008-0000-0300-00006F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96" name="Line 167">
            <a:extLst>
              <a:ext uri="{FF2B5EF4-FFF2-40B4-BE49-F238E27FC236}">
                <a16:creationId xmlns:a16="http://schemas.microsoft.com/office/drawing/2014/main" id="{00000000-0008-0000-0300-000070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97" name="Line 168">
            <a:extLst>
              <a:ext uri="{FF2B5EF4-FFF2-40B4-BE49-F238E27FC236}">
                <a16:creationId xmlns:a16="http://schemas.microsoft.com/office/drawing/2014/main" id="{00000000-0008-0000-0300-000071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55" name="Group 169">
          <a:extLst>
            <a:ext uri="{FF2B5EF4-FFF2-40B4-BE49-F238E27FC236}">
              <a16:creationId xmlns:a16="http://schemas.microsoft.com/office/drawing/2014/main" id="{00000000-0008-0000-0300-0000BF6F1200}"/>
            </a:ext>
          </a:extLst>
        </xdr:cNvPr>
        <xdr:cNvGrpSpPr>
          <a:grpSpLocks/>
        </xdr:cNvGrpSpPr>
      </xdr:nvGrpSpPr>
      <xdr:grpSpPr bwMode="auto">
        <a:xfrm>
          <a:off x="6766560" y="1305560"/>
          <a:ext cx="0" cy="391160"/>
          <a:chOff x="632" y="220"/>
          <a:chExt cx="195" cy="136"/>
        </a:xfrm>
      </xdr:grpSpPr>
      <xdr:sp macro="" textlink="">
        <xdr:nvSpPr>
          <xdr:cNvPr id="1213284" name="Rectangle 170">
            <a:extLst>
              <a:ext uri="{FF2B5EF4-FFF2-40B4-BE49-F238E27FC236}">
                <a16:creationId xmlns:a16="http://schemas.microsoft.com/office/drawing/2014/main" id="{00000000-0008-0000-0300-000064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85" name="Rectangle 171">
            <a:extLst>
              <a:ext uri="{FF2B5EF4-FFF2-40B4-BE49-F238E27FC236}">
                <a16:creationId xmlns:a16="http://schemas.microsoft.com/office/drawing/2014/main" id="{00000000-0008-0000-0300-000065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86" name="Rectangle 172">
            <a:extLst>
              <a:ext uri="{FF2B5EF4-FFF2-40B4-BE49-F238E27FC236}">
                <a16:creationId xmlns:a16="http://schemas.microsoft.com/office/drawing/2014/main" id="{00000000-0008-0000-0300-000066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87" name="Rectangle 173">
            <a:extLst>
              <a:ext uri="{FF2B5EF4-FFF2-40B4-BE49-F238E27FC236}">
                <a16:creationId xmlns:a16="http://schemas.microsoft.com/office/drawing/2014/main" id="{00000000-0008-0000-0300-000067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88" name="Line 174">
            <a:extLst>
              <a:ext uri="{FF2B5EF4-FFF2-40B4-BE49-F238E27FC236}">
                <a16:creationId xmlns:a16="http://schemas.microsoft.com/office/drawing/2014/main" id="{00000000-0008-0000-0300-000068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89" name="Line 175">
            <a:extLst>
              <a:ext uri="{FF2B5EF4-FFF2-40B4-BE49-F238E27FC236}">
                <a16:creationId xmlns:a16="http://schemas.microsoft.com/office/drawing/2014/main" id="{00000000-0008-0000-0300-000069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90" name="Line 176">
            <a:extLst>
              <a:ext uri="{FF2B5EF4-FFF2-40B4-BE49-F238E27FC236}">
                <a16:creationId xmlns:a16="http://schemas.microsoft.com/office/drawing/2014/main" id="{00000000-0008-0000-0300-00006A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56" name="Group 177">
          <a:extLst>
            <a:ext uri="{FF2B5EF4-FFF2-40B4-BE49-F238E27FC236}">
              <a16:creationId xmlns:a16="http://schemas.microsoft.com/office/drawing/2014/main" id="{00000000-0008-0000-0300-0000C06F1200}"/>
            </a:ext>
          </a:extLst>
        </xdr:cNvPr>
        <xdr:cNvGrpSpPr>
          <a:grpSpLocks/>
        </xdr:cNvGrpSpPr>
      </xdr:nvGrpSpPr>
      <xdr:grpSpPr bwMode="auto">
        <a:xfrm>
          <a:off x="6766560" y="1305560"/>
          <a:ext cx="0" cy="391160"/>
          <a:chOff x="632" y="220"/>
          <a:chExt cx="195" cy="136"/>
        </a:xfrm>
      </xdr:grpSpPr>
      <xdr:sp macro="" textlink="">
        <xdr:nvSpPr>
          <xdr:cNvPr id="1213277" name="Rectangle 178">
            <a:extLst>
              <a:ext uri="{FF2B5EF4-FFF2-40B4-BE49-F238E27FC236}">
                <a16:creationId xmlns:a16="http://schemas.microsoft.com/office/drawing/2014/main" id="{00000000-0008-0000-0300-00005D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78" name="Rectangle 179">
            <a:extLst>
              <a:ext uri="{FF2B5EF4-FFF2-40B4-BE49-F238E27FC236}">
                <a16:creationId xmlns:a16="http://schemas.microsoft.com/office/drawing/2014/main" id="{00000000-0008-0000-0300-00005E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79" name="Rectangle 180">
            <a:extLst>
              <a:ext uri="{FF2B5EF4-FFF2-40B4-BE49-F238E27FC236}">
                <a16:creationId xmlns:a16="http://schemas.microsoft.com/office/drawing/2014/main" id="{00000000-0008-0000-0300-00005F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80" name="Rectangle 181">
            <a:extLst>
              <a:ext uri="{FF2B5EF4-FFF2-40B4-BE49-F238E27FC236}">
                <a16:creationId xmlns:a16="http://schemas.microsoft.com/office/drawing/2014/main" id="{00000000-0008-0000-0300-000060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81" name="Line 182">
            <a:extLst>
              <a:ext uri="{FF2B5EF4-FFF2-40B4-BE49-F238E27FC236}">
                <a16:creationId xmlns:a16="http://schemas.microsoft.com/office/drawing/2014/main" id="{00000000-0008-0000-0300-000061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82" name="Line 183">
            <a:extLst>
              <a:ext uri="{FF2B5EF4-FFF2-40B4-BE49-F238E27FC236}">
                <a16:creationId xmlns:a16="http://schemas.microsoft.com/office/drawing/2014/main" id="{00000000-0008-0000-0300-000062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83" name="Line 184">
            <a:extLst>
              <a:ext uri="{FF2B5EF4-FFF2-40B4-BE49-F238E27FC236}">
                <a16:creationId xmlns:a16="http://schemas.microsoft.com/office/drawing/2014/main" id="{00000000-0008-0000-0300-000063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57" name="Group 185">
          <a:extLst>
            <a:ext uri="{FF2B5EF4-FFF2-40B4-BE49-F238E27FC236}">
              <a16:creationId xmlns:a16="http://schemas.microsoft.com/office/drawing/2014/main" id="{00000000-0008-0000-0300-0000C16F1200}"/>
            </a:ext>
          </a:extLst>
        </xdr:cNvPr>
        <xdr:cNvGrpSpPr>
          <a:grpSpLocks/>
        </xdr:cNvGrpSpPr>
      </xdr:nvGrpSpPr>
      <xdr:grpSpPr bwMode="auto">
        <a:xfrm>
          <a:off x="6766560" y="1305560"/>
          <a:ext cx="0" cy="391160"/>
          <a:chOff x="632" y="220"/>
          <a:chExt cx="195" cy="136"/>
        </a:xfrm>
      </xdr:grpSpPr>
      <xdr:sp macro="" textlink="">
        <xdr:nvSpPr>
          <xdr:cNvPr id="1213270" name="Rectangle 186">
            <a:extLst>
              <a:ext uri="{FF2B5EF4-FFF2-40B4-BE49-F238E27FC236}">
                <a16:creationId xmlns:a16="http://schemas.microsoft.com/office/drawing/2014/main" id="{00000000-0008-0000-0300-000056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71" name="Rectangle 187">
            <a:extLst>
              <a:ext uri="{FF2B5EF4-FFF2-40B4-BE49-F238E27FC236}">
                <a16:creationId xmlns:a16="http://schemas.microsoft.com/office/drawing/2014/main" id="{00000000-0008-0000-0300-000057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72" name="Rectangle 188">
            <a:extLst>
              <a:ext uri="{FF2B5EF4-FFF2-40B4-BE49-F238E27FC236}">
                <a16:creationId xmlns:a16="http://schemas.microsoft.com/office/drawing/2014/main" id="{00000000-0008-0000-0300-000058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73" name="Rectangle 189">
            <a:extLst>
              <a:ext uri="{FF2B5EF4-FFF2-40B4-BE49-F238E27FC236}">
                <a16:creationId xmlns:a16="http://schemas.microsoft.com/office/drawing/2014/main" id="{00000000-0008-0000-0300-000059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74" name="Line 190">
            <a:extLst>
              <a:ext uri="{FF2B5EF4-FFF2-40B4-BE49-F238E27FC236}">
                <a16:creationId xmlns:a16="http://schemas.microsoft.com/office/drawing/2014/main" id="{00000000-0008-0000-0300-00005A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75" name="Line 191">
            <a:extLst>
              <a:ext uri="{FF2B5EF4-FFF2-40B4-BE49-F238E27FC236}">
                <a16:creationId xmlns:a16="http://schemas.microsoft.com/office/drawing/2014/main" id="{00000000-0008-0000-0300-00005B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76" name="Line 192">
            <a:extLst>
              <a:ext uri="{FF2B5EF4-FFF2-40B4-BE49-F238E27FC236}">
                <a16:creationId xmlns:a16="http://schemas.microsoft.com/office/drawing/2014/main" id="{00000000-0008-0000-0300-00005C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58" name="Group 193">
          <a:extLst>
            <a:ext uri="{FF2B5EF4-FFF2-40B4-BE49-F238E27FC236}">
              <a16:creationId xmlns:a16="http://schemas.microsoft.com/office/drawing/2014/main" id="{00000000-0008-0000-0300-0000C26F1200}"/>
            </a:ext>
          </a:extLst>
        </xdr:cNvPr>
        <xdr:cNvGrpSpPr>
          <a:grpSpLocks/>
        </xdr:cNvGrpSpPr>
      </xdr:nvGrpSpPr>
      <xdr:grpSpPr bwMode="auto">
        <a:xfrm>
          <a:off x="6766560" y="1305560"/>
          <a:ext cx="0" cy="391160"/>
          <a:chOff x="632" y="220"/>
          <a:chExt cx="195" cy="136"/>
        </a:xfrm>
      </xdr:grpSpPr>
      <xdr:sp macro="" textlink="">
        <xdr:nvSpPr>
          <xdr:cNvPr id="1213263" name="Rectangle 194">
            <a:extLst>
              <a:ext uri="{FF2B5EF4-FFF2-40B4-BE49-F238E27FC236}">
                <a16:creationId xmlns:a16="http://schemas.microsoft.com/office/drawing/2014/main" id="{00000000-0008-0000-0300-00004F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64" name="Rectangle 195">
            <a:extLst>
              <a:ext uri="{FF2B5EF4-FFF2-40B4-BE49-F238E27FC236}">
                <a16:creationId xmlns:a16="http://schemas.microsoft.com/office/drawing/2014/main" id="{00000000-0008-0000-0300-000050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65" name="Rectangle 196">
            <a:extLst>
              <a:ext uri="{FF2B5EF4-FFF2-40B4-BE49-F238E27FC236}">
                <a16:creationId xmlns:a16="http://schemas.microsoft.com/office/drawing/2014/main" id="{00000000-0008-0000-0300-000051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66" name="Rectangle 197">
            <a:extLst>
              <a:ext uri="{FF2B5EF4-FFF2-40B4-BE49-F238E27FC236}">
                <a16:creationId xmlns:a16="http://schemas.microsoft.com/office/drawing/2014/main" id="{00000000-0008-0000-0300-000052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67" name="Line 198">
            <a:extLst>
              <a:ext uri="{FF2B5EF4-FFF2-40B4-BE49-F238E27FC236}">
                <a16:creationId xmlns:a16="http://schemas.microsoft.com/office/drawing/2014/main" id="{00000000-0008-0000-0300-000053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68" name="Line 199">
            <a:extLst>
              <a:ext uri="{FF2B5EF4-FFF2-40B4-BE49-F238E27FC236}">
                <a16:creationId xmlns:a16="http://schemas.microsoft.com/office/drawing/2014/main" id="{00000000-0008-0000-0300-000054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69" name="Line 200">
            <a:extLst>
              <a:ext uri="{FF2B5EF4-FFF2-40B4-BE49-F238E27FC236}">
                <a16:creationId xmlns:a16="http://schemas.microsoft.com/office/drawing/2014/main" id="{00000000-0008-0000-0300-000055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59" name="Group 201">
          <a:extLst>
            <a:ext uri="{FF2B5EF4-FFF2-40B4-BE49-F238E27FC236}">
              <a16:creationId xmlns:a16="http://schemas.microsoft.com/office/drawing/2014/main" id="{00000000-0008-0000-0300-0000C36F1200}"/>
            </a:ext>
          </a:extLst>
        </xdr:cNvPr>
        <xdr:cNvGrpSpPr>
          <a:grpSpLocks/>
        </xdr:cNvGrpSpPr>
      </xdr:nvGrpSpPr>
      <xdr:grpSpPr bwMode="auto">
        <a:xfrm>
          <a:off x="6766560" y="1305560"/>
          <a:ext cx="0" cy="391160"/>
          <a:chOff x="632" y="220"/>
          <a:chExt cx="195" cy="136"/>
        </a:xfrm>
      </xdr:grpSpPr>
      <xdr:sp macro="" textlink="">
        <xdr:nvSpPr>
          <xdr:cNvPr id="1213256" name="Rectangle 202">
            <a:extLst>
              <a:ext uri="{FF2B5EF4-FFF2-40B4-BE49-F238E27FC236}">
                <a16:creationId xmlns:a16="http://schemas.microsoft.com/office/drawing/2014/main" id="{00000000-0008-0000-0300-000048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57" name="Rectangle 203">
            <a:extLst>
              <a:ext uri="{FF2B5EF4-FFF2-40B4-BE49-F238E27FC236}">
                <a16:creationId xmlns:a16="http://schemas.microsoft.com/office/drawing/2014/main" id="{00000000-0008-0000-0300-000049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58" name="Rectangle 204">
            <a:extLst>
              <a:ext uri="{FF2B5EF4-FFF2-40B4-BE49-F238E27FC236}">
                <a16:creationId xmlns:a16="http://schemas.microsoft.com/office/drawing/2014/main" id="{00000000-0008-0000-0300-00004A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59" name="Rectangle 205">
            <a:extLst>
              <a:ext uri="{FF2B5EF4-FFF2-40B4-BE49-F238E27FC236}">
                <a16:creationId xmlns:a16="http://schemas.microsoft.com/office/drawing/2014/main" id="{00000000-0008-0000-0300-00004B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60" name="Line 206">
            <a:extLst>
              <a:ext uri="{FF2B5EF4-FFF2-40B4-BE49-F238E27FC236}">
                <a16:creationId xmlns:a16="http://schemas.microsoft.com/office/drawing/2014/main" id="{00000000-0008-0000-0300-00004C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61" name="Line 207">
            <a:extLst>
              <a:ext uri="{FF2B5EF4-FFF2-40B4-BE49-F238E27FC236}">
                <a16:creationId xmlns:a16="http://schemas.microsoft.com/office/drawing/2014/main" id="{00000000-0008-0000-0300-00004D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62" name="Line 208">
            <a:extLst>
              <a:ext uri="{FF2B5EF4-FFF2-40B4-BE49-F238E27FC236}">
                <a16:creationId xmlns:a16="http://schemas.microsoft.com/office/drawing/2014/main" id="{00000000-0008-0000-0300-00004E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60" name="Group 209">
          <a:extLst>
            <a:ext uri="{FF2B5EF4-FFF2-40B4-BE49-F238E27FC236}">
              <a16:creationId xmlns:a16="http://schemas.microsoft.com/office/drawing/2014/main" id="{00000000-0008-0000-0300-0000C46F1200}"/>
            </a:ext>
          </a:extLst>
        </xdr:cNvPr>
        <xdr:cNvGrpSpPr>
          <a:grpSpLocks/>
        </xdr:cNvGrpSpPr>
      </xdr:nvGrpSpPr>
      <xdr:grpSpPr bwMode="auto">
        <a:xfrm>
          <a:off x="6766560" y="1305560"/>
          <a:ext cx="0" cy="391160"/>
          <a:chOff x="632" y="220"/>
          <a:chExt cx="195" cy="136"/>
        </a:xfrm>
      </xdr:grpSpPr>
      <xdr:sp macro="" textlink="">
        <xdr:nvSpPr>
          <xdr:cNvPr id="1213249" name="Rectangle 210">
            <a:extLst>
              <a:ext uri="{FF2B5EF4-FFF2-40B4-BE49-F238E27FC236}">
                <a16:creationId xmlns:a16="http://schemas.microsoft.com/office/drawing/2014/main" id="{00000000-0008-0000-0300-000041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50" name="Rectangle 211">
            <a:extLst>
              <a:ext uri="{FF2B5EF4-FFF2-40B4-BE49-F238E27FC236}">
                <a16:creationId xmlns:a16="http://schemas.microsoft.com/office/drawing/2014/main" id="{00000000-0008-0000-0300-000042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51" name="Rectangle 212">
            <a:extLst>
              <a:ext uri="{FF2B5EF4-FFF2-40B4-BE49-F238E27FC236}">
                <a16:creationId xmlns:a16="http://schemas.microsoft.com/office/drawing/2014/main" id="{00000000-0008-0000-0300-000043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52" name="Rectangle 213">
            <a:extLst>
              <a:ext uri="{FF2B5EF4-FFF2-40B4-BE49-F238E27FC236}">
                <a16:creationId xmlns:a16="http://schemas.microsoft.com/office/drawing/2014/main" id="{00000000-0008-0000-0300-000044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53" name="Line 214">
            <a:extLst>
              <a:ext uri="{FF2B5EF4-FFF2-40B4-BE49-F238E27FC236}">
                <a16:creationId xmlns:a16="http://schemas.microsoft.com/office/drawing/2014/main" id="{00000000-0008-0000-0300-000045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54" name="Line 215">
            <a:extLst>
              <a:ext uri="{FF2B5EF4-FFF2-40B4-BE49-F238E27FC236}">
                <a16:creationId xmlns:a16="http://schemas.microsoft.com/office/drawing/2014/main" id="{00000000-0008-0000-0300-000046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55" name="Line 216">
            <a:extLst>
              <a:ext uri="{FF2B5EF4-FFF2-40B4-BE49-F238E27FC236}">
                <a16:creationId xmlns:a16="http://schemas.microsoft.com/office/drawing/2014/main" id="{00000000-0008-0000-0300-000047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61" name="Group 217">
          <a:extLst>
            <a:ext uri="{FF2B5EF4-FFF2-40B4-BE49-F238E27FC236}">
              <a16:creationId xmlns:a16="http://schemas.microsoft.com/office/drawing/2014/main" id="{00000000-0008-0000-0300-0000C56F1200}"/>
            </a:ext>
          </a:extLst>
        </xdr:cNvPr>
        <xdr:cNvGrpSpPr>
          <a:grpSpLocks/>
        </xdr:cNvGrpSpPr>
      </xdr:nvGrpSpPr>
      <xdr:grpSpPr bwMode="auto">
        <a:xfrm>
          <a:off x="6766560" y="1305560"/>
          <a:ext cx="0" cy="391160"/>
          <a:chOff x="632" y="220"/>
          <a:chExt cx="195" cy="136"/>
        </a:xfrm>
      </xdr:grpSpPr>
      <xdr:sp macro="" textlink="">
        <xdr:nvSpPr>
          <xdr:cNvPr id="1213242" name="Rectangle 218">
            <a:extLst>
              <a:ext uri="{FF2B5EF4-FFF2-40B4-BE49-F238E27FC236}">
                <a16:creationId xmlns:a16="http://schemas.microsoft.com/office/drawing/2014/main" id="{00000000-0008-0000-0300-00003A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43" name="Rectangle 219">
            <a:extLst>
              <a:ext uri="{FF2B5EF4-FFF2-40B4-BE49-F238E27FC236}">
                <a16:creationId xmlns:a16="http://schemas.microsoft.com/office/drawing/2014/main" id="{00000000-0008-0000-0300-00003B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44" name="Rectangle 220">
            <a:extLst>
              <a:ext uri="{FF2B5EF4-FFF2-40B4-BE49-F238E27FC236}">
                <a16:creationId xmlns:a16="http://schemas.microsoft.com/office/drawing/2014/main" id="{00000000-0008-0000-0300-00003C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45" name="Rectangle 221">
            <a:extLst>
              <a:ext uri="{FF2B5EF4-FFF2-40B4-BE49-F238E27FC236}">
                <a16:creationId xmlns:a16="http://schemas.microsoft.com/office/drawing/2014/main" id="{00000000-0008-0000-0300-00003D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46" name="Line 222">
            <a:extLst>
              <a:ext uri="{FF2B5EF4-FFF2-40B4-BE49-F238E27FC236}">
                <a16:creationId xmlns:a16="http://schemas.microsoft.com/office/drawing/2014/main" id="{00000000-0008-0000-0300-00003E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47" name="Line 223">
            <a:extLst>
              <a:ext uri="{FF2B5EF4-FFF2-40B4-BE49-F238E27FC236}">
                <a16:creationId xmlns:a16="http://schemas.microsoft.com/office/drawing/2014/main" id="{00000000-0008-0000-0300-00003F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48" name="Line 224">
            <a:extLst>
              <a:ext uri="{FF2B5EF4-FFF2-40B4-BE49-F238E27FC236}">
                <a16:creationId xmlns:a16="http://schemas.microsoft.com/office/drawing/2014/main" id="{00000000-0008-0000-0300-000040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62" name="Group 225">
          <a:extLst>
            <a:ext uri="{FF2B5EF4-FFF2-40B4-BE49-F238E27FC236}">
              <a16:creationId xmlns:a16="http://schemas.microsoft.com/office/drawing/2014/main" id="{00000000-0008-0000-0300-0000C66F1200}"/>
            </a:ext>
          </a:extLst>
        </xdr:cNvPr>
        <xdr:cNvGrpSpPr>
          <a:grpSpLocks/>
        </xdr:cNvGrpSpPr>
      </xdr:nvGrpSpPr>
      <xdr:grpSpPr bwMode="auto">
        <a:xfrm>
          <a:off x="6766560" y="1305560"/>
          <a:ext cx="0" cy="391160"/>
          <a:chOff x="632" y="220"/>
          <a:chExt cx="195" cy="136"/>
        </a:xfrm>
      </xdr:grpSpPr>
      <xdr:sp macro="" textlink="">
        <xdr:nvSpPr>
          <xdr:cNvPr id="1213235" name="Rectangle 226">
            <a:extLst>
              <a:ext uri="{FF2B5EF4-FFF2-40B4-BE49-F238E27FC236}">
                <a16:creationId xmlns:a16="http://schemas.microsoft.com/office/drawing/2014/main" id="{00000000-0008-0000-0300-000033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36" name="Rectangle 227">
            <a:extLst>
              <a:ext uri="{FF2B5EF4-FFF2-40B4-BE49-F238E27FC236}">
                <a16:creationId xmlns:a16="http://schemas.microsoft.com/office/drawing/2014/main" id="{00000000-0008-0000-0300-000034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37" name="Rectangle 228">
            <a:extLst>
              <a:ext uri="{FF2B5EF4-FFF2-40B4-BE49-F238E27FC236}">
                <a16:creationId xmlns:a16="http://schemas.microsoft.com/office/drawing/2014/main" id="{00000000-0008-0000-0300-000035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38" name="Rectangle 229">
            <a:extLst>
              <a:ext uri="{FF2B5EF4-FFF2-40B4-BE49-F238E27FC236}">
                <a16:creationId xmlns:a16="http://schemas.microsoft.com/office/drawing/2014/main" id="{00000000-0008-0000-0300-000036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39" name="Line 230">
            <a:extLst>
              <a:ext uri="{FF2B5EF4-FFF2-40B4-BE49-F238E27FC236}">
                <a16:creationId xmlns:a16="http://schemas.microsoft.com/office/drawing/2014/main" id="{00000000-0008-0000-0300-000037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40" name="Line 231">
            <a:extLst>
              <a:ext uri="{FF2B5EF4-FFF2-40B4-BE49-F238E27FC236}">
                <a16:creationId xmlns:a16="http://schemas.microsoft.com/office/drawing/2014/main" id="{00000000-0008-0000-0300-000038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41" name="Line 232">
            <a:extLst>
              <a:ext uri="{FF2B5EF4-FFF2-40B4-BE49-F238E27FC236}">
                <a16:creationId xmlns:a16="http://schemas.microsoft.com/office/drawing/2014/main" id="{00000000-0008-0000-0300-000039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63" name="Group 233">
          <a:extLst>
            <a:ext uri="{FF2B5EF4-FFF2-40B4-BE49-F238E27FC236}">
              <a16:creationId xmlns:a16="http://schemas.microsoft.com/office/drawing/2014/main" id="{00000000-0008-0000-0300-0000C76F1200}"/>
            </a:ext>
          </a:extLst>
        </xdr:cNvPr>
        <xdr:cNvGrpSpPr>
          <a:grpSpLocks/>
        </xdr:cNvGrpSpPr>
      </xdr:nvGrpSpPr>
      <xdr:grpSpPr bwMode="auto">
        <a:xfrm>
          <a:off x="6766560" y="1305560"/>
          <a:ext cx="0" cy="391160"/>
          <a:chOff x="632" y="220"/>
          <a:chExt cx="195" cy="136"/>
        </a:xfrm>
      </xdr:grpSpPr>
      <xdr:sp macro="" textlink="">
        <xdr:nvSpPr>
          <xdr:cNvPr id="1213228" name="Rectangle 234">
            <a:extLst>
              <a:ext uri="{FF2B5EF4-FFF2-40B4-BE49-F238E27FC236}">
                <a16:creationId xmlns:a16="http://schemas.microsoft.com/office/drawing/2014/main" id="{00000000-0008-0000-0300-00002C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29" name="Rectangle 235">
            <a:extLst>
              <a:ext uri="{FF2B5EF4-FFF2-40B4-BE49-F238E27FC236}">
                <a16:creationId xmlns:a16="http://schemas.microsoft.com/office/drawing/2014/main" id="{00000000-0008-0000-0300-00002D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30" name="Rectangle 236">
            <a:extLst>
              <a:ext uri="{FF2B5EF4-FFF2-40B4-BE49-F238E27FC236}">
                <a16:creationId xmlns:a16="http://schemas.microsoft.com/office/drawing/2014/main" id="{00000000-0008-0000-0300-00002E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31" name="Rectangle 237">
            <a:extLst>
              <a:ext uri="{FF2B5EF4-FFF2-40B4-BE49-F238E27FC236}">
                <a16:creationId xmlns:a16="http://schemas.microsoft.com/office/drawing/2014/main" id="{00000000-0008-0000-0300-00002F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32" name="Line 238">
            <a:extLst>
              <a:ext uri="{FF2B5EF4-FFF2-40B4-BE49-F238E27FC236}">
                <a16:creationId xmlns:a16="http://schemas.microsoft.com/office/drawing/2014/main" id="{00000000-0008-0000-0300-000030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33" name="Line 239">
            <a:extLst>
              <a:ext uri="{FF2B5EF4-FFF2-40B4-BE49-F238E27FC236}">
                <a16:creationId xmlns:a16="http://schemas.microsoft.com/office/drawing/2014/main" id="{00000000-0008-0000-0300-000031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34" name="Line 240">
            <a:extLst>
              <a:ext uri="{FF2B5EF4-FFF2-40B4-BE49-F238E27FC236}">
                <a16:creationId xmlns:a16="http://schemas.microsoft.com/office/drawing/2014/main" id="{00000000-0008-0000-0300-000032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64" name="Group 241">
          <a:extLst>
            <a:ext uri="{FF2B5EF4-FFF2-40B4-BE49-F238E27FC236}">
              <a16:creationId xmlns:a16="http://schemas.microsoft.com/office/drawing/2014/main" id="{00000000-0008-0000-0300-0000C86F1200}"/>
            </a:ext>
          </a:extLst>
        </xdr:cNvPr>
        <xdr:cNvGrpSpPr>
          <a:grpSpLocks/>
        </xdr:cNvGrpSpPr>
      </xdr:nvGrpSpPr>
      <xdr:grpSpPr bwMode="auto">
        <a:xfrm>
          <a:off x="6766560" y="1305560"/>
          <a:ext cx="0" cy="391160"/>
          <a:chOff x="632" y="220"/>
          <a:chExt cx="195" cy="136"/>
        </a:xfrm>
      </xdr:grpSpPr>
      <xdr:sp macro="" textlink="">
        <xdr:nvSpPr>
          <xdr:cNvPr id="1213221" name="Rectangle 242">
            <a:extLst>
              <a:ext uri="{FF2B5EF4-FFF2-40B4-BE49-F238E27FC236}">
                <a16:creationId xmlns:a16="http://schemas.microsoft.com/office/drawing/2014/main" id="{00000000-0008-0000-0300-000025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22" name="Rectangle 243">
            <a:extLst>
              <a:ext uri="{FF2B5EF4-FFF2-40B4-BE49-F238E27FC236}">
                <a16:creationId xmlns:a16="http://schemas.microsoft.com/office/drawing/2014/main" id="{00000000-0008-0000-0300-000026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23" name="Rectangle 244">
            <a:extLst>
              <a:ext uri="{FF2B5EF4-FFF2-40B4-BE49-F238E27FC236}">
                <a16:creationId xmlns:a16="http://schemas.microsoft.com/office/drawing/2014/main" id="{00000000-0008-0000-0300-000027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24" name="Rectangle 245">
            <a:extLst>
              <a:ext uri="{FF2B5EF4-FFF2-40B4-BE49-F238E27FC236}">
                <a16:creationId xmlns:a16="http://schemas.microsoft.com/office/drawing/2014/main" id="{00000000-0008-0000-0300-000028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25" name="Line 246">
            <a:extLst>
              <a:ext uri="{FF2B5EF4-FFF2-40B4-BE49-F238E27FC236}">
                <a16:creationId xmlns:a16="http://schemas.microsoft.com/office/drawing/2014/main" id="{00000000-0008-0000-0300-000029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26" name="Line 247">
            <a:extLst>
              <a:ext uri="{FF2B5EF4-FFF2-40B4-BE49-F238E27FC236}">
                <a16:creationId xmlns:a16="http://schemas.microsoft.com/office/drawing/2014/main" id="{00000000-0008-0000-0300-00002A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27" name="Line 248">
            <a:extLst>
              <a:ext uri="{FF2B5EF4-FFF2-40B4-BE49-F238E27FC236}">
                <a16:creationId xmlns:a16="http://schemas.microsoft.com/office/drawing/2014/main" id="{00000000-0008-0000-0300-00002B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65" name="Group 249">
          <a:extLst>
            <a:ext uri="{FF2B5EF4-FFF2-40B4-BE49-F238E27FC236}">
              <a16:creationId xmlns:a16="http://schemas.microsoft.com/office/drawing/2014/main" id="{00000000-0008-0000-0300-0000C96F1200}"/>
            </a:ext>
          </a:extLst>
        </xdr:cNvPr>
        <xdr:cNvGrpSpPr>
          <a:grpSpLocks/>
        </xdr:cNvGrpSpPr>
      </xdr:nvGrpSpPr>
      <xdr:grpSpPr bwMode="auto">
        <a:xfrm>
          <a:off x="6766560" y="1305560"/>
          <a:ext cx="0" cy="391160"/>
          <a:chOff x="632" y="220"/>
          <a:chExt cx="195" cy="136"/>
        </a:xfrm>
      </xdr:grpSpPr>
      <xdr:sp macro="" textlink="">
        <xdr:nvSpPr>
          <xdr:cNvPr id="1213214" name="Rectangle 250">
            <a:extLst>
              <a:ext uri="{FF2B5EF4-FFF2-40B4-BE49-F238E27FC236}">
                <a16:creationId xmlns:a16="http://schemas.microsoft.com/office/drawing/2014/main" id="{00000000-0008-0000-0300-00001E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15" name="Rectangle 251">
            <a:extLst>
              <a:ext uri="{FF2B5EF4-FFF2-40B4-BE49-F238E27FC236}">
                <a16:creationId xmlns:a16="http://schemas.microsoft.com/office/drawing/2014/main" id="{00000000-0008-0000-0300-00001F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16" name="Rectangle 252">
            <a:extLst>
              <a:ext uri="{FF2B5EF4-FFF2-40B4-BE49-F238E27FC236}">
                <a16:creationId xmlns:a16="http://schemas.microsoft.com/office/drawing/2014/main" id="{00000000-0008-0000-0300-000020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17" name="Rectangle 253">
            <a:extLst>
              <a:ext uri="{FF2B5EF4-FFF2-40B4-BE49-F238E27FC236}">
                <a16:creationId xmlns:a16="http://schemas.microsoft.com/office/drawing/2014/main" id="{00000000-0008-0000-0300-000021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18" name="Line 254">
            <a:extLst>
              <a:ext uri="{FF2B5EF4-FFF2-40B4-BE49-F238E27FC236}">
                <a16:creationId xmlns:a16="http://schemas.microsoft.com/office/drawing/2014/main" id="{00000000-0008-0000-0300-000022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19" name="Line 255">
            <a:extLst>
              <a:ext uri="{FF2B5EF4-FFF2-40B4-BE49-F238E27FC236}">
                <a16:creationId xmlns:a16="http://schemas.microsoft.com/office/drawing/2014/main" id="{00000000-0008-0000-0300-000023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20" name="Line 256">
            <a:extLst>
              <a:ext uri="{FF2B5EF4-FFF2-40B4-BE49-F238E27FC236}">
                <a16:creationId xmlns:a16="http://schemas.microsoft.com/office/drawing/2014/main" id="{00000000-0008-0000-0300-000024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66" name="Group 257">
          <a:extLst>
            <a:ext uri="{FF2B5EF4-FFF2-40B4-BE49-F238E27FC236}">
              <a16:creationId xmlns:a16="http://schemas.microsoft.com/office/drawing/2014/main" id="{00000000-0008-0000-0300-0000CA6F1200}"/>
            </a:ext>
          </a:extLst>
        </xdr:cNvPr>
        <xdr:cNvGrpSpPr>
          <a:grpSpLocks/>
        </xdr:cNvGrpSpPr>
      </xdr:nvGrpSpPr>
      <xdr:grpSpPr bwMode="auto">
        <a:xfrm>
          <a:off x="6766560" y="1305560"/>
          <a:ext cx="0" cy="391160"/>
          <a:chOff x="632" y="220"/>
          <a:chExt cx="195" cy="136"/>
        </a:xfrm>
      </xdr:grpSpPr>
      <xdr:sp macro="" textlink="">
        <xdr:nvSpPr>
          <xdr:cNvPr id="1213207" name="Rectangle 258">
            <a:extLst>
              <a:ext uri="{FF2B5EF4-FFF2-40B4-BE49-F238E27FC236}">
                <a16:creationId xmlns:a16="http://schemas.microsoft.com/office/drawing/2014/main" id="{00000000-0008-0000-0300-000017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08" name="Rectangle 259">
            <a:extLst>
              <a:ext uri="{FF2B5EF4-FFF2-40B4-BE49-F238E27FC236}">
                <a16:creationId xmlns:a16="http://schemas.microsoft.com/office/drawing/2014/main" id="{00000000-0008-0000-0300-000018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09" name="Rectangle 260">
            <a:extLst>
              <a:ext uri="{FF2B5EF4-FFF2-40B4-BE49-F238E27FC236}">
                <a16:creationId xmlns:a16="http://schemas.microsoft.com/office/drawing/2014/main" id="{00000000-0008-0000-0300-000019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10" name="Rectangle 261">
            <a:extLst>
              <a:ext uri="{FF2B5EF4-FFF2-40B4-BE49-F238E27FC236}">
                <a16:creationId xmlns:a16="http://schemas.microsoft.com/office/drawing/2014/main" id="{00000000-0008-0000-0300-00001A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11" name="Line 262">
            <a:extLst>
              <a:ext uri="{FF2B5EF4-FFF2-40B4-BE49-F238E27FC236}">
                <a16:creationId xmlns:a16="http://schemas.microsoft.com/office/drawing/2014/main" id="{00000000-0008-0000-0300-00001B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12" name="Line 263">
            <a:extLst>
              <a:ext uri="{FF2B5EF4-FFF2-40B4-BE49-F238E27FC236}">
                <a16:creationId xmlns:a16="http://schemas.microsoft.com/office/drawing/2014/main" id="{00000000-0008-0000-0300-00001C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13" name="Line 264">
            <a:extLst>
              <a:ext uri="{FF2B5EF4-FFF2-40B4-BE49-F238E27FC236}">
                <a16:creationId xmlns:a16="http://schemas.microsoft.com/office/drawing/2014/main" id="{00000000-0008-0000-0300-00001D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67" name="Group 265">
          <a:extLst>
            <a:ext uri="{FF2B5EF4-FFF2-40B4-BE49-F238E27FC236}">
              <a16:creationId xmlns:a16="http://schemas.microsoft.com/office/drawing/2014/main" id="{00000000-0008-0000-0300-0000CB6F1200}"/>
            </a:ext>
          </a:extLst>
        </xdr:cNvPr>
        <xdr:cNvGrpSpPr>
          <a:grpSpLocks/>
        </xdr:cNvGrpSpPr>
      </xdr:nvGrpSpPr>
      <xdr:grpSpPr bwMode="auto">
        <a:xfrm>
          <a:off x="6766560" y="1305560"/>
          <a:ext cx="0" cy="391160"/>
          <a:chOff x="632" y="220"/>
          <a:chExt cx="195" cy="136"/>
        </a:xfrm>
      </xdr:grpSpPr>
      <xdr:sp macro="" textlink="">
        <xdr:nvSpPr>
          <xdr:cNvPr id="1213200" name="Rectangle 266">
            <a:extLst>
              <a:ext uri="{FF2B5EF4-FFF2-40B4-BE49-F238E27FC236}">
                <a16:creationId xmlns:a16="http://schemas.microsoft.com/office/drawing/2014/main" id="{00000000-0008-0000-0300-000010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01" name="Rectangle 267">
            <a:extLst>
              <a:ext uri="{FF2B5EF4-FFF2-40B4-BE49-F238E27FC236}">
                <a16:creationId xmlns:a16="http://schemas.microsoft.com/office/drawing/2014/main" id="{00000000-0008-0000-0300-000011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02" name="Rectangle 268">
            <a:extLst>
              <a:ext uri="{FF2B5EF4-FFF2-40B4-BE49-F238E27FC236}">
                <a16:creationId xmlns:a16="http://schemas.microsoft.com/office/drawing/2014/main" id="{00000000-0008-0000-0300-000012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03" name="Rectangle 269">
            <a:extLst>
              <a:ext uri="{FF2B5EF4-FFF2-40B4-BE49-F238E27FC236}">
                <a16:creationId xmlns:a16="http://schemas.microsoft.com/office/drawing/2014/main" id="{00000000-0008-0000-0300-000013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04" name="Line 270">
            <a:extLst>
              <a:ext uri="{FF2B5EF4-FFF2-40B4-BE49-F238E27FC236}">
                <a16:creationId xmlns:a16="http://schemas.microsoft.com/office/drawing/2014/main" id="{00000000-0008-0000-0300-000014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05" name="Line 271">
            <a:extLst>
              <a:ext uri="{FF2B5EF4-FFF2-40B4-BE49-F238E27FC236}">
                <a16:creationId xmlns:a16="http://schemas.microsoft.com/office/drawing/2014/main" id="{00000000-0008-0000-0300-000015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06" name="Line 272">
            <a:extLst>
              <a:ext uri="{FF2B5EF4-FFF2-40B4-BE49-F238E27FC236}">
                <a16:creationId xmlns:a16="http://schemas.microsoft.com/office/drawing/2014/main" id="{00000000-0008-0000-0300-000016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68" name="Group 273">
          <a:extLst>
            <a:ext uri="{FF2B5EF4-FFF2-40B4-BE49-F238E27FC236}">
              <a16:creationId xmlns:a16="http://schemas.microsoft.com/office/drawing/2014/main" id="{00000000-0008-0000-0300-0000CC6F1200}"/>
            </a:ext>
          </a:extLst>
        </xdr:cNvPr>
        <xdr:cNvGrpSpPr>
          <a:grpSpLocks/>
        </xdr:cNvGrpSpPr>
      </xdr:nvGrpSpPr>
      <xdr:grpSpPr bwMode="auto">
        <a:xfrm>
          <a:off x="6766560" y="1305560"/>
          <a:ext cx="0" cy="391160"/>
          <a:chOff x="632" y="220"/>
          <a:chExt cx="195" cy="136"/>
        </a:xfrm>
      </xdr:grpSpPr>
      <xdr:sp macro="" textlink="">
        <xdr:nvSpPr>
          <xdr:cNvPr id="1213193" name="Rectangle 274">
            <a:extLst>
              <a:ext uri="{FF2B5EF4-FFF2-40B4-BE49-F238E27FC236}">
                <a16:creationId xmlns:a16="http://schemas.microsoft.com/office/drawing/2014/main" id="{00000000-0008-0000-0300-000009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94" name="Rectangle 275">
            <a:extLst>
              <a:ext uri="{FF2B5EF4-FFF2-40B4-BE49-F238E27FC236}">
                <a16:creationId xmlns:a16="http://schemas.microsoft.com/office/drawing/2014/main" id="{00000000-0008-0000-0300-00000A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95" name="Rectangle 276">
            <a:extLst>
              <a:ext uri="{FF2B5EF4-FFF2-40B4-BE49-F238E27FC236}">
                <a16:creationId xmlns:a16="http://schemas.microsoft.com/office/drawing/2014/main" id="{00000000-0008-0000-0300-00000B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96" name="Rectangle 277">
            <a:extLst>
              <a:ext uri="{FF2B5EF4-FFF2-40B4-BE49-F238E27FC236}">
                <a16:creationId xmlns:a16="http://schemas.microsoft.com/office/drawing/2014/main" id="{00000000-0008-0000-0300-00000C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97" name="Line 278">
            <a:extLst>
              <a:ext uri="{FF2B5EF4-FFF2-40B4-BE49-F238E27FC236}">
                <a16:creationId xmlns:a16="http://schemas.microsoft.com/office/drawing/2014/main" id="{00000000-0008-0000-0300-00000D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98" name="Line 279">
            <a:extLst>
              <a:ext uri="{FF2B5EF4-FFF2-40B4-BE49-F238E27FC236}">
                <a16:creationId xmlns:a16="http://schemas.microsoft.com/office/drawing/2014/main" id="{00000000-0008-0000-0300-00000E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99" name="Line 280">
            <a:extLst>
              <a:ext uri="{FF2B5EF4-FFF2-40B4-BE49-F238E27FC236}">
                <a16:creationId xmlns:a16="http://schemas.microsoft.com/office/drawing/2014/main" id="{00000000-0008-0000-0300-00000F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69" name="Group 281">
          <a:extLst>
            <a:ext uri="{FF2B5EF4-FFF2-40B4-BE49-F238E27FC236}">
              <a16:creationId xmlns:a16="http://schemas.microsoft.com/office/drawing/2014/main" id="{00000000-0008-0000-0300-0000CD6F1200}"/>
            </a:ext>
          </a:extLst>
        </xdr:cNvPr>
        <xdr:cNvGrpSpPr>
          <a:grpSpLocks/>
        </xdr:cNvGrpSpPr>
      </xdr:nvGrpSpPr>
      <xdr:grpSpPr bwMode="auto">
        <a:xfrm>
          <a:off x="6766560" y="1305560"/>
          <a:ext cx="0" cy="391160"/>
          <a:chOff x="632" y="220"/>
          <a:chExt cx="195" cy="136"/>
        </a:xfrm>
      </xdr:grpSpPr>
      <xdr:sp macro="" textlink="">
        <xdr:nvSpPr>
          <xdr:cNvPr id="1213186" name="Rectangle 282">
            <a:extLst>
              <a:ext uri="{FF2B5EF4-FFF2-40B4-BE49-F238E27FC236}">
                <a16:creationId xmlns:a16="http://schemas.microsoft.com/office/drawing/2014/main" id="{00000000-0008-0000-0300-000002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87" name="Rectangle 283">
            <a:extLst>
              <a:ext uri="{FF2B5EF4-FFF2-40B4-BE49-F238E27FC236}">
                <a16:creationId xmlns:a16="http://schemas.microsoft.com/office/drawing/2014/main" id="{00000000-0008-0000-0300-000003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88" name="Rectangle 284">
            <a:extLst>
              <a:ext uri="{FF2B5EF4-FFF2-40B4-BE49-F238E27FC236}">
                <a16:creationId xmlns:a16="http://schemas.microsoft.com/office/drawing/2014/main" id="{00000000-0008-0000-0300-000004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89" name="Rectangle 285">
            <a:extLst>
              <a:ext uri="{FF2B5EF4-FFF2-40B4-BE49-F238E27FC236}">
                <a16:creationId xmlns:a16="http://schemas.microsoft.com/office/drawing/2014/main" id="{00000000-0008-0000-0300-000005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90" name="Line 286">
            <a:extLst>
              <a:ext uri="{FF2B5EF4-FFF2-40B4-BE49-F238E27FC236}">
                <a16:creationId xmlns:a16="http://schemas.microsoft.com/office/drawing/2014/main" id="{00000000-0008-0000-0300-000006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91" name="Line 287">
            <a:extLst>
              <a:ext uri="{FF2B5EF4-FFF2-40B4-BE49-F238E27FC236}">
                <a16:creationId xmlns:a16="http://schemas.microsoft.com/office/drawing/2014/main" id="{00000000-0008-0000-0300-000007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92" name="Line 288">
            <a:extLst>
              <a:ext uri="{FF2B5EF4-FFF2-40B4-BE49-F238E27FC236}">
                <a16:creationId xmlns:a16="http://schemas.microsoft.com/office/drawing/2014/main" id="{00000000-0008-0000-0300-000008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5</xdr:col>
      <xdr:colOff>0</xdr:colOff>
      <xdr:row>2</xdr:row>
      <xdr:rowOff>165100</xdr:rowOff>
    </xdr:from>
    <xdr:to>
      <xdr:col>5</xdr:col>
      <xdr:colOff>0</xdr:colOff>
      <xdr:row>3</xdr:row>
      <xdr:rowOff>0</xdr:rowOff>
    </xdr:to>
    <xdr:grpSp>
      <xdr:nvGrpSpPr>
        <xdr:cNvPr id="1208270" name="Group 323">
          <a:extLst>
            <a:ext uri="{FF2B5EF4-FFF2-40B4-BE49-F238E27FC236}">
              <a16:creationId xmlns:a16="http://schemas.microsoft.com/office/drawing/2014/main" id="{00000000-0008-0000-0300-0000CE6F1200}"/>
            </a:ext>
          </a:extLst>
        </xdr:cNvPr>
        <xdr:cNvGrpSpPr>
          <a:grpSpLocks/>
        </xdr:cNvGrpSpPr>
      </xdr:nvGrpSpPr>
      <xdr:grpSpPr bwMode="auto">
        <a:xfrm>
          <a:off x="4572000" y="1292860"/>
          <a:ext cx="0" cy="403860"/>
          <a:chOff x="220" y="176"/>
          <a:chExt cx="556" cy="247"/>
        </a:xfrm>
      </xdr:grpSpPr>
      <xdr:sp macro="" textlink="">
        <xdr:nvSpPr>
          <xdr:cNvPr id="1213163" name="Rectangle 324">
            <a:extLst>
              <a:ext uri="{FF2B5EF4-FFF2-40B4-BE49-F238E27FC236}">
                <a16:creationId xmlns:a16="http://schemas.microsoft.com/office/drawing/2014/main" id="{00000000-0008-0000-0300-0000EB8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64" name="Line 325">
            <a:extLst>
              <a:ext uri="{FF2B5EF4-FFF2-40B4-BE49-F238E27FC236}">
                <a16:creationId xmlns:a16="http://schemas.microsoft.com/office/drawing/2014/main" id="{00000000-0008-0000-0300-0000EC82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65" name="Line 326">
            <a:extLst>
              <a:ext uri="{FF2B5EF4-FFF2-40B4-BE49-F238E27FC236}">
                <a16:creationId xmlns:a16="http://schemas.microsoft.com/office/drawing/2014/main" id="{00000000-0008-0000-0300-0000ED82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66" name="Rectangle 327">
            <a:extLst>
              <a:ext uri="{FF2B5EF4-FFF2-40B4-BE49-F238E27FC236}">
                <a16:creationId xmlns:a16="http://schemas.microsoft.com/office/drawing/2014/main" id="{00000000-0008-0000-0300-0000EE82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67" name="Oval 328">
            <a:extLst>
              <a:ext uri="{FF2B5EF4-FFF2-40B4-BE49-F238E27FC236}">
                <a16:creationId xmlns:a16="http://schemas.microsoft.com/office/drawing/2014/main" id="{00000000-0008-0000-0300-0000EF8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68" name="Oval 329">
            <a:extLst>
              <a:ext uri="{FF2B5EF4-FFF2-40B4-BE49-F238E27FC236}">
                <a16:creationId xmlns:a16="http://schemas.microsoft.com/office/drawing/2014/main" id="{00000000-0008-0000-0300-0000F08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69" name="Rectangle 330">
            <a:extLst>
              <a:ext uri="{FF2B5EF4-FFF2-40B4-BE49-F238E27FC236}">
                <a16:creationId xmlns:a16="http://schemas.microsoft.com/office/drawing/2014/main" id="{00000000-0008-0000-0300-0000F182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70" name="Rectangle 331">
            <a:extLst>
              <a:ext uri="{FF2B5EF4-FFF2-40B4-BE49-F238E27FC236}">
                <a16:creationId xmlns:a16="http://schemas.microsoft.com/office/drawing/2014/main" id="{00000000-0008-0000-0300-0000F282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71" name="Rectangle 332">
            <a:extLst>
              <a:ext uri="{FF2B5EF4-FFF2-40B4-BE49-F238E27FC236}">
                <a16:creationId xmlns:a16="http://schemas.microsoft.com/office/drawing/2014/main" id="{00000000-0008-0000-0300-0000F38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72" name="Rectangle 333">
            <a:extLst>
              <a:ext uri="{FF2B5EF4-FFF2-40B4-BE49-F238E27FC236}">
                <a16:creationId xmlns:a16="http://schemas.microsoft.com/office/drawing/2014/main" id="{00000000-0008-0000-0300-0000F48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3173" name="Group 334">
            <a:extLst>
              <a:ext uri="{FF2B5EF4-FFF2-40B4-BE49-F238E27FC236}">
                <a16:creationId xmlns:a16="http://schemas.microsoft.com/office/drawing/2014/main" id="{00000000-0008-0000-0300-0000F582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3176" name="Rectangle 335">
              <a:extLst>
                <a:ext uri="{FF2B5EF4-FFF2-40B4-BE49-F238E27FC236}">
                  <a16:creationId xmlns:a16="http://schemas.microsoft.com/office/drawing/2014/main" id="{00000000-0008-0000-0300-0000F8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77" name="Line 336">
              <a:extLst>
                <a:ext uri="{FF2B5EF4-FFF2-40B4-BE49-F238E27FC236}">
                  <a16:creationId xmlns:a16="http://schemas.microsoft.com/office/drawing/2014/main" id="{00000000-0008-0000-0300-0000F98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78" name="Line 337">
              <a:extLst>
                <a:ext uri="{FF2B5EF4-FFF2-40B4-BE49-F238E27FC236}">
                  <a16:creationId xmlns:a16="http://schemas.microsoft.com/office/drawing/2014/main" id="{00000000-0008-0000-0300-0000FA8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79" name="Rectangle 338">
              <a:extLst>
                <a:ext uri="{FF2B5EF4-FFF2-40B4-BE49-F238E27FC236}">
                  <a16:creationId xmlns:a16="http://schemas.microsoft.com/office/drawing/2014/main" id="{00000000-0008-0000-0300-0000FB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80" name="Oval 339">
              <a:extLst>
                <a:ext uri="{FF2B5EF4-FFF2-40B4-BE49-F238E27FC236}">
                  <a16:creationId xmlns:a16="http://schemas.microsoft.com/office/drawing/2014/main" id="{00000000-0008-0000-0300-0000FC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81" name="Oval 340">
              <a:extLst>
                <a:ext uri="{FF2B5EF4-FFF2-40B4-BE49-F238E27FC236}">
                  <a16:creationId xmlns:a16="http://schemas.microsoft.com/office/drawing/2014/main" id="{00000000-0008-0000-0300-0000FD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82" name="Rectangle 341">
              <a:extLst>
                <a:ext uri="{FF2B5EF4-FFF2-40B4-BE49-F238E27FC236}">
                  <a16:creationId xmlns:a16="http://schemas.microsoft.com/office/drawing/2014/main" id="{00000000-0008-0000-0300-0000FE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83" name="Rectangle 342">
              <a:extLst>
                <a:ext uri="{FF2B5EF4-FFF2-40B4-BE49-F238E27FC236}">
                  <a16:creationId xmlns:a16="http://schemas.microsoft.com/office/drawing/2014/main" id="{00000000-0008-0000-0300-0000FF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84" name="Rectangle 343">
              <a:extLst>
                <a:ext uri="{FF2B5EF4-FFF2-40B4-BE49-F238E27FC236}">
                  <a16:creationId xmlns:a16="http://schemas.microsoft.com/office/drawing/2014/main" id="{00000000-0008-0000-0300-0000008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85" name="Rectangle 344">
              <a:extLst>
                <a:ext uri="{FF2B5EF4-FFF2-40B4-BE49-F238E27FC236}">
                  <a16:creationId xmlns:a16="http://schemas.microsoft.com/office/drawing/2014/main" id="{00000000-0008-0000-0300-0000018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3174" name="Rectangle 345">
            <a:extLst>
              <a:ext uri="{FF2B5EF4-FFF2-40B4-BE49-F238E27FC236}">
                <a16:creationId xmlns:a16="http://schemas.microsoft.com/office/drawing/2014/main" id="{00000000-0008-0000-0300-0000F682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75" name="Rectangle 346">
            <a:extLst>
              <a:ext uri="{FF2B5EF4-FFF2-40B4-BE49-F238E27FC236}">
                <a16:creationId xmlns:a16="http://schemas.microsoft.com/office/drawing/2014/main" id="{00000000-0008-0000-0300-0000F782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165100</xdr:rowOff>
    </xdr:from>
    <xdr:to>
      <xdr:col>8</xdr:col>
      <xdr:colOff>0</xdr:colOff>
      <xdr:row>3</xdr:row>
      <xdr:rowOff>0</xdr:rowOff>
    </xdr:to>
    <xdr:grpSp>
      <xdr:nvGrpSpPr>
        <xdr:cNvPr id="1208271" name="Group 405">
          <a:extLst>
            <a:ext uri="{FF2B5EF4-FFF2-40B4-BE49-F238E27FC236}">
              <a16:creationId xmlns:a16="http://schemas.microsoft.com/office/drawing/2014/main" id="{00000000-0008-0000-0300-0000CF6F1200}"/>
            </a:ext>
          </a:extLst>
        </xdr:cNvPr>
        <xdr:cNvGrpSpPr>
          <a:grpSpLocks/>
        </xdr:cNvGrpSpPr>
      </xdr:nvGrpSpPr>
      <xdr:grpSpPr bwMode="auto">
        <a:xfrm>
          <a:off x="6766560" y="1292860"/>
          <a:ext cx="0" cy="403860"/>
          <a:chOff x="220" y="176"/>
          <a:chExt cx="556" cy="247"/>
        </a:xfrm>
      </xdr:grpSpPr>
      <xdr:sp macro="" textlink="">
        <xdr:nvSpPr>
          <xdr:cNvPr id="1213140" name="Rectangle 406">
            <a:extLst>
              <a:ext uri="{FF2B5EF4-FFF2-40B4-BE49-F238E27FC236}">
                <a16:creationId xmlns:a16="http://schemas.microsoft.com/office/drawing/2014/main" id="{00000000-0008-0000-0300-0000D48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41" name="Line 407">
            <a:extLst>
              <a:ext uri="{FF2B5EF4-FFF2-40B4-BE49-F238E27FC236}">
                <a16:creationId xmlns:a16="http://schemas.microsoft.com/office/drawing/2014/main" id="{00000000-0008-0000-0300-0000D582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42" name="Line 408">
            <a:extLst>
              <a:ext uri="{FF2B5EF4-FFF2-40B4-BE49-F238E27FC236}">
                <a16:creationId xmlns:a16="http://schemas.microsoft.com/office/drawing/2014/main" id="{00000000-0008-0000-0300-0000D682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43" name="Rectangle 409">
            <a:extLst>
              <a:ext uri="{FF2B5EF4-FFF2-40B4-BE49-F238E27FC236}">
                <a16:creationId xmlns:a16="http://schemas.microsoft.com/office/drawing/2014/main" id="{00000000-0008-0000-0300-0000D782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44" name="Oval 410">
            <a:extLst>
              <a:ext uri="{FF2B5EF4-FFF2-40B4-BE49-F238E27FC236}">
                <a16:creationId xmlns:a16="http://schemas.microsoft.com/office/drawing/2014/main" id="{00000000-0008-0000-0300-0000D88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45" name="Oval 411">
            <a:extLst>
              <a:ext uri="{FF2B5EF4-FFF2-40B4-BE49-F238E27FC236}">
                <a16:creationId xmlns:a16="http://schemas.microsoft.com/office/drawing/2014/main" id="{00000000-0008-0000-0300-0000D98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46" name="Rectangle 412">
            <a:extLst>
              <a:ext uri="{FF2B5EF4-FFF2-40B4-BE49-F238E27FC236}">
                <a16:creationId xmlns:a16="http://schemas.microsoft.com/office/drawing/2014/main" id="{00000000-0008-0000-0300-0000DA82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47" name="Rectangle 413">
            <a:extLst>
              <a:ext uri="{FF2B5EF4-FFF2-40B4-BE49-F238E27FC236}">
                <a16:creationId xmlns:a16="http://schemas.microsoft.com/office/drawing/2014/main" id="{00000000-0008-0000-0300-0000DB82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48" name="Rectangle 414">
            <a:extLst>
              <a:ext uri="{FF2B5EF4-FFF2-40B4-BE49-F238E27FC236}">
                <a16:creationId xmlns:a16="http://schemas.microsoft.com/office/drawing/2014/main" id="{00000000-0008-0000-0300-0000DC8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49" name="Rectangle 415">
            <a:extLst>
              <a:ext uri="{FF2B5EF4-FFF2-40B4-BE49-F238E27FC236}">
                <a16:creationId xmlns:a16="http://schemas.microsoft.com/office/drawing/2014/main" id="{00000000-0008-0000-0300-0000DD8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3150" name="Group 416">
            <a:extLst>
              <a:ext uri="{FF2B5EF4-FFF2-40B4-BE49-F238E27FC236}">
                <a16:creationId xmlns:a16="http://schemas.microsoft.com/office/drawing/2014/main" id="{00000000-0008-0000-0300-0000DE82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3153" name="Rectangle 417">
              <a:extLst>
                <a:ext uri="{FF2B5EF4-FFF2-40B4-BE49-F238E27FC236}">
                  <a16:creationId xmlns:a16="http://schemas.microsoft.com/office/drawing/2014/main" id="{00000000-0008-0000-0300-0000E1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54" name="Line 418">
              <a:extLst>
                <a:ext uri="{FF2B5EF4-FFF2-40B4-BE49-F238E27FC236}">
                  <a16:creationId xmlns:a16="http://schemas.microsoft.com/office/drawing/2014/main" id="{00000000-0008-0000-0300-0000E28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55" name="Line 419">
              <a:extLst>
                <a:ext uri="{FF2B5EF4-FFF2-40B4-BE49-F238E27FC236}">
                  <a16:creationId xmlns:a16="http://schemas.microsoft.com/office/drawing/2014/main" id="{00000000-0008-0000-0300-0000E38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56" name="Rectangle 420">
              <a:extLst>
                <a:ext uri="{FF2B5EF4-FFF2-40B4-BE49-F238E27FC236}">
                  <a16:creationId xmlns:a16="http://schemas.microsoft.com/office/drawing/2014/main" id="{00000000-0008-0000-0300-0000E4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57" name="Oval 421">
              <a:extLst>
                <a:ext uri="{FF2B5EF4-FFF2-40B4-BE49-F238E27FC236}">
                  <a16:creationId xmlns:a16="http://schemas.microsoft.com/office/drawing/2014/main" id="{00000000-0008-0000-0300-0000E5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58" name="Oval 422">
              <a:extLst>
                <a:ext uri="{FF2B5EF4-FFF2-40B4-BE49-F238E27FC236}">
                  <a16:creationId xmlns:a16="http://schemas.microsoft.com/office/drawing/2014/main" id="{00000000-0008-0000-0300-0000E6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59" name="Rectangle 423">
              <a:extLst>
                <a:ext uri="{FF2B5EF4-FFF2-40B4-BE49-F238E27FC236}">
                  <a16:creationId xmlns:a16="http://schemas.microsoft.com/office/drawing/2014/main" id="{00000000-0008-0000-0300-0000E7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60" name="Rectangle 424">
              <a:extLst>
                <a:ext uri="{FF2B5EF4-FFF2-40B4-BE49-F238E27FC236}">
                  <a16:creationId xmlns:a16="http://schemas.microsoft.com/office/drawing/2014/main" id="{00000000-0008-0000-0300-0000E8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61" name="Rectangle 425">
              <a:extLst>
                <a:ext uri="{FF2B5EF4-FFF2-40B4-BE49-F238E27FC236}">
                  <a16:creationId xmlns:a16="http://schemas.microsoft.com/office/drawing/2014/main" id="{00000000-0008-0000-0300-0000E9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62" name="Rectangle 426">
              <a:extLst>
                <a:ext uri="{FF2B5EF4-FFF2-40B4-BE49-F238E27FC236}">
                  <a16:creationId xmlns:a16="http://schemas.microsoft.com/office/drawing/2014/main" id="{00000000-0008-0000-0300-0000EA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3151" name="Rectangle 427">
            <a:extLst>
              <a:ext uri="{FF2B5EF4-FFF2-40B4-BE49-F238E27FC236}">
                <a16:creationId xmlns:a16="http://schemas.microsoft.com/office/drawing/2014/main" id="{00000000-0008-0000-0300-0000DF82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52" name="Rectangle 428">
            <a:extLst>
              <a:ext uri="{FF2B5EF4-FFF2-40B4-BE49-F238E27FC236}">
                <a16:creationId xmlns:a16="http://schemas.microsoft.com/office/drawing/2014/main" id="{00000000-0008-0000-0300-0000E082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165100</xdr:rowOff>
    </xdr:from>
    <xdr:to>
      <xdr:col>8</xdr:col>
      <xdr:colOff>0</xdr:colOff>
      <xdr:row>3</xdr:row>
      <xdr:rowOff>0</xdr:rowOff>
    </xdr:to>
    <xdr:grpSp>
      <xdr:nvGrpSpPr>
        <xdr:cNvPr id="1208272" name="Group 429">
          <a:extLst>
            <a:ext uri="{FF2B5EF4-FFF2-40B4-BE49-F238E27FC236}">
              <a16:creationId xmlns:a16="http://schemas.microsoft.com/office/drawing/2014/main" id="{00000000-0008-0000-0300-0000D06F1200}"/>
            </a:ext>
          </a:extLst>
        </xdr:cNvPr>
        <xdr:cNvGrpSpPr>
          <a:grpSpLocks/>
        </xdr:cNvGrpSpPr>
      </xdr:nvGrpSpPr>
      <xdr:grpSpPr bwMode="auto">
        <a:xfrm>
          <a:off x="6766560" y="1292860"/>
          <a:ext cx="0" cy="403860"/>
          <a:chOff x="220" y="176"/>
          <a:chExt cx="556" cy="247"/>
        </a:xfrm>
      </xdr:grpSpPr>
      <xdr:sp macro="" textlink="">
        <xdr:nvSpPr>
          <xdr:cNvPr id="1213117" name="Rectangle 430">
            <a:extLst>
              <a:ext uri="{FF2B5EF4-FFF2-40B4-BE49-F238E27FC236}">
                <a16:creationId xmlns:a16="http://schemas.microsoft.com/office/drawing/2014/main" id="{00000000-0008-0000-0300-0000BD8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18" name="Line 431">
            <a:extLst>
              <a:ext uri="{FF2B5EF4-FFF2-40B4-BE49-F238E27FC236}">
                <a16:creationId xmlns:a16="http://schemas.microsoft.com/office/drawing/2014/main" id="{00000000-0008-0000-0300-0000BE82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19" name="Line 432">
            <a:extLst>
              <a:ext uri="{FF2B5EF4-FFF2-40B4-BE49-F238E27FC236}">
                <a16:creationId xmlns:a16="http://schemas.microsoft.com/office/drawing/2014/main" id="{00000000-0008-0000-0300-0000BF82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20" name="Rectangle 433">
            <a:extLst>
              <a:ext uri="{FF2B5EF4-FFF2-40B4-BE49-F238E27FC236}">
                <a16:creationId xmlns:a16="http://schemas.microsoft.com/office/drawing/2014/main" id="{00000000-0008-0000-0300-0000C082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21" name="Oval 434">
            <a:extLst>
              <a:ext uri="{FF2B5EF4-FFF2-40B4-BE49-F238E27FC236}">
                <a16:creationId xmlns:a16="http://schemas.microsoft.com/office/drawing/2014/main" id="{00000000-0008-0000-0300-0000C18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22" name="Oval 435">
            <a:extLst>
              <a:ext uri="{FF2B5EF4-FFF2-40B4-BE49-F238E27FC236}">
                <a16:creationId xmlns:a16="http://schemas.microsoft.com/office/drawing/2014/main" id="{00000000-0008-0000-0300-0000C28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23" name="Rectangle 436">
            <a:extLst>
              <a:ext uri="{FF2B5EF4-FFF2-40B4-BE49-F238E27FC236}">
                <a16:creationId xmlns:a16="http://schemas.microsoft.com/office/drawing/2014/main" id="{00000000-0008-0000-0300-0000C382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24" name="Rectangle 437">
            <a:extLst>
              <a:ext uri="{FF2B5EF4-FFF2-40B4-BE49-F238E27FC236}">
                <a16:creationId xmlns:a16="http://schemas.microsoft.com/office/drawing/2014/main" id="{00000000-0008-0000-0300-0000C482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25" name="Rectangle 438">
            <a:extLst>
              <a:ext uri="{FF2B5EF4-FFF2-40B4-BE49-F238E27FC236}">
                <a16:creationId xmlns:a16="http://schemas.microsoft.com/office/drawing/2014/main" id="{00000000-0008-0000-0300-0000C58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26" name="Rectangle 439">
            <a:extLst>
              <a:ext uri="{FF2B5EF4-FFF2-40B4-BE49-F238E27FC236}">
                <a16:creationId xmlns:a16="http://schemas.microsoft.com/office/drawing/2014/main" id="{00000000-0008-0000-0300-0000C68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3127" name="Group 440">
            <a:extLst>
              <a:ext uri="{FF2B5EF4-FFF2-40B4-BE49-F238E27FC236}">
                <a16:creationId xmlns:a16="http://schemas.microsoft.com/office/drawing/2014/main" id="{00000000-0008-0000-0300-0000C782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3130" name="Rectangle 441">
              <a:extLst>
                <a:ext uri="{FF2B5EF4-FFF2-40B4-BE49-F238E27FC236}">
                  <a16:creationId xmlns:a16="http://schemas.microsoft.com/office/drawing/2014/main" id="{00000000-0008-0000-0300-0000CA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31" name="Line 442">
              <a:extLst>
                <a:ext uri="{FF2B5EF4-FFF2-40B4-BE49-F238E27FC236}">
                  <a16:creationId xmlns:a16="http://schemas.microsoft.com/office/drawing/2014/main" id="{00000000-0008-0000-0300-0000CB8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32" name="Line 443">
              <a:extLst>
                <a:ext uri="{FF2B5EF4-FFF2-40B4-BE49-F238E27FC236}">
                  <a16:creationId xmlns:a16="http://schemas.microsoft.com/office/drawing/2014/main" id="{00000000-0008-0000-0300-0000CC8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33" name="Rectangle 444">
              <a:extLst>
                <a:ext uri="{FF2B5EF4-FFF2-40B4-BE49-F238E27FC236}">
                  <a16:creationId xmlns:a16="http://schemas.microsoft.com/office/drawing/2014/main" id="{00000000-0008-0000-0300-0000CD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34" name="Oval 445">
              <a:extLst>
                <a:ext uri="{FF2B5EF4-FFF2-40B4-BE49-F238E27FC236}">
                  <a16:creationId xmlns:a16="http://schemas.microsoft.com/office/drawing/2014/main" id="{00000000-0008-0000-0300-0000CE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35" name="Oval 446">
              <a:extLst>
                <a:ext uri="{FF2B5EF4-FFF2-40B4-BE49-F238E27FC236}">
                  <a16:creationId xmlns:a16="http://schemas.microsoft.com/office/drawing/2014/main" id="{00000000-0008-0000-0300-0000CF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36" name="Rectangle 447">
              <a:extLst>
                <a:ext uri="{FF2B5EF4-FFF2-40B4-BE49-F238E27FC236}">
                  <a16:creationId xmlns:a16="http://schemas.microsoft.com/office/drawing/2014/main" id="{00000000-0008-0000-0300-0000D0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37" name="Rectangle 448">
              <a:extLst>
                <a:ext uri="{FF2B5EF4-FFF2-40B4-BE49-F238E27FC236}">
                  <a16:creationId xmlns:a16="http://schemas.microsoft.com/office/drawing/2014/main" id="{00000000-0008-0000-0300-0000D1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38" name="Rectangle 449">
              <a:extLst>
                <a:ext uri="{FF2B5EF4-FFF2-40B4-BE49-F238E27FC236}">
                  <a16:creationId xmlns:a16="http://schemas.microsoft.com/office/drawing/2014/main" id="{00000000-0008-0000-0300-0000D2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39" name="Rectangle 450">
              <a:extLst>
                <a:ext uri="{FF2B5EF4-FFF2-40B4-BE49-F238E27FC236}">
                  <a16:creationId xmlns:a16="http://schemas.microsoft.com/office/drawing/2014/main" id="{00000000-0008-0000-0300-0000D3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3128" name="Rectangle 451">
            <a:extLst>
              <a:ext uri="{FF2B5EF4-FFF2-40B4-BE49-F238E27FC236}">
                <a16:creationId xmlns:a16="http://schemas.microsoft.com/office/drawing/2014/main" id="{00000000-0008-0000-0300-0000C882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29" name="Rectangle 452">
            <a:extLst>
              <a:ext uri="{FF2B5EF4-FFF2-40B4-BE49-F238E27FC236}">
                <a16:creationId xmlns:a16="http://schemas.microsoft.com/office/drawing/2014/main" id="{00000000-0008-0000-0300-0000C982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165100</xdr:rowOff>
    </xdr:from>
    <xdr:to>
      <xdr:col>8</xdr:col>
      <xdr:colOff>0</xdr:colOff>
      <xdr:row>3</xdr:row>
      <xdr:rowOff>0</xdr:rowOff>
    </xdr:to>
    <xdr:grpSp>
      <xdr:nvGrpSpPr>
        <xdr:cNvPr id="1208273" name="Group 453">
          <a:extLst>
            <a:ext uri="{FF2B5EF4-FFF2-40B4-BE49-F238E27FC236}">
              <a16:creationId xmlns:a16="http://schemas.microsoft.com/office/drawing/2014/main" id="{00000000-0008-0000-0300-0000D16F1200}"/>
            </a:ext>
          </a:extLst>
        </xdr:cNvPr>
        <xdr:cNvGrpSpPr>
          <a:grpSpLocks/>
        </xdr:cNvGrpSpPr>
      </xdr:nvGrpSpPr>
      <xdr:grpSpPr bwMode="auto">
        <a:xfrm>
          <a:off x="6766560" y="1292860"/>
          <a:ext cx="0" cy="403860"/>
          <a:chOff x="220" y="176"/>
          <a:chExt cx="556" cy="247"/>
        </a:xfrm>
      </xdr:grpSpPr>
      <xdr:sp macro="" textlink="">
        <xdr:nvSpPr>
          <xdr:cNvPr id="1213094" name="Rectangle 454">
            <a:extLst>
              <a:ext uri="{FF2B5EF4-FFF2-40B4-BE49-F238E27FC236}">
                <a16:creationId xmlns:a16="http://schemas.microsoft.com/office/drawing/2014/main" id="{00000000-0008-0000-0300-0000A68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95" name="Line 455">
            <a:extLst>
              <a:ext uri="{FF2B5EF4-FFF2-40B4-BE49-F238E27FC236}">
                <a16:creationId xmlns:a16="http://schemas.microsoft.com/office/drawing/2014/main" id="{00000000-0008-0000-0300-0000A782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96" name="Line 456">
            <a:extLst>
              <a:ext uri="{FF2B5EF4-FFF2-40B4-BE49-F238E27FC236}">
                <a16:creationId xmlns:a16="http://schemas.microsoft.com/office/drawing/2014/main" id="{00000000-0008-0000-0300-0000A882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97" name="Rectangle 457">
            <a:extLst>
              <a:ext uri="{FF2B5EF4-FFF2-40B4-BE49-F238E27FC236}">
                <a16:creationId xmlns:a16="http://schemas.microsoft.com/office/drawing/2014/main" id="{00000000-0008-0000-0300-0000A982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98" name="Oval 458">
            <a:extLst>
              <a:ext uri="{FF2B5EF4-FFF2-40B4-BE49-F238E27FC236}">
                <a16:creationId xmlns:a16="http://schemas.microsoft.com/office/drawing/2014/main" id="{00000000-0008-0000-0300-0000AA8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99" name="Oval 459">
            <a:extLst>
              <a:ext uri="{FF2B5EF4-FFF2-40B4-BE49-F238E27FC236}">
                <a16:creationId xmlns:a16="http://schemas.microsoft.com/office/drawing/2014/main" id="{00000000-0008-0000-0300-0000AB8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00" name="Rectangle 460">
            <a:extLst>
              <a:ext uri="{FF2B5EF4-FFF2-40B4-BE49-F238E27FC236}">
                <a16:creationId xmlns:a16="http://schemas.microsoft.com/office/drawing/2014/main" id="{00000000-0008-0000-0300-0000AC82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01" name="Rectangle 461">
            <a:extLst>
              <a:ext uri="{FF2B5EF4-FFF2-40B4-BE49-F238E27FC236}">
                <a16:creationId xmlns:a16="http://schemas.microsoft.com/office/drawing/2014/main" id="{00000000-0008-0000-0300-0000AD82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02" name="Rectangle 462">
            <a:extLst>
              <a:ext uri="{FF2B5EF4-FFF2-40B4-BE49-F238E27FC236}">
                <a16:creationId xmlns:a16="http://schemas.microsoft.com/office/drawing/2014/main" id="{00000000-0008-0000-0300-0000AE8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03" name="Rectangle 463">
            <a:extLst>
              <a:ext uri="{FF2B5EF4-FFF2-40B4-BE49-F238E27FC236}">
                <a16:creationId xmlns:a16="http://schemas.microsoft.com/office/drawing/2014/main" id="{00000000-0008-0000-0300-0000AF8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3104" name="Group 464">
            <a:extLst>
              <a:ext uri="{FF2B5EF4-FFF2-40B4-BE49-F238E27FC236}">
                <a16:creationId xmlns:a16="http://schemas.microsoft.com/office/drawing/2014/main" id="{00000000-0008-0000-0300-0000B082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3107" name="Rectangle 465">
              <a:extLst>
                <a:ext uri="{FF2B5EF4-FFF2-40B4-BE49-F238E27FC236}">
                  <a16:creationId xmlns:a16="http://schemas.microsoft.com/office/drawing/2014/main" id="{00000000-0008-0000-0300-0000B3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08" name="Line 466">
              <a:extLst>
                <a:ext uri="{FF2B5EF4-FFF2-40B4-BE49-F238E27FC236}">
                  <a16:creationId xmlns:a16="http://schemas.microsoft.com/office/drawing/2014/main" id="{00000000-0008-0000-0300-0000B48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09" name="Line 467">
              <a:extLst>
                <a:ext uri="{FF2B5EF4-FFF2-40B4-BE49-F238E27FC236}">
                  <a16:creationId xmlns:a16="http://schemas.microsoft.com/office/drawing/2014/main" id="{00000000-0008-0000-0300-0000B58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10" name="Rectangle 468">
              <a:extLst>
                <a:ext uri="{FF2B5EF4-FFF2-40B4-BE49-F238E27FC236}">
                  <a16:creationId xmlns:a16="http://schemas.microsoft.com/office/drawing/2014/main" id="{00000000-0008-0000-0300-0000B6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11" name="Oval 469">
              <a:extLst>
                <a:ext uri="{FF2B5EF4-FFF2-40B4-BE49-F238E27FC236}">
                  <a16:creationId xmlns:a16="http://schemas.microsoft.com/office/drawing/2014/main" id="{00000000-0008-0000-0300-0000B7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12" name="Oval 470">
              <a:extLst>
                <a:ext uri="{FF2B5EF4-FFF2-40B4-BE49-F238E27FC236}">
                  <a16:creationId xmlns:a16="http://schemas.microsoft.com/office/drawing/2014/main" id="{00000000-0008-0000-0300-0000B8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13" name="Rectangle 471">
              <a:extLst>
                <a:ext uri="{FF2B5EF4-FFF2-40B4-BE49-F238E27FC236}">
                  <a16:creationId xmlns:a16="http://schemas.microsoft.com/office/drawing/2014/main" id="{00000000-0008-0000-0300-0000B9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14" name="Rectangle 472">
              <a:extLst>
                <a:ext uri="{FF2B5EF4-FFF2-40B4-BE49-F238E27FC236}">
                  <a16:creationId xmlns:a16="http://schemas.microsoft.com/office/drawing/2014/main" id="{00000000-0008-0000-0300-0000BA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15" name="Rectangle 473">
              <a:extLst>
                <a:ext uri="{FF2B5EF4-FFF2-40B4-BE49-F238E27FC236}">
                  <a16:creationId xmlns:a16="http://schemas.microsoft.com/office/drawing/2014/main" id="{00000000-0008-0000-0300-0000BB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16" name="Rectangle 474">
              <a:extLst>
                <a:ext uri="{FF2B5EF4-FFF2-40B4-BE49-F238E27FC236}">
                  <a16:creationId xmlns:a16="http://schemas.microsoft.com/office/drawing/2014/main" id="{00000000-0008-0000-0300-0000BC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3105" name="Rectangle 475">
            <a:extLst>
              <a:ext uri="{FF2B5EF4-FFF2-40B4-BE49-F238E27FC236}">
                <a16:creationId xmlns:a16="http://schemas.microsoft.com/office/drawing/2014/main" id="{00000000-0008-0000-0300-0000B182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06" name="Rectangle 476">
            <a:extLst>
              <a:ext uri="{FF2B5EF4-FFF2-40B4-BE49-F238E27FC236}">
                <a16:creationId xmlns:a16="http://schemas.microsoft.com/office/drawing/2014/main" id="{00000000-0008-0000-0300-0000B282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165100</xdr:rowOff>
    </xdr:from>
    <xdr:to>
      <xdr:col>8</xdr:col>
      <xdr:colOff>0</xdr:colOff>
      <xdr:row>3</xdr:row>
      <xdr:rowOff>0</xdr:rowOff>
    </xdr:to>
    <xdr:grpSp>
      <xdr:nvGrpSpPr>
        <xdr:cNvPr id="1208274" name="Group 477">
          <a:extLst>
            <a:ext uri="{FF2B5EF4-FFF2-40B4-BE49-F238E27FC236}">
              <a16:creationId xmlns:a16="http://schemas.microsoft.com/office/drawing/2014/main" id="{00000000-0008-0000-0300-0000D26F1200}"/>
            </a:ext>
          </a:extLst>
        </xdr:cNvPr>
        <xdr:cNvGrpSpPr>
          <a:grpSpLocks/>
        </xdr:cNvGrpSpPr>
      </xdr:nvGrpSpPr>
      <xdr:grpSpPr bwMode="auto">
        <a:xfrm>
          <a:off x="6766560" y="1292860"/>
          <a:ext cx="0" cy="403860"/>
          <a:chOff x="220" y="176"/>
          <a:chExt cx="556" cy="247"/>
        </a:xfrm>
      </xdr:grpSpPr>
      <xdr:sp macro="" textlink="">
        <xdr:nvSpPr>
          <xdr:cNvPr id="1213071" name="Rectangle 478">
            <a:extLst>
              <a:ext uri="{FF2B5EF4-FFF2-40B4-BE49-F238E27FC236}">
                <a16:creationId xmlns:a16="http://schemas.microsoft.com/office/drawing/2014/main" id="{00000000-0008-0000-0300-00008F8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72" name="Line 479">
            <a:extLst>
              <a:ext uri="{FF2B5EF4-FFF2-40B4-BE49-F238E27FC236}">
                <a16:creationId xmlns:a16="http://schemas.microsoft.com/office/drawing/2014/main" id="{00000000-0008-0000-0300-00009082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73" name="Line 480">
            <a:extLst>
              <a:ext uri="{FF2B5EF4-FFF2-40B4-BE49-F238E27FC236}">
                <a16:creationId xmlns:a16="http://schemas.microsoft.com/office/drawing/2014/main" id="{00000000-0008-0000-0300-00009182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74" name="Rectangle 481">
            <a:extLst>
              <a:ext uri="{FF2B5EF4-FFF2-40B4-BE49-F238E27FC236}">
                <a16:creationId xmlns:a16="http://schemas.microsoft.com/office/drawing/2014/main" id="{00000000-0008-0000-0300-00009282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75" name="Oval 482">
            <a:extLst>
              <a:ext uri="{FF2B5EF4-FFF2-40B4-BE49-F238E27FC236}">
                <a16:creationId xmlns:a16="http://schemas.microsoft.com/office/drawing/2014/main" id="{00000000-0008-0000-0300-0000938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76" name="Oval 483">
            <a:extLst>
              <a:ext uri="{FF2B5EF4-FFF2-40B4-BE49-F238E27FC236}">
                <a16:creationId xmlns:a16="http://schemas.microsoft.com/office/drawing/2014/main" id="{00000000-0008-0000-0300-0000948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77" name="Rectangle 484">
            <a:extLst>
              <a:ext uri="{FF2B5EF4-FFF2-40B4-BE49-F238E27FC236}">
                <a16:creationId xmlns:a16="http://schemas.microsoft.com/office/drawing/2014/main" id="{00000000-0008-0000-0300-00009582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78" name="Rectangle 485">
            <a:extLst>
              <a:ext uri="{FF2B5EF4-FFF2-40B4-BE49-F238E27FC236}">
                <a16:creationId xmlns:a16="http://schemas.microsoft.com/office/drawing/2014/main" id="{00000000-0008-0000-0300-00009682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79" name="Rectangle 486">
            <a:extLst>
              <a:ext uri="{FF2B5EF4-FFF2-40B4-BE49-F238E27FC236}">
                <a16:creationId xmlns:a16="http://schemas.microsoft.com/office/drawing/2014/main" id="{00000000-0008-0000-0300-0000978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80" name="Rectangle 487">
            <a:extLst>
              <a:ext uri="{FF2B5EF4-FFF2-40B4-BE49-F238E27FC236}">
                <a16:creationId xmlns:a16="http://schemas.microsoft.com/office/drawing/2014/main" id="{00000000-0008-0000-0300-0000988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3081" name="Group 488">
            <a:extLst>
              <a:ext uri="{FF2B5EF4-FFF2-40B4-BE49-F238E27FC236}">
                <a16:creationId xmlns:a16="http://schemas.microsoft.com/office/drawing/2014/main" id="{00000000-0008-0000-0300-00009982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3084" name="Rectangle 489">
              <a:extLst>
                <a:ext uri="{FF2B5EF4-FFF2-40B4-BE49-F238E27FC236}">
                  <a16:creationId xmlns:a16="http://schemas.microsoft.com/office/drawing/2014/main" id="{00000000-0008-0000-0300-00009C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85" name="Line 490">
              <a:extLst>
                <a:ext uri="{FF2B5EF4-FFF2-40B4-BE49-F238E27FC236}">
                  <a16:creationId xmlns:a16="http://schemas.microsoft.com/office/drawing/2014/main" id="{00000000-0008-0000-0300-00009D8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86" name="Line 491">
              <a:extLst>
                <a:ext uri="{FF2B5EF4-FFF2-40B4-BE49-F238E27FC236}">
                  <a16:creationId xmlns:a16="http://schemas.microsoft.com/office/drawing/2014/main" id="{00000000-0008-0000-0300-00009E8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87" name="Rectangle 492">
              <a:extLst>
                <a:ext uri="{FF2B5EF4-FFF2-40B4-BE49-F238E27FC236}">
                  <a16:creationId xmlns:a16="http://schemas.microsoft.com/office/drawing/2014/main" id="{00000000-0008-0000-0300-00009F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88" name="Oval 493">
              <a:extLst>
                <a:ext uri="{FF2B5EF4-FFF2-40B4-BE49-F238E27FC236}">
                  <a16:creationId xmlns:a16="http://schemas.microsoft.com/office/drawing/2014/main" id="{00000000-0008-0000-0300-0000A0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89" name="Oval 494">
              <a:extLst>
                <a:ext uri="{FF2B5EF4-FFF2-40B4-BE49-F238E27FC236}">
                  <a16:creationId xmlns:a16="http://schemas.microsoft.com/office/drawing/2014/main" id="{00000000-0008-0000-0300-0000A1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90" name="Rectangle 495">
              <a:extLst>
                <a:ext uri="{FF2B5EF4-FFF2-40B4-BE49-F238E27FC236}">
                  <a16:creationId xmlns:a16="http://schemas.microsoft.com/office/drawing/2014/main" id="{00000000-0008-0000-0300-0000A2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91" name="Rectangle 496">
              <a:extLst>
                <a:ext uri="{FF2B5EF4-FFF2-40B4-BE49-F238E27FC236}">
                  <a16:creationId xmlns:a16="http://schemas.microsoft.com/office/drawing/2014/main" id="{00000000-0008-0000-0300-0000A3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92" name="Rectangle 497">
              <a:extLst>
                <a:ext uri="{FF2B5EF4-FFF2-40B4-BE49-F238E27FC236}">
                  <a16:creationId xmlns:a16="http://schemas.microsoft.com/office/drawing/2014/main" id="{00000000-0008-0000-0300-0000A4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93" name="Rectangle 498">
              <a:extLst>
                <a:ext uri="{FF2B5EF4-FFF2-40B4-BE49-F238E27FC236}">
                  <a16:creationId xmlns:a16="http://schemas.microsoft.com/office/drawing/2014/main" id="{00000000-0008-0000-0300-0000A5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3082" name="Rectangle 499">
            <a:extLst>
              <a:ext uri="{FF2B5EF4-FFF2-40B4-BE49-F238E27FC236}">
                <a16:creationId xmlns:a16="http://schemas.microsoft.com/office/drawing/2014/main" id="{00000000-0008-0000-0300-00009A82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83" name="Rectangle 500">
            <a:extLst>
              <a:ext uri="{FF2B5EF4-FFF2-40B4-BE49-F238E27FC236}">
                <a16:creationId xmlns:a16="http://schemas.microsoft.com/office/drawing/2014/main" id="{00000000-0008-0000-0300-00009B82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165100</xdr:rowOff>
    </xdr:from>
    <xdr:to>
      <xdr:col>8</xdr:col>
      <xdr:colOff>0</xdr:colOff>
      <xdr:row>3</xdr:row>
      <xdr:rowOff>0</xdr:rowOff>
    </xdr:to>
    <xdr:grpSp>
      <xdr:nvGrpSpPr>
        <xdr:cNvPr id="1208275" name="Group 501">
          <a:extLst>
            <a:ext uri="{FF2B5EF4-FFF2-40B4-BE49-F238E27FC236}">
              <a16:creationId xmlns:a16="http://schemas.microsoft.com/office/drawing/2014/main" id="{00000000-0008-0000-0300-0000D36F1200}"/>
            </a:ext>
          </a:extLst>
        </xdr:cNvPr>
        <xdr:cNvGrpSpPr>
          <a:grpSpLocks/>
        </xdr:cNvGrpSpPr>
      </xdr:nvGrpSpPr>
      <xdr:grpSpPr bwMode="auto">
        <a:xfrm>
          <a:off x="6766560" y="1292860"/>
          <a:ext cx="0" cy="403860"/>
          <a:chOff x="220" y="176"/>
          <a:chExt cx="556" cy="247"/>
        </a:xfrm>
      </xdr:grpSpPr>
      <xdr:sp macro="" textlink="">
        <xdr:nvSpPr>
          <xdr:cNvPr id="1213048" name="Rectangle 502">
            <a:extLst>
              <a:ext uri="{FF2B5EF4-FFF2-40B4-BE49-F238E27FC236}">
                <a16:creationId xmlns:a16="http://schemas.microsoft.com/office/drawing/2014/main" id="{00000000-0008-0000-0300-0000788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49" name="Line 503">
            <a:extLst>
              <a:ext uri="{FF2B5EF4-FFF2-40B4-BE49-F238E27FC236}">
                <a16:creationId xmlns:a16="http://schemas.microsoft.com/office/drawing/2014/main" id="{00000000-0008-0000-0300-00007982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50" name="Line 504">
            <a:extLst>
              <a:ext uri="{FF2B5EF4-FFF2-40B4-BE49-F238E27FC236}">
                <a16:creationId xmlns:a16="http://schemas.microsoft.com/office/drawing/2014/main" id="{00000000-0008-0000-0300-00007A82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51" name="Rectangle 505">
            <a:extLst>
              <a:ext uri="{FF2B5EF4-FFF2-40B4-BE49-F238E27FC236}">
                <a16:creationId xmlns:a16="http://schemas.microsoft.com/office/drawing/2014/main" id="{00000000-0008-0000-0300-00007B82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52" name="Oval 506">
            <a:extLst>
              <a:ext uri="{FF2B5EF4-FFF2-40B4-BE49-F238E27FC236}">
                <a16:creationId xmlns:a16="http://schemas.microsoft.com/office/drawing/2014/main" id="{00000000-0008-0000-0300-00007C8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53" name="Oval 507">
            <a:extLst>
              <a:ext uri="{FF2B5EF4-FFF2-40B4-BE49-F238E27FC236}">
                <a16:creationId xmlns:a16="http://schemas.microsoft.com/office/drawing/2014/main" id="{00000000-0008-0000-0300-00007D8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54" name="Rectangle 508">
            <a:extLst>
              <a:ext uri="{FF2B5EF4-FFF2-40B4-BE49-F238E27FC236}">
                <a16:creationId xmlns:a16="http://schemas.microsoft.com/office/drawing/2014/main" id="{00000000-0008-0000-0300-00007E82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55" name="Rectangle 509">
            <a:extLst>
              <a:ext uri="{FF2B5EF4-FFF2-40B4-BE49-F238E27FC236}">
                <a16:creationId xmlns:a16="http://schemas.microsoft.com/office/drawing/2014/main" id="{00000000-0008-0000-0300-00007F82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56" name="Rectangle 510">
            <a:extLst>
              <a:ext uri="{FF2B5EF4-FFF2-40B4-BE49-F238E27FC236}">
                <a16:creationId xmlns:a16="http://schemas.microsoft.com/office/drawing/2014/main" id="{00000000-0008-0000-0300-0000808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57" name="Rectangle 511">
            <a:extLst>
              <a:ext uri="{FF2B5EF4-FFF2-40B4-BE49-F238E27FC236}">
                <a16:creationId xmlns:a16="http://schemas.microsoft.com/office/drawing/2014/main" id="{00000000-0008-0000-0300-0000818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3058" name="Group 512">
            <a:extLst>
              <a:ext uri="{FF2B5EF4-FFF2-40B4-BE49-F238E27FC236}">
                <a16:creationId xmlns:a16="http://schemas.microsoft.com/office/drawing/2014/main" id="{00000000-0008-0000-0300-00008282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3061" name="Rectangle 513">
              <a:extLst>
                <a:ext uri="{FF2B5EF4-FFF2-40B4-BE49-F238E27FC236}">
                  <a16:creationId xmlns:a16="http://schemas.microsoft.com/office/drawing/2014/main" id="{00000000-0008-0000-0300-000085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62" name="Line 514">
              <a:extLst>
                <a:ext uri="{FF2B5EF4-FFF2-40B4-BE49-F238E27FC236}">
                  <a16:creationId xmlns:a16="http://schemas.microsoft.com/office/drawing/2014/main" id="{00000000-0008-0000-0300-0000868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63" name="Line 515">
              <a:extLst>
                <a:ext uri="{FF2B5EF4-FFF2-40B4-BE49-F238E27FC236}">
                  <a16:creationId xmlns:a16="http://schemas.microsoft.com/office/drawing/2014/main" id="{00000000-0008-0000-0300-0000878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64" name="Rectangle 516">
              <a:extLst>
                <a:ext uri="{FF2B5EF4-FFF2-40B4-BE49-F238E27FC236}">
                  <a16:creationId xmlns:a16="http://schemas.microsoft.com/office/drawing/2014/main" id="{00000000-0008-0000-0300-000088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65" name="Oval 517">
              <a:extLst>
                <a:ext uri="{FF2B5EF4-FFF2-40B4-BE49-F238E27FC236}">
                  <a16:creationId xmlns:a16="http://schemas.microsoft.com/office/drawing/2014/main" id="{00000000-0008-0000-0300-000089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66" name="Oval 518">
              <a:extLst>
                <a:ext uri="{FF2B5EF4-FFF2-40B4-BE49-F238E27FC236}">
                  <a16:creationId xmlns:a16="http://schemas.microsoft.com/office/drawing/2014/main" id="{00000000-0008-0000-0300-00008A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67" name="Rectangle 519">
              <a:extLst>
                <a:ext uri="{FF2B5EF4-FFF2-40B4-BE49-F238E27FC236}">
                  <a16:creationId xmlns:a16="http://schemas.microsoft.com/office/drawing/2014/main" id="{00000000-0008-0000-0300-00008B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68" name="Rectangle 520">
              <a:extLst>
                <a:ext uri="{FF2B5EF4-FFF2-40B4-BE49-F238E27FC236}">
                  <a16:creationId xmlns:a16="http://schemas.microsoft.com/office/drawing/2014/main" id="{00000000-0008-0000-0300-00008C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69" name="Rectangle 521">
              <a:extLst>
                <a:ext uri="{FF2B5EF4-FFF2-40B4-BE49-F238E27FC236}">
                  <a16:creationId xmlns:a16="http://schemas.microsoft.com/office/drawing/2014/main" id="{00000000-0008-0000-0300-00008D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70" name="Rectangle 522">
              <a:extLst>
                <a:ext uri="{FF2B5EF4-FFF2-40B4-BE49-F238E27FC236}">
                  <a16:creationId xmlns:a16="http://schemas.microsoft.com/office/drawing/2014/main" id="{00000000-0008-0000-0300-00008E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3059" name="Rectangle 523">
            <a:extLst>
              <a:ext uri="{FF2B5EF4-FFF2-40B4-BE49-F238E27FC236}">
                <a16:creationId xmlns:a16="http://schemas.microsoft.com/office/drawing/2014/main" id="{00000000-0008-0000-0300-00008382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60" name="Rectangle 524">
            <a:extLst>
              <a:ext uri="{FF2B5EF4-FFF2-40B4-BE49-F238E27FC236}">
                <a16:creationId xmlns:a16="http://schemas.microsoft.com/office/drawing/2014/main" id="{00000000-0008-0000-0300-00008482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152400</xdr:rowOff>
    </xdr:from>
    <xdr:to>
      <xdr:col>8</xdr:col>
      <xdr:colOff>0</xdr:colOff>
      <xdr:row>3</xdr:row>
      <xdr:rowOff>0</xdr:rowOff>
    </xdr:to>
    <xdr:grpSp>
      <xdr:nvGrpSpPr>
        <xdr:cNvPr id="1208276" name="Group 525">
          <a:extLst>
            <a:ext uri="{FF2B5EF4-FFF2-40B4-BE49-F238E27FC236}">
              <a16:creationId xmlns:a16="http://schemas.microsoft.com/office/drawing/2014/main" id="{00000000-0008-0000-0300-0000D46F1200}"/>
            </a:ext>
          </a:extLst>
        </xdr:cNvPr>
        <xdr:cNvGrpSpPr>
          <a:grpSpLocks/>
        </xdr:cNvGrpSpPr>
      </xdr:nvGrpSpPr>
      <xdr:grpSpPr bwMode="auto">
        <a:xfrm>
          <a:off x="6766560" y="1280160"/>
          <a:ext cx="0" cy="416560"/>
          <a:chOff x="333" y="153"/>
          <a:chExt cx="219" cy="333"/>
        </a:xfrm>
      </xdr:grpSpPr>
      <xdr:sp macro="" textlink="">
        <xdr:nvSpPr>
          <xdr:cNvPr id="1213038" name="Rectangle 526">
            <a:extLst>
              <a:ext uri="{FF2B5EF4-FFF2-40B4-BE49-F238E27FC236}">
                <a16:creationId xmlns:a16="http://schemas.microsoft.com/office/drawing/2014/main" id="{00000000-0008-0000-0300-00006E82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39" name="Line 527">
            <a:extLst>
              <a:ext uri="{FF2B5EF4-FFF2-40B4-BE49-F238E27FC236}">
                <a16:creationId xmlns:a16="http://schemas.microsoft.com/office/drawing/2014/main" id="{00000000-0008-0000-0300-00006F821200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40" name="Line 528">
            <a:extLst>
              <a:ext uri="{FF2B5EF4-FFF2-40B4-BE49-F238E27FC236}">
                <a16:creationId xmlns:a16="http://schemas.microsoft.com/office/drawing/2014/main" id="{00000000-0008-0000-0300-00007082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41" name="Rectangle 529">
            <a:extLst>
              <a:ext uri="{FF2B5EF4-FFF2-40B4-BE49-F238E27FC236}">
                <a16:creationId xmlns:a16="http://schemas.microsoft.com/office/drawing/2014/main" id="{00000000-0008-0000-0300-000071821200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42" name="Oval 530">
            <a:extLst>
              <a:ext uri="{FF2B5EF4-FFF2-40B4-BE49-F238E27FC236}">
                <a16:creationId xmlns:a16="http://schemas.microsoft.com/office/drawing/2014/main" id="{00000000-0008-0000-0300-00007282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43" name="Oval 531">
            <a:extLst>
              <a:ext uri="{FF2B5EF4-FFF2-40B4-BE49-F238E27FC236}">
                <a16:creationId xmlns:a16="http://schemas.microsoft.com/office/drawing/2014/main" id="{00000000-0008-0000-0300-00007382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44" name="Rectangle 532">
            <a:extLst>
              <a:ext uri="{FF2B5EF4-FFF2-40B4-BE49-F238E27FC236}">
                <a16:creationId xmlns:a16="http://schemas.microsoft.com/office/drawing/2014/main" id="{00000000-0008-0000-0300-000074821200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45" name="Rectangle 533">
            <a:extLst>
              <a:ext uri="{FF2B5EF4-FFF2-40B4-BE49-F238E27FC236}">
                <a16:creationId xmlns:a16="http://schemas.microsoft.com/office/drawing/2014/main" id="{00000000-0008-0000-0300-000075821200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46" name="Rectangle 534">
            <a:extLst>
              <a:ext uri="{FF2B5EF4-FFF2-40B4-BE49-F238E27FC236}">
                <a16:creationId xmlns:a16="http://schemas.microsoft.com/office/drawing/2014/main" id="{00000000-0008-0000-0300-00007682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47" name="Rectangle 535">
            <a:extLst>
              <a:ext uri="{FF2B5EF4-FFF2-40B4-BE49-F238E27FC236}">
                <a16:creationId xmlns:a16="http://schemas.microsoft.com/office/drawing/2014/main" id="{00000000-0008-0000-0300-00007782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152400</xdr:rowOff>
    </xdr:from>
    <xdr:to>
      <xdr:col>8</xdr:col>
      <xdr:colOff>0</xdr:colOff>
      <xdr:row>3</xdr:row>
      <xdr:rowOff>0</xdr:rowOff>
    </xdr:to>
    <xdr:grpSp>
      <xdr:nvGrpSpPr>
        <xdr:cNvPr id="1208277" name="Group 536">
          <a:extLst>
            <a:ext uri="{FF2B5EF4-FFF2-40B4-BE49-F238E27FC236}">
              <a16:creationId xmlns:a16="http://schemas.microsoft.com/office/drawing/2014/main" id="{00000000-0008-0000-0300-0000D56F1200}"/>
            </a:ext>
          </a:extLst>
        </xdr:cNvPr>
        <xdr:cNvGrpSpPr>
          <a:grpSpLocks/>
        </xdr:cNvGrpSpPr>
      </xdr:nvGrpSpPr>
      <xdr:grpSpPr bwMode="auto">
        <a:xfrm>
          <a:off x="6766560" y="1280160"/>
          <a:ext cx="0" cy="416560"/>
          <a:chOff x="333" y="153"/>
          <a:chExt cx="219" cy="333"/>
        </a:xfrm>
      </xdr:grpSpPr>
      <xdr:sp macro="" textlink="">
        <xdr:nvSpPr>
          <xdr:cNvPr id="1213028" name="Rectangle 537">
            <a:extLst>
              <a:ext uri="{FF2B5EF4-FFF2-40B4-BE49-F238E27FC236}">
                <a16:creationId xmlns:a16="http://schemas.microsoft.com/office/drawing/2014/main" id="{00000000-0008-0000-0300-00006482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29" name="Line 538">
            <a:extLst>
              <a:ext uri="{FF2B5EF4-FFF2-40B4-BE49-F238E27FC236}">
                <a16:creationId xmlns:a16="http://schemas.microsoft.com/office/drawing/2014/main" id="{00000000-0008-0000-0300-000065821200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30" name="Line 539">
            <a:extLst>
              <a:ext uri="{FF2B5EF4-FFF2-40B4-BE49-F238E27FC236}">
                <a16:creationId xmlns:a16="http://schemas.microsoft.com/office/drawing/2014/main" id="{00000000-0008-0000-0300-00006682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31" name="Rectangle 540">
            <a:extLst>
              <a:ext uri="{FF2B5EF4-FFF2-40B4-BE49-F238E27FC236}">
                <a16:creationId xmlns:a16="http://schemas.microsoft.com/office/drawing/2014/main" id="{00000000-0008-0000-0300-000067821200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32" name="Oval 541">
            <a:extLst>
              <a:ext uri="{FF2B5EF4-FFF2-40B4-BE49-F238E27FC236}">
                <a16:creationId xmlns:a16="http://schemas.microsoft.com/office/drawing/2014/main" id="{00000000-0008-0000-0300-00006882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33" name="Oval 542">
            <a:extLst>
              <a:ext uri="{FF2B5EF4-FFF2-40B4-BE49-F238E27FC236}">
                <a16:creationId xmlns:a16="http://schemas.microsoft.com/office/drawing/2014/main" id="{00000000-0008-0000-0300-00006982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34" name="Rectangle 543">
            <a:extLst>
              <a:ext uri="{FF2B5EF4-FFF2-40B4-BE49-F238E27FC236}">
                <a16:creationId xmlns:a16="http://schemas.microsoft.com/office/drawing/2014/main" id="{00000000-0008-0000-0300-00006A821200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35" name="Rectangle 544">
            <a:extLst>
              <a:ext uri="{FF2B5EF4-FFF2-40B4-BE49-F238E27FC236}">
                <a16:creationId xmlns:a16="http://schemas.microsoft.com/office/drawing/2014/main" id="{00000000-0008-0000-0300-00006B821200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36" name="Rectangle 545">
            <a:extLst>
              <a:ext uri="{FF2B5EF4-FFF2-40B4-BE49-F238E27FC236}">
                <a16:creationId xmlns:a16="http://schemas.microsoft.com/office/drawing/2014/main" id="{00000000-0008-0000-0300-00006C82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37" name="Rectangle 546">
            <a:extLst>
              <a:ext uri="{FF2B5EF4-FFF2-40B4-BE49-F238E27FC236}">
                <a16:creationId xmlns:a16="http://schemas.microsoft.com/office/drawing/2014/main" id="{00000000-0008-0000-0300-00006D82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165100</xdr:rowOff>
    </xdr:from>
    <xdr:to>
      <xdr:col>8</xdr:col>
      <xdr:colOff>0</xdr:colOff>
      <xdr:row>2</xdr:row>
      <xdr:rowOff>546100</xdr:rowOff>
    </xdr:to>
    <xdr:grpSp>
      <xdr:nvGrpSpPr>
        <xdr:cNvPr id="1208278" name="Group 547">
          <a:extLst>
            <a:ext uri="{FF2B5EF4-FFF2-40B4-BE49-F238E27FC236}">
              <a16:creationId xmlns:a16="http://schemas.microsoft.com/office/drawing/2014/main" id="{00000000-0008-0000-0300-0000D66F1200}"/>
            </a:ext>
          </a:extLst>
        </xdr:cNvPr>
        <xdr:cNvGrpSpPr>
          <a:grpSpLocks/>
        </xdr:cNvGrpSpPr>
      </xdr:nvGrpSpPr>
      <xdr:grpSpPr bwMode="auto">
        <a:xfrm>
          <a:off x="6766560" y="1292860"/>
          <a:ext cx="0" cy="381000"/>
          <a:chOff x="335" y="195"/>
          <a:chExt cx="352" cy="282"/>
        </a:xfrm>
      </xdr:grpSpPr>
      <xdr:grpSp>
        <xdr:nvGrpSpPr>
          <xdr:cNvPr id="1213006" name="Group 548">
            <a:extLst>
              <a:ext uri="{FF2B5EF4-FFF2-40B4-BE49-F238E27FC236}">
                <a16:creationId xmlns:a16="http://schemas.microsoft.com/office/drawing/2014/main" id="{00000000-0008-0000-0300-00004E82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3018" name="Rectangle 549">
              <a:extLst>
                <a:ext uri="{FF2B5EF4-FFF2-40B4-BE49-F238E27FC236}">
                  <a16:creationId xmlns:a16="http://schemas.microsoft.com/office/drawing/2014/main" id="{00000000-0008-0000-0300-00005A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19" name="Line 550">
              <a:extLst>
                <a:ext uri="{FF2B5EF4-FFF2-40B4-BE49-F238E27FC236}">
                  <a16:creationId xmlns:a16="http://schemas.microsoft.com/office/drawing/2014/main" id="{00000000-0008-0000-0300-00005B8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20" name="Line 551">
              <a:extLst>
                <a:ext uri="{FF2B5EF4-FFF2-40B4-BE49-F238E27FC236}">
                  <a16:creationId xmlns:a16="http://schemas.microsoft.com/office/drawing/2014/main" id="{00000000-0008-0000-0300-00005C8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21" name="Rectangle 552">
              <a:extLst>
                <a:ext uri="{FF2B5EF4-FFF2-40B4-BE49-F238E27FC236}">
                  <a16:creationId xmlns:a16="http://schemas.microsoft.com/office/drawing/2014/main" id="{00000000-0008-0000-0300-00005D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22" name="Oval 553">
              <a:extLst>
                <a:ext uri="{FF2B5EF4-FFF2-40B4-BE49-F238E27FC236}">
                  <a16:creationId xmlns:a16="http://schemas.microsoft.com/office/drawing/2014/main" id="{00000000-0008-0000-0300-00005E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23" name="Oval 554">
              <a:extLst>
                <a:ext uri="{FF2B5EF4-FFF2-40B4-BE49-F238E27FC236}">
                  <a16:creationId xmlns:a16="http://schemas.microsoft.com/office/drawing/2014/main" id="{00000000-0008-0000-0300-00005F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24" name="Rectangle 555">
              <a:extLst>
                <a:ext uri="{FF2B5EF4-FFF2-40B4-BE49-F238E27FC236}">
                  <a16:creationId xmlns:a16="http://schemas.microsoft.com/office/drawing/2014/main" id="{00000000-0008-0000-0300-000060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25" name="Rectangle 556">
              <a:extLst>
                <a:ext uri="{FF2B5EF4-FFF2-40B4-BE49-F238E27FC236}">
                  <a16:creationId xmlns:a16="http://schemas.microsoft.com/office/drawing/2014/main" id="{00000000-0008-0000-0300-000061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26" name="Rectangle 557">
              <a:extLst>
                <a:ext uri="{FF2B5EF4-FFF2-40B4-BE49-F238E27FC236}">
                  <a16:creationId xmlns:a16="http://schemas.microsoft.com/office/drawing/2014/main" id="{00000000-0008-0000-0300-000062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27" name="Rectangle 558">
              <a:extLst>
                <a:ext uri="{FF2B5EF4-FFF2-40B4-BE49-F238E27FC236}">
                  <a16:creationId xmlns:a16="http://schemas.microsoft.com/office/drawing/2014/main" id="{00000000-0008-0000-0300-000063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3007" name="Group 559">
            <a:extLst>
              <a:ext uri="{FF2B5EF4-FFF2-40B4-BE49-F238E27FC236}">
                <a16:creationId xmlns:a16="http://schemas.microsoft.com/office/drawing/2014/main" id="{00000000-0008-0000-0300-00004F82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3008" name="Rectangle 560">
              <a:extLst>
                <a:ext uri="{FF2B5EF4-FFF2-40B4-BE49-F238E27FC236}">
                  <a16:creationId xmlns:a16="http://schemas.microsoft.com/office/drawing/2014/main" id="{00000000-0008-0000-0300-000050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09" name="Line 561">
              <a:extLst>
                <a:ext uri="{FF2B5EF4-FFF2-40B4-BE49-F238E27FC236}">
                  <a16:creationId xmlns:a16="http://schemas.microsoft.com/office/drawing/2014/main" id="{00000000-0008-0000-0300-0000518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10" name="Line 562">
              <a:extLst>
                <a:ext uri="{FF2B5EF4-FFF2-40B4-BE49-F238E27FC236}">
                  <a16:creationId xmlns:a16="http://schemas.microsoft.com/office/drawing/2014/main" id="{00000000-0008-0000-0300-0000528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11" name="Rectangle 563">
              <a:extLst>
                <a:ext uri="{FF2B5EF4-FFF2-40B4-BE49-F238E27FC236}">
                  <a16:creationId xmlns:a16="http://schemas.microsoft.com/office/drawing/2014/main" id="{00000000-0008-0000-0300-000053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12" name="Oval 564">
              <a:extLst>
                <a:ext uri="{FF2B5EF4-FFF2-40B4-BE49-F238E27FC236}">
                  <a16:creationId xmlns:a16="http://schemas.microsoft.com/office/drawing/2014/main" id="{00000000-0008-0000-0300-000054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13" name="Oval 565">
              <a:extLst>
                <a:ext uri="{FF2B5EF4-FFF2-40B4-BE49-F238E27FC236}">
                  <a16:creationId xmlns:a16="http://schemas.microsoft.com/office/drawing/2014/main" id="{00000000-0008-0000-0300-000055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14" name="Rectangle 566">
              <a:extLst>
                <a:ext uri="{FF2B5EF4-FFF2-40B4-BE49-F238E27FC236}">
                  <a16:creationId xmlns:a16="http://schemas.microsoft.com/office/drawing/2014/main" id="{00000000-0008-0000-0300-000056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15" name="Rectangle 567">
              <a:extLst>
                <a:ext uri="{FF2B5EF4-FFF2-40B4-BE49-F238E27FC236}">
                  <a16:creationId xmlns:a16="http://schemas.microsoft.com/office/drawing/2014/main" id="{00000000-0008-0000-0300-000057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16" name="Rectangle 568">
              <a:extLst>
                <a:ext uri="{FF2B5EF4-FFF2-40B4-BE49-F238E27FC236}">
                  <a16:creationId xmlns:a16="http://schemas.microsoft.com/office/drawing/2014/main" id="{00000000-0008-0000-0300-000058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17" name="Rectangle 569">
              <a:extLst>
                <a:ext uri="{FF2B5EF4-FFF2-40B4-BE49-F238E27FC236}">
                  <a16:creationId xmlns:a16="http://schemas.microsoft.com/office/drawing/2014/main" id="{00000000-0008-0000-0300-000059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8</xdr:col>
      <xdr:colOff>0</xdr:colOff>
      <xdr:row>2</xdr:row>
      <xdr:rowOff>165100</xdr:rowOff>
    </xdr:from>
    <xdr:to>
      <xdr:col>8</xdr:col>
      <xdr:colOff>0</xdr:colOff>
      <xdr:row>2</xdr:row>
      <xdr:rowOff>546100</xdr:rowOff>
    </xdr:to>
    <xdr:grpSp>
      <xdr:nvGrpSpPr>
        <xdr:cNvPr id="1208279" name="Group 570">
          <a:extLst>
            <a:ext uri="{FF2B5EF4-FFF2-40B4-BE49-F238E27FC236}">
              <a16:creationId xmlns:a16="http://schemas.microsoft.com/office/drawing/2014/main" id="{00000000-0008-0000-0300-0000D76F1200}"/>
            </a:ext>
          </a:extLst>
        </xdr:cNvPr>
        <xdr:cNvGrpSpPr>
          <a:grpSpLocks/>
        </xdr:cNvGrpSpPr>
      </xdr:nvGrpSpPr>
      <xdr:grpSpPr bwMode="auto">
        <a:xfrm>
          <a:off x="6766560" y="1292860"/>
          <a:ext cx="0" cy="381000"/>
          <a:chOff x="335" y="195"/>
          <a:chExt cx="352" cy="282"/>
        </a:xfrm>
      </xdr:grpSpPr>
      <xdr:grpSp>
        <xdr:nvGrpSpPr>
          <xdr:cNvPr id="1212984" name="Group 571">
            <a:extLst>
              <a:ext uri="{FF2B5EF4-FFF2-40B4-BE49-F238E27FC236}">
                <a16:creationId xmlns:a16="http://schemas.microsoft.com/office/drawing/2014/main" id="{00000000-0008-0000-0300-00003882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2996" name="Rectangle 572">
              <a:extLst>
                <a:ext uri="{FF2B5EF4-FFF2-40B4-BE49-F238E27FC236}">
                  <a16:creationId xmlns:a16="http://schemas.microsoft.com/office/drawing/2014/main" id="{00000000-0008-0000-0300-000044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97" name="Line 573">
              <a:extLst>
                <a:ext uri="{FF2B5EF4-FFF2-40B4-BE49-F238E27FC236}">
                  <a16:creationId xmlns:a16="http://schemas.microsoft.com/office/drawing/2014/main" id="{00000000-0008-0000-0300-0000458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98" name="Line 574">
              <a:extLst>
                <a:ext uri="{FF2B5EF4-FFF2-40B4-BE49-F238E27FC236}">
                  <a16:creationId xmlns:a16="http://schemas.microsoft.com/office/drawing/2014/main" id="{00000000-0008-0000-0300-0000468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99" name="Rectangle 575">
              <a:extLst>
                <a:ext uri="{FF2B5EF4-FFF2-40B4-BE49-F238E27FC236}">
                  <a16:creationId xmlns:a16="http://schemas.microsoft.com/office/drawing/2014/main" id="{00000000-0008-0000-0300-000047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00" name="Oval 576">
              <a:extLst>
                <a:ext uri="{FF2B5EF4-FFF2-40B4-BE49-F238E27FC236}">
                  <a16:creationId xmlns:a16="http://schemas.microsoft.com/office/drawing/2014/main" id="{00000000-0008-0000-0300-000048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01" name="Oval 577">
              <a:extLst>
                <a:ext uri="{FF2B5EF4-FFF2-40B4-BE49-F238E27FC236}">
                  <a16:creationId xmlns:a16="http://schemas.microsoft.com/office/drawing/2014/main" id="{00000000-0008-0000-0300-000049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02" name="Rectangle 578">
              <a:extLst>
                <a:ext uri="{FF2B5EF4-FFF2-40B4-BE49-F238E27FC236}">
                  <a16:creationId xmlns:a16="http://schemas.microsoft.com/office/drawing/2014/main" id="{00000000-0008-0000-0300-00004A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03" name="Rectangle 579">
              <a:extLst>
                <a:ext uri="{FF2B5EF4-FFF2-40B4-BE49-F238E27FC236}">
                  <a16:creationId xmlns:a16="http://schemas.microsoft.com/office/drawing/2014/main" id="{00000000-0008-0000-0300-00004B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04" name="Rectangle 580">
              <a:extLst>
                <a:ext uri="{FF2B5EF4-FFF2-40B4-BE49-F238E27FC236}">
                  <a16:creationId xmlns:a16="http://schemas.microsoft.com/office/drawing/2014/main" id="{00000000-0008-0000-0300-00004C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05" name="Rectangle 581">
              <a:extLst>
                <a:ext uri="{FF2B5EF4-FFF2-40B4-BE49-F238E27FC236}">
                  <a16:creationId xmlns:a16="http://schemas.microsoft.com/office/drawing/2014/main" id="{00000000-0008-0000-0300-00004D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2985" name="Group 582">
            <a:extLst>
              <a:ext uri="{FF2B5EF4-FFF2-40B4-BE49-F238E27FC236}">
                <a16:creationId xmlns:a16="http://schemas.microsoft.com/office/drawing/2014/main" id="{00000000-0008-0000-0300-00003982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2986" name="Rectangle 583">
              <a:extLst>
                <a:ext uri="{FF2B5EF4-FFF2-40B4-BE49-F238E27FC236}">
                  <a16:creationId xmlns:a16="http://schemas.microsoft.com/office/drawing/2014/main" id="{00000000-0008-0000-0300-00003A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87" name="Line 584">
              <a:extLst>
                <a:ext uri="{FF2B5EF4-FFF2-40B4-BE49-F238E27FC236}">
                  <a16:creationId xmlns:a16="http://schemas.microsoft.com/office/drawing/2014/main" id="{00000000-0008-0000-0300-00003B8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88" name="Line 585">
              <a:extLst>
                <a:ext uri="{FF2B5EF4-FFF2-40B4-BE49-F238E27FC236}">
                  <a16:creationId xmlns:a16="http://schemas.microsoft.com/office/drawing/2014/main" id="{00000000-0008-0000-0300-00003C8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89" name="Rectangle 586">
              <a:extLst>
                <a:ext uri="{FF2B5EF4-FFF2-40B4-BE49-F238E27FC236}">
                  <a16:creationId xmlns:a16="http://schemas.microsoft.com/office/drawing/2014/main" id="{00000000-0008-0000-0300-00003D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90" name="Oval 587">
              <a:extLst>
                <a:ext uri="{FF2B5EF4-FFF2-40B4-BE49-F238E27FC236}">
                  <a16:creationId xmlns:a16="http://schemas.microsoft.com/office/drawing/2014/main" id="{00000000-0008-0000-0300-00003E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91" name="Oval 588">
              <a:extLst>
                <a:ext uri="{FF2B5EF4-FFF2-40B4-BE49-F238E27FC236}">
                  <a16:creationId xmlns:a16="http://schemas.microsoft.com/office/drawing/2014/main" id="{00000000-0008-0000-0300-00003F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92" name="Rectangle 589">
              <a:extLst>
                <a:ext uri="{FF2B5EF4-FFF2-40B4-BE49-F238E27FC236}">
                  <a16:creationId xmlns:a16="http://schemas.microsoft.com/office/drawing/2014/main" id="{00000000-0008-0000-0300-000040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93" name="Rectangle 590">
              <a:extLst>
                <a:ext uri="{FF2B5EF4-FFF2-40B4-BE49-F238E27FC236}">
                  <a16:creationId xmlns:a16="http://schemas.microsoft.com/office/drawing/2014/main" id="{00000000-0008-0000-0300-000041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94" name="Rectangle 591">
              <a:extLst>
                <a:ext uri="{FF2B5EF4-FFF2-40B4-BE49-F238E27FC236}">
                  <a16:creationId xmlns:a16="http://schemas.microsoft.com/office/drawing/2014/main" id="{00000000-0008-0000-0300-000042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95" name="Rectangle 592">
              <a:extLst>
                <a:ext uri="{FF2B5EF4-FFF2-40B4-BE49-F238E27FC236}">
                  <a16:creationId xmlns:a16="http://schemas.microsoft.com/office/drawing/2014/main" id="{00000000-0008-0000-0300-000043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8</xdr:col>
      <xdr:colOff>0</xdr:colOff>
      <xdr:row>2</xdr:row>
      <xdr:rowOff>165100</xdr:rowOff>
    </xdr:from>
    <xdr:to>
      <xdr:col>8</xdr:col>
      <xdr:colOff>0</xdr:colOff>
      <xdr:row>2</xdr:row>
      <xdr:rowOff>546100</xdr:rowOff>
    </xdr:to>
    <xdr:grpSp>
      <xdr:nvGrpSpPr>
        <xdr:cNvPr id="1208280" name="Group 593">
          <a:extLst>
            <a:ext uri="{FF2B5EF4-FFF2-40B4-BE49-F238E27FC236}">
              <a16:creationId xmlns:a16="http://schemas.microsoft.com/office/drawing/2014/main" id="{00000000-0008-0000-0300-0000D86F1200}"/>
            </a:ext>
          </a:extLst>
        </xdr:cNvPr>
        <xdr:cNvGrpSpPr>
          <a:grpSpLocks/>
        </xdr:cNvGrpSpPr>
      </xdr:nvGrpSpPr>
      <xdr:grpSpPr bwMode="auto">
        <a:xfrm>
          <a:off x="6766560" y="1292860"/>
          <a:ext cx="0" cy="381000"/>
          <a:chOff x="335" y="195"/>
          <a:chExt cx="352" cy="282"/>
        </a:xfrm>
      </xdr:grpSpPr>
      <xdr:grpSp>
        <xdr:nvGrpSpPr>
          <xdr:cNvPr id="1212962" name="Group 594">
            <a:extLst>
              <a:ext uri="{FF2B5EF4-FFF2-40B4-BE49-F238E27FC236}">
                <a16:creationId xmlns:a16="http://schemas.microsoft.com/office/drawing/2014/main" id="{00000000-0008-0000-0300-00002282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2974" name="Rectangle 595">
              <a:extLst>
                <a:ext uri="{FF2B5EF4-FFF2-40B4-BE49-F238E27FC236}">
                  <a16:creationId xmlns:a16="http://schemas.microsoft.com/office/drawing/2014/main" id="{00000000-0008-0000-0300-00002E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75" name="Line 596">
              <a:extLst>
                <a:ext uri="{FF2B5EF4-FFF2-40B4-BE49-F238E27FC236}">
                  <a16:creationId xmlns:a16="http://schemas.microsoft.com/office/drawing/2014/main" id="{00000000-0008-0000-0300-00002F8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76" name="Line 597">
              <a:extLst>
                <a:ext uri="{FF2B5EF4-FFF2-40B4-BE49-F238E27FC236}">
                  <a16:creationId xmlns:a16="http://schemas.microsoft.com/office/drawing/2014/main" id="{00000000-0008-0000-0300-0000308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77" name="Rectangle 598">
              <a:extLst>
                <a:ext uri="{FF2B5EF4-FFF2-40B4-BE49-F238E27FC236}">
                  <a16:creationId xmlns:a16="http://schemas.microsoft.com/office/drawing/2014/main" id="{00000000-0008-0000-0300-000031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78" name="Oval 599">
              <a:extLst>
                <a:ext uri="{FF2B5EF4-FFF2-40B4-BE49-F238E27FC236}">
                  <a16:creationId xmlns:a16="http://schemas.microsoft.com/office/drawing/2014/main" id="{00000000-0008-0000-0300-000032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79" name="Oval 600">
              <a:extLst>
                <a:ext uri="{FF2B5EF4-FFF2-40B4-BE49-F238E27FC236}">
                  <a16:creationId xmlns:a16="http://schemas.microsoft.com/office/drawing/2014/main" id="{00000000-0008-0000-0300-000033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80" name="Rectangle 601">
              <a:extLst>
                <a:ext uri="{FF2B5EF4-FFF2-40B4-BE49-F238E27FC236}">
                  <a16:creationId xmlns:a16="http://schemas.microsoft.com/office/drawing/2014/main" id="{00000000-0008-0000-0300-000034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81" name="Rectangle 602">
              <a:extLst>
                <a:ext uri="{FF2B5EF4-FFF2-40B4-BE49-F238E27FC236}">
                  <a16:creationId xmlns:a16="http://schemas.microsoft.com/office/drawing/2014/main" id="{00000000-0008-0000-0300-000035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82" name="Rectangle 603">
              <a:extLst>
                <a:ext uri="{FF2B5EF4-FFF2-40B4-BE49-F238E27FC236}">
                  <a16:creationId xmlns:a16="http://schemas.microsoft.com/office/drawing/2014/main" id="{00000000-0008-0000-0300-000036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83" name="Rectangle 604">
              <a:extLst>
                <a:ext uri="{FF2B5EF4-FFF2-40B4-BE49-F238E27FC236}">
                  <a16:creationId xmlns:a16="http://schemas.microsoft.com/office/drawing/2014/main" id="{00000000-0008-0000-0300-000037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2963" name="Group 605">
            <a:extLst>
              <a:ext uri="{FF2B5EF4-FFF2-40B4-BE49-F238E27FC236}">
                <a16:creationId xmlns:a16="http://schemas.microsoft.com/office/drawing/2014/main" id="{00000000-0008-0000-0300-00002382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2964" name="Rectangle 606">
              <a:extLst>
                <a:ext uri="{FF2B5EF4-FFF2-40B4-BE49-F238E27FC236}">
                  <a16:creationId xmlns:a16="http://schemas.microsoft.com/office/drawing/2014/main" id="{00000000-0008-0000-0300-000024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65" name="Line 607">
              <a:extLst>
                <a:ext uri="{FF2B5EF4-FFF2-40B4-BE49-F238E27FC236}">
                  <a16:creationId xmlns:a16="http://schemas.microsoft.com/office/drawing/2014/main" id="{00000000-0008-0000-0300-0000258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66" name="Line 608">
              <a:extLst>
                <a:ext uri="{FF2B5EF4-FFF2-40B4-BE49-F238E27FC236}">
                  <a16:creationId xmlns:a16="http://schemas.microsoft.com/office/drawing/2014/main" id="{00000000-0008-0000-0300-0000268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67" name="Rectangle 609">
              <a:extLst>
                <a:ext uri="{FF2B5EF4-FFF2-40B4-BE49-F238E27FC236}">
                  <a16:creationId xmlns:a16="http://schemas.microsoft.com/office/drawing/2014/main" id="{00000000-0008-0000-0300-000027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68" name="Oval 610">
              <a:extLst>
                <a:ext uri="{FF2B5EF4-FFF2-40B4-BE49-F238E27FC236}">
                  <a16:creationId xmlns:a16="http://schemas.microsoft.com/office/drawing/2014/main" id="{00000000-0008-0000-0300-000028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69" name="Oval 611">
              <a:extLst>
                <a:ext uri="{FF2B5EF4-FFF2-40B4-BE49-F238E27FC236}">
                  <a16:creationId xmlns:a16="http://schemas.microsoft.com/office/drawing/2014/main" id="{00000000-0008-0000-0300-000029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70" name="Rectangle 612">
              <a:extLst>
                <a:ext uri="{FF2B5EF4-FFF2-40B4-BE49-F238E27FC236}">
                  <a16:creationId xmlns:a16="http://schemas.microsoft.com/office/drawing/2014/main" id="{00000000-0008-0000-0300-00002A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71" name="Rectangle 613">
              <a:extLst>
                <a:ext uri="{FF2B5EF4-FFF2-40B4-BE49-F238E27FC236}">
                  <a16:creationId xmlns:a16="http://schemas.microsoft.com/office/drawing/2014/main" id="{00000000-0008-0000-0300-00002B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72" name="Rectangle 614">
              <a:extLst>
                <a:ext uri="{FF2B5EF4-FFF2-40B4-BE49-F238E27FC236}">
                  <a16:creationId xmlns:a16="http://schemas.microsoft.com/office/drawing/2014/main" id="{00000000-0008-0000-0300-00002C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73" name="Rectangle 615">
              <a:extLst>
                <a:ext uri="{FF2B5EF4-FFF2-40B4-BE49-F238E27FC236}">
                  <a16:creationId xmlns:a16="http://schemas.microsoft.com/office/drawing/2014/main" id="{00000000-0008-0000-0300-00002D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8</xdr:col>
      <xdr:colOff>0</xdr:colOff>
      <xdr:row>2</xdr:row>
      <xdr:rowOff>165100</xdr:rowOff>
    </xdr:from>
    <xdr:to>
      <xdr:col>8</xdr:col>
      <xdr:colOff>0</xdr:colOff>
      <xdr:row>2</xdr:row>
      <xdr:rowOff>546100</xdr:rowOff>
    </xdr:to>
    <xdr:grpSp>
      <xdr:nvGrpSpPr>
        <xdr:cNvPr id="1208281" name="Group 616">
          <a:extLst>
            <a:ext uri="{FF2B5EF4-FFF2-40B4-BE49-F238E27FC236}">
              <a16:creationId xmlns:a16="http://schemas.microsoft.com/office/drawing/2014/main" id="{00000000-0008-0000-0300-0000D96F1200}"/>
            </a:ext>
          </a:extLst>
        </xdr:cNvPr>
        <xdr:cNvGrpSpPr>
          <a:grpSpLocks/>
        </xdr:cNvGrpSpPr>
      </xdr:nvGrpSpPr>
      <xdr:grpSpPr bwMode="auto">
        <a:xfrm>
          <a:off x="6766560" y="1292860"/>
          <a:ext cx="0" cy="381000"/>
          <a:chOff x="335" y="195"/>
          <a:chExt cx="352" cy="282"/>
        </a:xfrm>
      </xdr:grpSpPr>
      <xdr:grpSp>
        <xdr:nvGrpSpPr>
          <xdr:cNvPr id="1212940" name="Group 617">
            <a:extLst>
              <a:ext uri="{FF2B5EF4-FFF2-40B4-BE49-F238E27FC236}">
                <a16:creationId xmlns:a16="http://schemas.microsoft.com/office/drawing/2014/main" id="{00000000-0008-0000-0300-00000C82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2952" name="Rectangle 618">
              <a:extLst>
                <a:ext uri="{FF2B5EF4-FFF2-40B4-BE49-F238E27FC236}">
                  <a16:creationId xmlns:a16="http://schemas.microsoft.com/office/drawing/2014/main" id="{00000000-0008-0000-0300-000018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53" name="Line 619">
              <a:extLst>
                <a:ext uri="{FF2B5EF4-FFF2-40B4-BE49-F238E27FC236}">
                  <a16:creationId xmlns:a16="http://schemas.microsoft.com/office/drawing/2014/main" id="{00000000-0008-0000-0300-0000198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54" name="Line 620">
              <a:extLst>
                <a:ext uri="{FF2B5EF4-FFF2-40B4-BE49-F238E27FC236}">
                  <a16:creationId xmlns:a16="http://schemas.microsoft.com/office/drawing/2014/main" id="{00000000-0008-0000-0300-00001A8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55" name="Rectangle 621">
              <a:extLst>
                <a:ext uri="{FF2B5EF4-FFF2-40B4-BE49-F238E27FC236}">
                  <a16:creationId xmlns:a16="http://schemas.microsoft.com/office/drawing/2014/main" id="{00000000-0008-0000-0300-00001B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56" name="Oval 622">
              <a:extLst>
                <a:ext uri="{FF2B5EF4-FFF2-40B4-BE49-F238E27FC236}">
                  <a16:creationId xmlns:a16="http://schemas.microsoft.com/office/drawing/2014/main" id="{00000000-0008-0000-0300-00001C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57" name="Oval 623">
              <a:extLst>
                <a:ext uri="{FF2B5EF4-FFF2-40B4-BE49-F238E27FC236}">
                  <a16:creationId xmlns:a16="http://schemas.microsoft.com/office/drawing/2014/main" id="{00000000-0008-0000-0300-00001D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58" name="Rectangle 624">
              <a:extLst>
                <a:ext uri="{FF2B5EF4-FFF2-40B4-BE49-F238E27FC236}">
                  <a16:creationId xmlns:a16="http://schemas.microsoft.com/office/drawing/2014/main" id="{00000000-0008-0000-0300-00001E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59" name="Rectangle 625">
              <a:extLst>
                <a:ext uri="{FF2B5EF4-FFF2-40B4-BE49-F238E27FC236}">
                  <a16:creationId xmlns:a16="http://schemas.microsoft.com/office/drawing/2014/main" id="{00000000-0008-0000-0300-00001F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60" name="Rectangle 626">
              <a:extLst>
                <a:ext uri="{FF2B5EF4-FFF2-40B4-BE49-F238E27FC236}">
                  <a16:creationId xmlns:a16="http://schemas.microsoft.com/office/drawing/2014/main" id="{00000000-0008-0000-0300-000020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61" name="Rectangle 627">
              <a:extLst>
                <a:ext uri="{FF2B5EF4-FFF2-40B4-BE49-F238E27FC236}">
                  <a16:creationId xmlns:a16="http://schemas.microsoft.com/office/drawing/2014/main" id="{00000000-0008-0000-0300-000021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2941" name="Group 628">
            <a:extLst>
              <a:ext uri="{FF2B5EF4-FFF2-40B4-BE49-F238E27FC236}">
                <a16:creationId xmlns:a16="http://schemas.microsoft.com/office/drawing/2014/main" id="{00000000-0008-0000-0300-00000D82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2942" name="Rectangle 629">
              <a:extLst>
                <a:ext uri="{FF2B5EF4-FFF2-40B4-BE49-F238E27FC236}">
                  <a16:creationId xmlns:a16="http://schemas.microsoft.com/office/drawing/2014/main" id="{00000000-0008-0000-0300-00000E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43" name="Line 630">
              <a:extLst>
                <a:ext uri="{FF2B5EF4-FFF2-40B4-BE49-F238E27FC236}">
                  <a16:creationId xmlns:a16="http://schemas.microsoft.com/office/drawing/2014/main" id="{00000000-0008-0000-0300-00000F8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44" name="Line 631">
              <a:extLst>
                <a:ext uri="{FF2B5EF4-FFF2-40B4-BE49-F238E27FC236}">
                  <a16:creationId xmlns:a16="http://schemas.microsoft.com/office/drawing/2014/main" id="{00000000-0008-0000-0300-0000108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45" name="Rectangle 632">
              <a:extLst>
                <a:ext uri="{FF2B5EF4-FFF2-40B4-BE49-F238E27FC236}">
                  <a16:creationId xmlns:a16="http://schemas.microsoft.com/office/drawing/2014/main" id="{00000000-0008-0000-0300-000011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46" name="Oval 633">
              <a:extLst>
                <a:ext uri="{FF2B5EF4-FFF2-40B4-BE49-F238E27FC236}">
                  <a16:creationId xmlns:a16="http://schemas.microsoft.com/office/drawing/2014/main" id="{00000000-0008-0000-0300-000012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47" name="Oval 634">
              <a:extLst>
                <a:ext uri="{FF2B5EF4-FFF2-40B4-BE49-F238E27FC236}">
                  <a16:creationId xmlns:a16="http://schemas.microsoft.com/office/drawing/2014/main" id="{00000000-0008-0000-0300-000013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48" name="Rectangle 635">
              <a:extLst>
                <a:ext uri="{FF2B5EF4-FFF2-40B4-BE49-F238E27FC236}">
                  <a16:creationId xmlns:a16="http://schemas.microsoft.com/office/drawing/2014/main" id="{00000000-0008-0000-0300-000014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49" name="Rectangle 636">
              <a:extLst>
                <a:ext uri="{FF2B5EF4-FFF2-40B4-BE49-F238E27FC236}">
                  <a16:creationId xmlns:a16="http://schemas.microsoft.com/office/drawing/2014/main" id="{00000000-0008-0000-0300-000015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50" name="Rectangle 637">
              <a:extLst>
                <a:ext uri="{FF2B5EF4-FFF2-40B4-BE49-F238E27FC236}">
                  <a16:creationId xmlns:a16="http://schemas.microsoft.com/office/drawing/2014/main" id="{00000000-0008-0000-0300-000016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51" name="Rectangle 638">
              <a:extLst>
                <a:ext uri="{FF2B5EF4-FFF2-40B4-BE49-F238E27FC236}">
                  <a16:creationId xmlns:a16="http://schemas.microsoft.com/office/drawing/2014/main" id="{00000000-0008-0000-0300-000017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8</xdr:col>
      <xdr:colOff>0</xdr:colOff>
      <xdr:row>2</xdr:row>
      <xdr:rowOff>165100</xdr:rowOff>
    </xdr:from>
    <xdr:to>
      <xdr:col>8</xdr:col>
      <xdr:colOff>0</xdr:colOff>
      <xdr:row>2</xdr:row>
      <xdr:rowOff>546100</xdr:rowOff>
    </xdr:to>
    <xdr:grpSp>
      <xdr:nvGrpSpPr>
        <xdr:cNvPr id="1208282" name="Group 639">
          <a:extLst>
            <a:ext uri="{FF2B5EF4-FFF2-40B4-BE49-F238E27FC236}">
              <a16:creationId xmlns:a16="http://schemas.microsoft.com/office/drawing/2014/main" id="{00000000-0008-0000-0300-0000DA6F1200}"/>
            </a:ext>
          </a:extLst>
        </xdr:cNvPr>
        <xdr:cNvGrpSpPr>
          <a:grpSpLocks/>
        </xdr:cNvGrpSpPr>
      </xdr:nvGrpSpPr>
      <xdr:grpSpPr bwMode="auto">
        <a:xfrm>
          <a:off x="6766560" y="1292860"/>
          <a:ext cx="0" cy="381000"/>
          <a:chOff x="335" y="195"/>
          <a:chExt cx="352" cy="282"/>
        </a:xfrm>
      </xdr:grpSpPr>
      <xdr:grpSp>
        <xdr:nvGrpSpPr>
          <xdr:cNvPr id="1212918" name="Group 640">
            <a:extLst>
              <a:ext uri="{FF2B5EF4-FFF2-40B4-BE49-F238E27FC236}">
                <a16:creationId xmlns:a16="http://schemas.microsoft.com/office/drawing/2014/main" id="{00000000-0008-0000-0300-0000F681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2930" name="Rectangle 641">
              <a:extLst>
                <a:ext uri="{FF2B5EF4-FFF2-40B4-BE49-F238E27FC236}">
                  <a16:creationId xmlns:a16="http://schemas.microsoft.com/office/drawing/2014/main" id="{00000000-0008-0000-0300-000002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31" name="Line 642">
              <a:extLst>
                <a:ext uri="{FF2B5EF4-FFF2-40B4-BE49-F238E27FC236}">
                  <a16:creationId xmlns:a16="http://schemas.microsoft.com/office/drawing/2014/main" id="{00000000-0008-0000-0300-0000038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32" name="Line 643">
              <a:extLst>
                <a:ext uri="{FF2B5EF4-FFF2-40B4-BE49-F238E27FC236}">
                  <a16:creationId xmlns:a16="http://schemas.microsoft.com/office/drawing/2014/main" id="{00000000-0008-0000-0300-0000048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33" name="Rectangle 644">
              <a:extLst>
                <a:ext uri="{FF2B5EF4-FFF2-40B4-BE49-F238E27FC236}">
                  <a16:creationId xmlns:a16="http://schemas.microsoft.com/office/drawing/2014/main" id="{00000000-0008-0000-0300-000005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34" name="Oval 645">
              <a:extLst>
                <a:ext uri="{FF2B5EF4-FFF2-40B4-BE49-F238E27FC236}">
                  <a16:creationId xmlns:a16="http://schemas.microsoft.com/office/drawing/2014/main" id="{00000000-0008-0000-0300-000006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35" name="Oval 646">
              <a:extLst>
                <a:ext uri="{FF2B5EF4-FFF2-40B4-BE49-F238E27FC236}">
                  <a16:creationId xmlns:a16="http://schemas.microsoft.com/office/drawing/2014/main" id="{00000000-0008-0000-0300-000007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36" name="Rectangle 647">
              <a:extLst>
                <a:ext uri="{FF2B5EF4-FFF2-40B4-BE49-F238E27FC236}">
                  <a16:creationId xmlns:a16="http://schemas.microsoft.com/office/drawing/2014/main" id="{00000000-0008-0000-0300-000008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37" name="Rectangle 648">
              <a:extLst>
                <a:ext uri="{FF2B5EF4-FFF2-40B4-BE49-F238E27FC236}">
                  <a16:creationId xmlns:a16="http://schemas.microsoft.com/office/drawing/2014/main" id="{00000000-0008-0000-0300-000009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38" name="Rectangle 649">
              <a:extLst>
                <a:ext uri="{FF2B5EF4-FFF2-40B4-BE49-F238E27FC236}">
                  <a16:creationId xmlns:a16="http://schemas.microsoft.com/office/drawing/2014/main" id="{00000000-0008-0000-0300-00000A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39" name="Rectangle 650">
              <a:extLst>
                <a:ext uri="{FF2B5EF4-FFF2-40B4-BE49-F238E27FC236}">
                  <a16:creationId xmlns:a16="http://schemas.microsoft.com/office/drawing/2014/main" id="{00000000-0008-0000-0300-00000B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2919" name="Group 651">
            <a:extLst>
              <a:ext uri="{FF2B5EF4-FFF2-40B4-BE49-F238E27FC236}">
                <a16:creationId xmlns:a16="http://schemas.microsoft.com/office/drawing/2014/main" id="{00000000-0008-0000-0300-0000F781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2920" name="Rectangle 652">
              <a:extLst>
                <a:ext uri="{FF2B5EF4-FFF2-40B4-BE49-F238E27FC236}">
                  <a16:creationId xmlns:a16="http://schemas.microsoft.com/office/drawing/2014/main" id="{00000000-0008-0000-0300-0000F8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21" name="Line 653">
              <a:extLst>
                <a:ext uri="{FF2B5EF4-FFF2-40B4-BE49-F238E27FC236}">
                  <a16:creationId xmlns:a16="http://schemas.microsoft.com/office/drawing/2014/main" id="{00000000-0008-0000-0300-0000F981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22" name="Line 654">
              <a:extLst>
                <a:ext uri="{FF2B5EF4-FFF2-40B4-BE49-F238E27FC236}">
                  <a16:creationId xmlns:a16="http://schemas.microsoft.com/office/drawing/2014/main" id="{00000000-0008-0000-0300-0000FA81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23" name="Rectangle 655">
              <a:extLst>
                <a:ext uri="{FF2B5EF4-FFF2-40B4-BE49-F238E27FC236}">
                  <a16:creationId xmlns:a16="http://schemas.microsoft.com/office/drawing/2014/main" id="{00000000-0008-0000-0300-0000FB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24" name="Oval 656">
              <a:extLst>
                <a:ext uri="{FF2B5EF4-FFF2-40B4-BE49-F238E27FC236}">
                  <a16:creationId xmlns:a16="http://schemas.microsoft.com/office/drawing/2014/main" id="{00000000-0008-0000-0300-0000FC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25" name="Oval 657">
              <a:extLst>
                <a:ext uri="{FF2B5EF4-FFF2-40B4-BE49-F238E27FC236}">
                  <a16:creationId xmlns:a16="http://schemas.microsoft.com/office/drawing/2014/main" id="{00000000-0008-0000-0300-0000FD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26" name="Rectangle 658">
              <a:extLst>
                <a:ext uri="{FF2B5EF4-FFF2-40B4-BE49-F238E27FC236}">
                  <a16:creationId xmlns:a16="http://schemas.microsoft.com/office/drawing/2014/main" id="{00000000-0008-0000-0300-0000FE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27" name="Rectangle 659">
              <a:extLst>
                <a:ext uri="{FF2B5EF4-FFF2-40B4-BE49-F238E27FC236}">
                  <a16:creationId xmlns:a16="http://schemas.microsoft.com/office/drawing/2014/main" id="{00000000-0008-0000-0300-0000FF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28" name="Rectangle 660">
              <a:extLst>
                <a:ext uri="{FF2B5EF4-FFF2-40B4-BE49-F238E27FC236}">
                  <a16:creationId xmlns:a16="http://schemas.microsoft.com/office/drawing/2014/main" id="{00000000-0008-0000-0300-000000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29" name="Rectangle 661">
              <a:extLst>
                <a:ext uri="{FF2B5EF4-FFF2-40B4-BE49-F238E27FC236}">
                  <a16:creationId xmlns:a16="http://schemas.microsoft.com/office/drawing/2014/main" id="{00000000-0008-0000-0300-000001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8</xdr:col>
      <xdr:colOff>0</xdr:colOff>
      <xdr:row>2</xdr:row>
      <xdr:rowOff>165100</xdr:rowOff>
    </xdr:from>
    <xdr:to>
      <xdr:col>8</xdr:col>
      <xdr:colOff>0</xdr:colOff>
      <xdr:row>2</xdr:row>
      <xdr:rowOff>546100</xdr:rowOff>
    </xdr:to>
    <xdr:grpSp>
      <xdr:nvGrpSpPr>
        <xdr:cNvPr id="1208283" name="Group 662">
          <a:extLst>
            <a:ext uri="{FF2B5EF4-FFF2-40B4-BE49-F238E27FC236}">
              <a16:creationId xmlns:a16="http://schemas.microsoft.com/office/drawing/2014/main" id="{00000000-0008-0000-0300-0000DB6F1200}"/>
            </a:ext>
          </a:extLst>
        </xdr:cNvPr>
        <xdr:cNvGrpSpPr>
          <a:grpSpLocks/>
        </xdr:cNvGrpSpPr>
      </xdr:nvGrpSpPr>
      <xdr:grpSpPr bwMode="auto">
        <a:xfrm>
          <a:off x="6766560" y="1292860"/>
          <a:ext cx="0" cy="381000"/>
          <a:chOff x="335" y="195"/>
          <a:chExt cx="352" cy="282"/>
        </a:xfrm>
      </xdr:grpSpPr>
      <xdr:grpSp>
        <xdr:nvGrpSpPr>
          <xdr:cNvPr id="1212896" name="Group 663">
            <a:extLst>
              <a:ext uri="{FF2B5EF4-FFF2-40B4-BE49-F238E27FC236}">
                <a16:creationId xmlns:a16="http://schemas.microsoft.com/office/drawing/2014/main" id="{00000000-0008-0000-0300-0000E081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2908" name="Rectangle 664">
              <a:extLst>
                <a:ext uri="{FF2B5EF4-FFF2-40B4-BE49-F238E27FC236}">
                  <a16:creationId xmlns:a16="http://schemas.microsoft.com/office/drawing/2014/main" id="{00000000-0008-0000-0300-0000EC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09" name="Line 665">
              <a:extLst>
                <a:ext uri="{FF2B5EF4-FFF2-40B4-BE49-F238E27FC236}">
                  <a16:creationId xmlns:a16="http://schemas.microsoft.com/office/drawing/2014/main" id="{00000000-0008-0000-0300-0000ED81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10" name="Line 666">
              <a:extLst>
                <a:ext uri="{FF2B5EF4-FFF2-40B4-BE49-F238E27FC236}">
                  <a16:creationId xmlns:a16="http://schemas.microsoft.com/office/drawing/2014/main" id="{00000000-0008-0000-0300-0000EE81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11" name="Rectangle 667">
              <a:extLst>
                <a:ext uri="{FF2B5EF4-FFF2-40B4-BE49-F238E27FC236}">
                  <a16:creationId xmlns:a16="http://schemas.microsoft.com/office/drawing/2014/main" id="{00000000-0008-0000-0300-0000EF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12" name="Oval 668">
              <a:extLst>
                <a:ext uri="{FF2B5EF4-FFF2-40B4-BE49-F238E27FC236}">
                  <a16:creationId xmlns:a16="http://schemas.microsoft.com/office/drawing/2014/main" id="{00000000-0008-0000-0300-0000F0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13" name="Oval 669">
              <a:extLst>
                <a:ext uri="{FF2B5EF4-FFF2-40B4-BE49-F238E27FC236}">
                  <a16:creationId xmlns:a16="http://schemas.microsoft.com/office/drawing/2014/main" id="{00000000-0008-0000-0300-0000F1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14" name="Rectangle 670">
              <a:extLst>
                <a:ext uri="{FF2B5EF4-FFF2-40B4-BE49-F238E27FC236}">
                  <a16:creationId xmlns:a16="http://schemas.microsoft.com/office/drawing/2014/main" id="{00000000-0008-0000-0300-0000F2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15" name="Rectangle 671">
              <a:extLst>
                <a:ext uri="{FF2B5EF4-FFF2-40B4-BE49-F238E27FC236}">
                  <a16:creationId xmlns:a16="http://schemas.microsoft.com/office/drawing/2014/main" id="{00000000-0008-0000-0300-0000F3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16" name="Rectangle 672">
              <a:extLst>
                <a:ext uri="{FF2B5EF4-FFF2-40B4-BE49-F238E27FC236}">
                  <a16:creationId xmlns:a16="http://schemas.microsoft.com/office/drawing/2014/main" id="{00000000-0008-0000-0300-0000F4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17" name="Rectangle 673">
              <a:extLst>
                <a:ext uri="{FF2B5EF4-FFF2-40B4-BE49-F238E27FC236}">
                  <a16:creationId xmlns:a16="http://schemas.microsoft.com/office/drawing/2014/main" id="{00000000-0008-0000-0300-0000F5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2897" name="Group 674">
            <a:extLst>
              <a:ext uri="{FF2B5EF4-FFF2-40B4-BE49-F238E27FC236}">
                <a16:creationId xmlns:a16="http://schemas.microsoft.com/office/drawing/2014/main" id="{00000000-0008-0000-0300-0000E181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2898" name="Rectangle 675">
              <a:extLst>
                <a:ext uri="{FF2B5EF4-FFF2-40B4-BE49-F238E27FC236}">
                  <a16:creationId xmlns:a16="http://schemas.microsoft.com/office/drawing/2014/main" id="{00000000-0008-0000-0300-0000E2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99" name="Line 676">
              <a:extLst>
                <a:ext uri="{FF2B5EF4-FFF2-40B4-BE49-F238E27FC236}">
                  <a16:creationId xmlns:a16="http://schemas.microsoft.com/office/drawing/2014/main" id="{00000000-0008-0000-0300-0000E381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00" name="Line 677">
              <a:extLst>
                <a:ext uri="{FF2B5EF4-FFF2-40B4-BE49-F238E27FC236}">
                  <a16:creationId xmlns:a16="http://schemas.microsoft.com/office/drawing/2014/main" id="{00000000-0008-0000-0300-0000E481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01" name="Rectangle 678">
              <a:extLst>
                <a:ext uri="{FF2B5EF4-FFF2-40B4-BE49-F238E27FC236}">
                  <a16:creationId xmlns:a16="http://schemas.microsoft.com/office/drawing/2014/main" id="{00000000-0008-0000-0300-0000E5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02" name="Oval 679">
              <a:extLst>
                <a:ext uri="{FF2B5EF4-FFF2-40B4-BE49-F238E27FC236}">
                  <a16:creationId xmlns:a16="http://schemas.microsoft.com/office/drawing/2014/main" id="{00000000-0008-0000-0300-0000E6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03" name="Oval 680">
              <a:extLst>
                <a:ext uri="{FF2B5EF4-FFF2-40B4-BE49-F238E27FC236}">
                  <a16:creationId xmlns:a16="http://schemas.microsoft.com/office/drawing/2014/main" id="{00000000-0008-0000-0300-0000E7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04" name="Rectangle 681">
              <a:extLst>
                <a:ext uri="{FF2B5EF4-FFF2-40B4-BE49-F238E27FC236}">
                  <a16:creationId xmlns:a16="http://schemas.microsoft.com/office/drawing/2014/main" id="{00000000-0008-0000-0300-0000E8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05" name="Rectangle 682">
              <a:extLst>
                <a:ext uri="{FF2B5EF4-FFF2-40B4-BE49-F238E27FC236}">
                  <a16:creationId xmlns:a16="http://schemas.microsoft.com/office/drawing/2014/main" id="{00000000-0008-0000-0300-0000E9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06" name="Rectangle 683">
              <a:extLst>
                <a:ext uri="{FF2B5EF4-FFF2-40B4-BE49-F238E27FC236}">
                  <a16:creationId xmlns:a16="http://schemas.microsoft.com/office/drawing/2014/main" id="{00000000-0008-0000-0300-0000EA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07" name="Rectangle 684">
              <a:extLst>
                <a:ext uri="{FF2B5EF4-FFF2-40B4-BE49-F238E27FC236}">
                  <a16:creationId xmlns:a16="http://schemas.microsoft.com/office/drawing/2014/main" id="{00000000-0008-0000-0300-0000EB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8</xdr:col>
      <xdr:colOff>0</xdr:colOff>
      <xdr:row>2</xdr:row>
      <xdr:rowOff>165100</xdr:rowOff>
    </xdr:from>
    <xdr:to>
      <xdr:col>8</xdr:col>
      <xdr:colOff>0</xdr:colOff>
      <xdr:row>2</xdr:row>
      <xdr:rowOff>546100</xdr:rowOff>
    </xdr:to>
    <xdr:grpSp>
      <xdr:nvGrpSpPr>
        <xdr:cNvPr id="1208284" name="Group 685">
          <a:extLst>
            <a:ext uri="{FF2B5EF4-FFF2-40B4-BE49-F238E27FC236}">
              <a16:creationId xmlns:a16="http://schemas.microsoft.com/office/drawing/2014/main" id="{00000000-0008-0000-0300-0000DC6F1200}"/>
            </a:ext>
          </a:extLst>
        </xdr:cNvPr>
        <xdr:cNvGrpSpPr>
          <a:grpSpLocks/>
        </xdr:cNvGrpSpPr>
      </xdr:nvGrpSpPr>
      <xdr:grpSpPr bwMode="auto">
        <a:xfrm>
          <a:off x="6766560" y="1292860"/>
          <a:ext cx="0" cy="381000"/>
          <a:chOff x="335" y="195"/>
          <a:chExt cx="352" cy="282"/>
        </a:xfrm>
      </xdr:grpSpPr>
      <xdr:grpSp>
        <xdr:nvGrpSpPr>
          <xdr:cNvPr id="1212874" name="Group 686">
            <a:extLst>
              <a:ext uri="{FF2B5EF4-FFF2-40B4-BE49-F238E27FC236}">
                <a16:creationId xmlns:a16="http://schemas.microsoft.com/office/drawing/2014/main" id="{00000000-0008-0000-0300-0000CA81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2886" name="Rectangle 687">
              <a:extLst>
                <a:ext uri="{FF2B5EF4-FFF2-40B4-BE49-F238E27FC236}">
                  <a16:creationId xmlns:a16="http://schemas.microsoft.com/office/drawing/2014/main" id="{00000000-0008-0000-0300-0000D6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87" name="Line 688">
              <a:extLst>
                <a:ext uri="{FF2B5EF4-FFF2-40B4-BE49-F238E27FC236}">
                  <a16:creationId xmlns:a16="http://schemas.microsoft.com/office/drawing/2014/main" id="{00000000-0008-0000-0300-0000D781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88" name="Line 689">
              <a:extLst>
                <a:ext uri="{FF2B5EF4-FFF2-40B4-BE49-F238E27FC236}">
                  <a16:creationId xmlns:a16="http://schemas.microsoft.com/office/drawing/2014/main" id="{00000000-0008-0000-0300-0000D881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89" name="Rectangle 690">
              <a:extLst>
                <a:ext uri="{FF2B5EF4-FFF2-40B4-BE49-F238E27FC236}">
                  <a16:creationId xmlns:a16="http://schemas.microsoft.com/office/drawing/2014/main" id="{00000000-0008-0000-0300-0000D9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90" name="Oval 691">
              <a:extLst>
                <a:ext uri="{FF2B5EF4-FFF2-40B4-BE49-F238E27FC236}">
                  <a16:creationId xmlns:a16="http://schemas.microsoft.com/office/drawing/2014/main" id="{00000000-0008-0000-0300-0000DA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91" name="Oval 692">
              <a:extLst>
                <a:ext uri="{FF2B5EF4-FFF2-40B4-BE49-F238E27FC236}">
                  <a16:creationId xmlns:a16="http://schemas.microsoft.com/office/drawing/2014/main" id="{00000000-0008-0000-0300-0000DB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92" name="Rectangle 693">
              <a:extLst>
                <a:ext uri="{FF2B5EF4-FFF2-40B4-BE49-F238E27FC236}">
                  <a16:creationId xmlns:a16="http://schemas.microsoft.com/office/drawing/2014/main" id="{00000000-0008-0000-0300-0000DC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93" name="Rectangle 694">
              <a:extLst>
                <a:ext uri="{FF2B5EF4-FFF2-40B4-BE49-F238E27FC236}">
                  <a16:creationId xmlns:a16="http://schemas.microsoft.com/office/drawing/2014/main" id="{00000000-0008-0000-0300-0000DD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94" name="Rectangle 695">
              <a:extLst>
                <a:ext uri="{FF2B5EF4-FFF2-40B4-BE49-F238E27FC236}">
                  <a16:creationId xmlns:a16="http://schemas.microsoft.com/office/drawing/2014/main" id="{00000000-0008-0000-0300-0000DE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95" name="Rectangle 696">
              <a:extLst>
                <a:ext uri="{FF2B5EF4-FFF2-40B4-BE49-F238E27FC236}">
                  <a16:creationId xmlns:a16="http://schemas.microsoft.com/office/drawing/2014/main" id="{00000000-0008-0000-0300-0000DF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2875" name="Group 697">
            <a:extLst>
              <a:ext uri="{FF2B5EF4-FFF2-40B4-BE49-F238E27FC236}">
                <a16:creationId xmlns:a16="http://schemas.microsoft.com/office/drawing/2014/main" id="{00000000-0008-0000-0300-0000CB81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2876" name="Rectangle 698">
              <a:extLst>
                <a:ext uri="{FF2B5EF4-FFF2-40B4-BE49-F238E27FC236}">
                  <a16:creationId xmlns:a16="http://schemas.microsoft.com/office/drawing/2014/main" id="{00000000-0008-0000-0300-0000CC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77" name="Line 699">
              <a:extLst>
                <a:ext uri="{FF2B5EF4-FFF2-40B4-BE49-F238E27FC236}">
                  <a16:creationId xmlns:a16="http://schemas.microsoft.com/office/drawing/2014/main" id="{00000000-0008-0000-0300-0000CD81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78" name="Line 700">
              <a:extLst>
                <a:ext uri="{FF2B5EF4-FFF2-40B4-BE49-F238E27FC236}">
                  <a16:creationId xmlns:a16="http://schemas.microsoft.com/office/drawing/2014/main" id="{00000000-0008-0000-0300-0000CE81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79" name="Rectangle 701">
              <a:extLst>
                <a:ext uri="{FF2B5EF4-FFF2-40B4-BE49-F238E27FC236}">
                  <a16:creationId xmlns:a16="http://schemas.microsoft.com/office/drawing/2014/main" id="{00000000-0008-0000-0300-0000CF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80" name="Oval 702">
              <a:extLst>
                <a:ext uri="{FF2B5EF4-FFF2-40B4-BE49-F238E27FC236}">
                  <a16:creationId xmlns:a16="http://schemas.microsoft.com/office/drawing/2014/main" id="{00000000-0008-0000-0300-0000D0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81" name="Oval 703">
              <a:extLst>
                <a:ext uri="{FF2B5EF4-FFF2-40B4-BE49-F238E27FC236}">
                  <a16:creationId xmlns:a16="http://schemas.microsoft.com/office/drawing/2014/main" id="{00000000-0008-0000-0300-0000D1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82" name="Rectangle 704">
              <a:extLst>
                <a:ext uri="{FF2B5EF4-FFF2-40B4-BE49-F238E27FC236}">
                  <a16:creationId xmlns:a16="http://schemas.microsoft.com/office/drawing/2014/main" id="{00000000-0008-0000-0300-0000D2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83" name="Rectangle 705">
              <a:extLst>
                <a:ext uri="{FF2B5EF4-FFF2-40B4-BE49-F238E27FC236}">
                  <a16:creationId xmlns:a16="http://schemas.microsoft.com/office/drawing/2014/main" id="{00000000-0008-0000-0300-0000D3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84" name="Rectangle 706">
              <a:extLst>
                <a:ext uri="{FF2B5EF4-FFF2-40B4-BE49-F238E27FC236}">
                  <a16:creationId xmlns:a16="http://schemas.microsoft.com/office/drawing/2014/main" id="{00000000-0008-0000-0300-0000D4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85" name="Rectangle 707">
              <a:extLst>
                <a:ext uri="{FF2B5EF4-FFF2-40B4-BE49-F238E27FC236}">
                  <a16:creationId xmlns:a16="http://schemas.microsoft.com/office/drawing/2014/main" id="{00000000-0008-0000-0300-0000D5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8</xdr:col>
      <xdr:colOff>0</xdr:colOff>
      <xdr:row>2</xdr:row>
      <xdr:rowOff>165100</xdr:rowOff>
    </xdr:from>
    <xdr:to>
      <xdr:col>8</xdr:col>
      <xdr:colOff>0</xdr:colOff>
      <xdr:row>3</xdr:row>
      <xdr:rowOff>0</xdr:rowOff>
    </xdr:to>
    <xdr:grpSp>
      <xdr:nvGrpSpPr>
        <xdr:cNvPr id="1208285" name="Group 708">
          <a:extLst>
            <a:ext uri="{FF2B5EF4-FFF2-40B4-BE49-F238E27FC236}">
              <a16:creationId xmlns:a16="http://schemas.microsoft.com/office/drawing/2014/main" id="{00000000-0008-0000-0300-0000DD6F1200}"/>
            </a:ext>
          </a:extLst>
        </xdr:cNvPr>
        <xdr:cNvGrpSpPr>
          <a:grpSpLocks/>
        </xdr:cNvGrpSpPr>
      </xdr:nvGrpSpPr>
      <xdr:grpSpPr bwMode="auto">
        <a:xfrm>
          <a:off x="6766560" y="1292860"/>
          <a:ext cx="0" cy="403860"/>
          <a:chOff x="220" y="176"/>
          <a:chExt cx="556" cy="247"/>
        </a:xfrm>
      </xdr:grpSpPr>
      <xdr:sp macro="" textlink="">
        <xdr:nvSpPr>
          <xdr:cNvPr id="1212851" name="Rectangle 709">
            <a:extLst>
              <a:ext uri="{FF2B5EF4-FFF2-40B4-BE49-F238E27FC236}">
                <a16:creationId xmlns:a16="http://schemas.microsoft.com/office/drawing/2014/main" id="{00000000-0008-0000-0300-0000B381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52" name="Line 710">
            <a:extLst>
              <a:ext uri="{FF2B5EF4-FFF2-40B4-BE49-F238E27FC236}">
                <a16:creationId xmlns:a16="http://schemas.microsoft.com/office/drawing/2014/main" id="{00000000-0008-0000-0300-0000B481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53" name="Line 711">
            <a:extLst>
              <a:ext uri="{FF2B5EF4-FFF2-40B4-BE49-F238E27FC236}">
                <a16:creationId xmlns:a16="http://schemas.microsoft.com/office/drawing/2014/main" id="{00000000-0008-0000-0300-0000B581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54" name="Rectangle 712">
            <a:extLst>
              <a:ext uri="{FF2B5EF4-FFF2-40B4-BE49-F238E27FC236}">
                <a16:creationId xmlns:a16="http://schemas.microsoft.com/office/drawing/2014/main" id="{00000000-0008-0000-0300-0000B681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55" name="Oval 713">
            <a:extLst>
              <a:ext uri="{FF2B5EF4-FFF2-40B4-BE49-F238E27FC236}">
                <a16:creationId xmlns:a16="http://schemas.microsoft.com/office/drawing/2014/main" id="{00000000-0008-0000-0300-0000B781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56" name="Oval 714">
            <a:extLst>
              <a:ext uri="{FF2B5EF4-FFF2-40B4-BE49-F238E27FC236}">
                <a16:creationId xmlns:a16="http://schemas.microsoft.com/office/drawing/2014/main" id="{00000000-0008-0000-0300-0000B881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57" name="Rectangle 715">
            <a:extLst>
              <a:ext uri="{FF2B5EF4-FFF2-40B4-BE49-F238E27FC236}">
                <a16:creationId xmlns:a16="http://schemas.microsoft.com/office/drawing/2014/main" id="{00000000-0008-0000-0300-0000B981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58" name="Rectangle 716">
            <a:extLst>
              <a:ext uri="{FF2B5EF4-FFF2-40B4-BE49-F238E27FC236}">
                <a16:creationId xmlns:a16="http://schemas.microsoft.com/office/drawing/2014/main" id="{00000000-0008-0000-0300-0000BA81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59" name="Rectangle 717">
            <a:extLst>
              <a:ext uri="{FF2B5EF4-FFF2-40B4-BE49-F238E27FC236}">
                <a16:creationId xmlns:a16="http://schemas.microsoft.com/office/drawing/2014/main" id="{00000000-0008-0000-0300-0000BB81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60" name="Rectangle 718">
            <a:extLst>
              <a:ext uri="{FF2B5EF4-FFF2-40B4-BE49-F238E27FC236}">
                <a16:creationId xmlns:a16="http://schemas.microsoft.com/office/drawing/2014/main" id="{00000000-0008-0000-0300-0000BC81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2861" name="Group 719">
            <a:extLst>
              <a:ext uri="{FF2B5EF4-FFF2-40B4-BE49-F238E27FC236}">
                <a16:creationId xmlns:a16="http://schemas.microsoft.com/office/drawing/2014/main" id="{00000000-0008-0000-0300-0000BD81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2864" name="Rectangle 720">
              <a:extLst>
                <a:ext uri="{FF2B5EF4-FFF2-40B4-BE49-F238E27FC236}">
                  <a16:creationId xmlns:a16="http://schemas.microsoft.com/office/drawing/2014/main" id="{00000000-0008-0000-0300-0000C0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65" name="Line 721">
              <a:extLst>
                <a:ext uri="{FF2B5EF4-FFF2-40B4-BE49-F238E27FC236}">
                  <a16:creationId xmlns:a16="http://schemas.microsoft.com/office/drawing/2014/main" id="{00000000-0008-0000-0300-0000C181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66" name="Line 722">
              <a:extLst>
                <a:ext uri="{FF2B5EF4-FFF2-40B4-BE49-F238E27FC236}">
                  <a16:creationId xmlns:a16="http://schemas.microsoft.com/office/drawing/2014/main" id="{00000000-0008-0000-0300-0000C281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67" name="Rectangle 723">
              <a:extLst>
                <a:ext uri="{FF2B5EF4-FFF2-40B4-BE49-F238E27FC236}">
                  <a16:creationId xmlns:a16="http://schemas.microsoft.com/office/drawing/2014/main" id="{00000000-0008-0000-0300-0000C3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68" name="Oval 724">
              <a:extLst>
                <a:ext uri="{FF2B5EF4-FFF2-40B4-BE49-F238E27FC236}">
                  <a16:creationId xmlns:a16="http://schemas.microsoft.com/office/drawing/2014/main" id="{00000000-0008-0000-0300-0000C4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69" name="Oval 725">
              <a:extLst>
                <a:ext uri="{FF2B5EF4-FFF2-40B4-BE49-F238E27FC236}">
                  <a16:creationId xmlns:a16="http://schemas.microsoft.com/office/drawing/2014/main" id="{00000000-0008-0000-0300-0000C5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70" name="Rectangle 726">
              <a:extLst>
                <a:ext uri="{FF2B5EF4-FFF2-40B4-BE49-F238E27FC236}">
                  <a16:creationId xmlns:a16="http://schemas.microsoft.com/office/drawing/2014/main" id="{00000000-0008-0000-0300-0000C6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71" name="Rectangle 727">
              <a:extLst>
                <a:ext uri="{FF2B5EF4-FFF2-40B4-BE49-F238E27FC236}">
                  <a16:creationId xmlns:a16="http://schemas.microsoft.com/office/drawing/2014/main" id="{00000000-0008-0000-0300-0000C7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72" name="Rectangle 728">
              <a:extLst>
                <a:ext uri="{FF2B5EF4-FFF2-40B4-BE49-F238E27FC236}">
                  <a16:creationId xmlns:a16="http://schemas.microsoft.com/office/drawing/2014/main" id="{00000000-0008-0000-0300-0000C8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73" name="Rectangle 729">
              <a:extLst>
                <a:ext uri="{FF2B5EF4-FFF2-40B4-BE49-F238E27FC236}">
                  <a16:creationId xmlns:a16="http://schemas.microsoft.com/office/drawing/2014/main" id="{00000000-0008-0000-0300-0000C9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2862" name="Rectangle 730">
            <a:extLst>
              <a:ext uri="{FF2B5EF4-FFF2-40B4-BE49-F238E27FC236}">
                <a16:creationId xmlns:a16="http://schemas.microsoft.com/office/drawing/2014/main" id="{00000000-0008-0000-0300-0000BE81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63" name="Rectangle 731">
            <a:extLst>
              <a:ext uri="{FF2B5EF4-FFF2-40B4-BE49-F238E27FC236}">
                <a16:creationId xmlns:a16="http://schemas.microsoft.com/office/drawing/2014/main" id="{00000000-0008-0000-0300-0000BF81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165100</xdr:rowOff>
    </xdr:from>
    <xdr:to>
      <xdr:col>8</xdr:col>
      <xdr:colOff>0</xdr:colOff>
      <xdr:row>3</xdr:row>
      <xdr:rowOff>0</xdr:rowOff>
    </xdr:to>
    <xdr:grpSp>
      <xdr:nvGrpSpPr>
        <xdr:cNvPr id="1208286" name="Group 732">
          <a:extLst>
            <a:ext uri="{FF2B5EF4-FFF2-40B4-BE49-F238E27FC236}">
              <a16:creationId xmlns:a16="http://schemas.microsoft.com/office/drawing/2014/main" id="{00000000-0008-0000-0300-0000DE6F1200}"/>
            </a:ext>
          </a:extLst>
        </xdr:cNvPr>
        <xdr:cNvGrpSpPr>
          <a:grpSpLocks/>
        </xdr:cNvGrpSpPr>
      </xdr:nvGrpSpPr>
      <xdr:grpSpPr bwMode="auto">
        <a:xfrm>
          <a:off x="6766560" y="1292860"/>
          <a:ext cx="0" cy="403860"/>
          <a:chOff x="220" y="176"/>
          <a:chExt cx="556" cy="247"/>
        </a:xfrm>
      </xdr:grpSpPr>
      <xdr:sp macro="" textlink="">
        <xdr:nvSpPr>
          <xdr:cNvPr id="1212828" name="Rectangle 733">
            <a:extLst>
              <a:ext uri="{FF2B5EF4-FFF2-40B4-BE49-F238E27FC236}">
                <a16:creationId xmlns:a16="http://schemas.microsoft.com/office/drawing/2014/main" id="{00000000-0008-0000-0300-00009C81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29" name="Line 734">
            <a:extLst>
              <a:ext uri="{FF2B5EF4-FFF2-40B4-BE49-F238E27FC236}">
                <a16:creationId xmlns:a16="http://schemas.microsoft.com/office/drawing/2014/main" id="{00000000-0008-0000-0300-00009D81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30" name="Line 735">
            <a:extLst>
              <a:ext uri="{FF2B5EF4-FFF2-40B4-BE49-F238E27FC236}">
                <a16:creationId xmlns:a16="http://schemas.microsoft.com/office/drawing/2014/main" id="{00000000-0008-0000-0300-00009E81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31" name="Rectangle 736">
            <a:extLst>
              <a:ext uri="{FF2B5EF4-FFF2-40B4-BE49-F238E27FC236}">
                <a16:creationId xmlns:a16="http://schemas.microsoft.com/office/drawing/2014/main" id="{00000000-0008-0000-0300-00009F81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32" name="Oval 737">
            <a:extLst>
              <a:ext uri="{FF2B5EF4-FFF2-40B4-BE49-F238E27FC236}">
                <a16:creationId xmlns:a16="http://schemas.microsoft.com/office/drawing/2014/main" id="{00000000-0008-0000-0300-0000A081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33" name="Oval 738">
            <a:extLst>
              <a:ext uri="{FF2B5EF4-FFF2-40B4-BE49-F238E27FC236}">
                <a16:creationId xmlns:a16="http://schemas.microsoft.com/office/drawing/2014/main" id="{00000000-0008-0000-0300-0000A181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34" name="Rectangle 739">
            <a:extLst>
              <a:ext uri="{FF2B5EF4-FFF2-40B4-BE49-F238E27FC236}">
                <a16:creationId xmlns:a16="http://schemas.microsoft.com/office/drawing/2014/main" id="{00000000-0008-0000-0300-0000A281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35" name="Rectangle 740">
            <a:extLst>
              <a:ext uri="{FF2B5EF4-FFF2-40B4-BE49-F238E27FC236}">
                <a16:creationId xmlns:a16="http://schemas.microsoft.com/office/drawing/2014/main" id="{00000000-0008-0000-0300-0000A381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36" name="Rectangle 741">
            <a:extLst>
              <a:ext uri="{FF2B5EF4-FFF2-40B4-BE49-F238E27FC236}">
                <a16:creationId xmlns:a16="http://schemas.microsoft.com/office/drawing/2014/main" id="{00000000-0008-0000-0300-0000A481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37" name="Rectangle 742">
            <a:extLst>
              <a:ext uri="{FF2B5EF4-FFF2-40B4-BE49-F238E27FC236}">
                <a16:creationId xmlns:a16="http://schemas.microsoft.com/office/drawing/2014/main" id="{00000000-0008-0000-0300-0000A581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2838" name="Group 743">
            <a:extLst>
              <a:ext uri="{FF2B5EF4-FFF2-40B4-BE49-F238E27FC236}">
                <a16:creationId xmlns:a16="http://schemas.microsoft.com/office/drawing/2014/main" id="{00000000-0008-0000-0300-0000A681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2841" name="Rectangle 744">
              <a:extLst>
                <a:ext uri="{FF2B5EF4-FFF2-40B4-BE49-F238E27FC236}">
                  <a16:creationId xmlns:a16="http://schemas.microsoft.com/office/drawing/2014/main" id="{00000000-0008-0000-0300-0000A9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42" name="Line 745">
              <a:extLst>
                <a:ext uri="{FF2B5EF4-FFF2-40B4-BE49-F238E27FC236}">
                  <a16:creationId xmlns:a16="http://schemas.microsoft.com/office/drawing/2014/main" id="{00000000-0008-0000-0300-0000AA81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43" name="Line 746">
              <a:extLst>
                <a:ext uri="{FF2B5EF4-FFF2-40B4-BE49-F238E27FC236}">
                  <a16:creationId xmlns:a16="http://schemas.microsoft.com/office/drawing/2014/main" id="{00000000-0008-0000-0300-0000AB81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44" name="Rectangle 747">
              <a:extLst>
                <a:ext uri="{FF2B5EF4-FFF2-40B4-BE49-F238E27FC236}">
                  <a16:creationId xmlns:a16="http://schemas.microsoft.com/office/drawing/2014/main" id="{00000000-0008-0000-0300-0000AC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45" name="Oval 748">
              <a:extLst>
                <a:ext uri="{FF2B5EF4-FFF2-40B4-BE49-F238E27FC236}">
                  <a16:creationId xmlns:a16="http://schemas.microsoft.com/office/drawing/2014/main" id="{00000000-0008-0000-0300-0000AD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46" name="Oval 749">
              <a:extLst>
                <a:ext uri="{FF2B5EF4-FFF2-40B4-BE49-F238E27FC236}">
                  <a16:creationId xmlns:a16="http://schemas.microsoft.com/office/drawing/2014/main" id="{00000000-0008-0000-0300-0000AE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47" name="Rectangle 750">
              <a:extLst>
                <a:ext uri="{FF2B5EF4-FFF2-40B4-BE49-F238E27FC236}">
                  <a16:creationId xmlns:a16="http://schemas.microsoft.com/office/drawing/2014/main" id="{00000000-0008-0000-0300-0000AF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48" name="Rectangle 751">
              <a:extLst>
                <a:ext uri="{FF2B5EF4-FFF2-40B4-BE49-F238E27FC236}">
                  <a16:creationId xmlns:a16="http://schemas.microsoft.com/office/drawing/2014/main" id="{00000000-0008-0000-0300-0000B0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49" name="Rectangle 752">
              <a:extLst>
                <a:ext uri="{FF2B5EF4-FFF2-40B4-BE49-F238E27FC236}">
                  <a16:creationId xmlns:a16="http://schemas.microsoft.com/office/drawing/2014/main" id="{00000000-0008-0000-0300-0000B1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50" name="Rectangle 753">
              <a:extLst>
                <a:ext uri="{FF2B5EF4-FFF2-40B4-BE49-F238E27FC236}">
                  <a16:creationId xmlns:a16="http://schemas.microsoft.com/office/drawing/2014/main" id="{00000000-0008-0000-0300-0000B2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2839" name="Rectangle 754">
            <a:extLst>
              <a:ext uri="{FF2B5EF4-FFF2-40B4-BE49-F238E27FC236}">
                <a16:creationId xmlns:a16="http://schemas.microsoft.com/office/drawing/2014/main" id="{00000000-0008-0000-0300-0000A781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40" name="Rectangle 755">
            <a:extLst>
              <a:ext uri="{FF2B5EF4-FFF2-40B4-BE49-F238E27FC236}">
                <a16:creationId xmlns:a16="http://schemas.microsoft.com/office/drawing/2014/main" id="{00000000-0008-0000-0300-0000A881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165100</xdr:rowOff>
    </xdr:from>
    <xdr:to>
      <xdr:col>8</xdr:col>
      <xdr:colOff>0</xdr:colOff>
      <xdr:row>3</xdr:row>
      <xdr:rowOff>0</xdr:rowOff>
    </xdr:to>
    <xdr:grpSp>
      <xdr:nvGrpSpPr>
        <xdr:cNvPr id="1208287" name="Group 756">
          <a:extLst>
            <a:ext uri="{FF2B5EF4-FFF2-40B4-BE49-F238E27FC236}">
              <a16:creationId xmlns:a16="http://schemas.microsoft.com/office/drawing/2014/main" id="{00000000-0008-0000-0300-0000DF6F1200}"/>
            </a:ext>
          </a:extLst>
        </xdr:cNvPr>
        <xdr:cNvGrpSpPr>
          <a:grpSpLocks/>
        </xdr:cNvGrpSpPr>
      </xdr:nvGrpSpPr>
      <xdr:grpSpPr bwMode="auto">
        <a:xfrm>
          <a:off x="6766560" y="1292860"/>
          <a:ext cx="0" cy="403860"/>
          <a:chOff x="220" y="176"/>
          <a:chExt cx="556" cy="247"/>
        </a:xfrm>
      </xdr:grpSpPr>
      <xdr:sp macro="" textlink="">
        <xdr:nvSpPr>
          <xdr:cNvPr id="1212805" name="Rectangle 757">
            <a:extLst>
              <a:ext uri="{FF2B5EF4-FFF2-40B4-BE49-F238E27FC236}">
                <a16:creationId xmlns:a16="http://schemas.microsoft.com/office/drawing/2014/main" id="{00000000-0008-0000-0300-00008581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06" name="Line 758">
            <a:extLst>
              <a:ext uri="{FF2B5EF4-FFF2-40B4-BE49-F238E27FC236}">
                <a16:creationId xmlns:a16="http://schemas.microsoft.com/office/drawing/2014/main" id="{00000000-0008-0000-0300-00008681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07" name="Line 759">
            <a:extLst>
              <a:ext uri="{FF2B5EF4-FFF2-40B4-BE49-F238E27FC236}">
                <a16:creationId xmlns:a16="http://schemas.microsoft.com/office/drawing/2014/main" id="{00000000-0008-0000-0300-00008781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08" name="Rectangle 760">
            <a:extLst>
              <a:ext uri="{FF2B5EF4-FFF2-40B4-BE49-F238E27FC236}">
                <a16:creationId xmlns:a16="http://schemas.microsoft.com/office/drawing/2014/main" id="{00000000-0008-0000-0300-00008881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09" name="Oval 761">
            <a:extLst>
              <a:ext uri="{FF2B5EF4-FFF2-40B4-BE49-F238E27FC236}">
                <a16:creationId xmlns:a16="http://schemas.microsoft.com/office/drawing/2014/main" id="{00000000-0008-0000-0300-00008981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10" name="Oval 762">
            <a:extLst>
              <a:ext uri="{FF2B5EF4-FFF2-40B4-BE49-F238E27FC236}">
                <a16:creationId xmlns:a16="http://schemas.microsoft.com/office/drawing/2014/main" id="{00000000-0008-0000-0300-00008A81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11" name="Rectangle 763">
            <a:extLst>
              <a:ext uri="{FF2B5EF4-FFF2-40B4-BE49-F238E27FC236}">
                <a16:creationId xmlns:a16="http://schemas.microsoft.com/office/drawing/2014/main" id="{00000000-0008-0000-0300-00008B81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12" name="Rectangle 764">
            <a:extLst>
              <a:ext uri="{FF2B5EF4-FFF2-40B4-BE49-F238E27FC236}">
                <a16:creationId xmlns:a16="http://schemas.microsoft.com/office/drawing/2014/main" id="{00000000-0008-0000-0300-00008C81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13" name="Rectangle 765">
            <a:extLst>
              <a:ext uri="{FF2B5EF4-FFF2-40B4-BE49-F238E27FC236}">
                <a16:creationId xmlns:a16="http://schemas.microsoft.com/office/drawing/2014/main" id="{00000000-0008-0000-0300-00008D81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14" name="Rectangle 766">
            <a:extLst>
              <a:ext uri="{FF2B5EF4-FFF2-40B4-BE49-F238E27FC236}">
                <a16:creationId xmlns:a16="http://schemas.microsoft.com/office/drawing/2014/main" id="{00000000-0008-0000-0300-00008E81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2815" name="Group 767">
            <a:extLst>
              <a:ext uri="{FF2B5EF4-FFF2-40B4-BE49-F238E27FC236}">
                <a16:creationId xmlns:a16="http://schemas.microsoft.com/office/drawing/2014/main" id="{00000000-0008-0000-0300-00008F81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2818" name="Rectangle 768">
              <a:extLst>
                <a:ext uri="{FF2B5EF4-FFF2-40B4-BE49-F238E27FC236}">
                  <a16:creationId xmlns:a16="http://schemas.microsoft.com/office/drawing/2014/main" id="{00000000-0008-0000-0300-000092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19" name="Line 769">
              <a:extLst>
                <a:ext uri="{FF2B5EF4-FFF2-40B4-BE49-F238E27FC236}">
                  <a16:creationId xmlns:a16="http://schemas.microsoft.com/office/drawing/2014/main" id="{00000000-0008-0000-0300-00009381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20" name="Line 770">
              <a:extLst>
                <a:ext uri="{FF2B5EF4-FFF2-40B4-BE49-F238E27FC236}">
                  <a16:creationId xmlns:a16="http://schemas.microsoft.com/office/drawing/2014/main" id="{00000000-0008-0000-0300-00009481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21" name="Rectangle 771">
              <a:extLst>
                <a:ext uri="{FF2B5EF4-FFF2-40B4-BE49-F238E27FC236}">
                  <a16:creationId xmlns:a16="http://schemas.microsoft.com/office/drawing/2014/main" id="{00000000-0008-0000-0300-000095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22" name="Oval 772">
              <a:extLst>
                <a:ext uri="{FF2B5EF4-FFF2-40B4-BE49-F238E27FC236}">
                  <a16:creationId xmlns:a16="http://schemas.microsoft.com/office/drawing/2014/main" id="{00000000-0008-0000-0300-000096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23" name="Oval 773">
              <a:extLst>
                <a:ext uri="{FF2B5EF4-FFF2-40B4-BE49-F238E27FC236}">
                  <a16:creationId xmlns:a16="http://schemas.microsoft.com/office/drawing/2014/main" id="{00000000-0008-0000-0300-000097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24" name="Rectangle 774">
              <a:extLst>
                <a:ext uri="{FF2B5EF4-FFF2-40B4-BE49-F238E27FC236}">
                  <a16:creationId xmlns:a16="http://schemas.microsoft.com/office/drawing/2014/main" id="{00000000-0008-0000-0300-000098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25" name="Rectangle 775">
              <a:extLst>
                <a:ext uri="{FF2B5EF4-FFF2-40B4-BE49-F238E27FC236}">
                  <a16:creationId xmlns:a16="http://schemas.microsoft.com/office/drawing/2014/main" id="{00000000-0008-0000-0300-000099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26" name="Rectangle 776">
              <a:extLst>
                <a:ext uri="{FF2B5EF4-FFF2-40B4-BE49-F238E27FC236}">
                  <a16:creationId xmlns:a16="http://schemas.microsoft.com/office/drawing/2014/main" id="{00000000-0008-0000-0300-00009A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27" name="Rectangle 777">
              <a:extLst>
                <a:ext uri="{FF2B5EF4-FFF2-40B4-BE49-F238E27FC236}">
                  <a16:creationId xmlns:a16="http://schemas.microsoft.com/office/drawing/2014/main" id="{00000000-0008-0000-0300-00009B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2816" name="Rectangle 778">
            <a:extLst>
              <a:ext uri="{FF2B5EF4-FFF2-40B4-BE49-F238E27FC236}">
                <a16:creationId xmlns:a16="http://schemas.microsoft.com/office/drawing/2014/main" id="{00000000-0008-0000-0300-00009081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17" name="Rectangle 779">
            <a:extLst>
              <a:ext uri="{FF2B5EF4-FFF2-40B4-BE49-F238E27FC236}">
                <a16:creationId xmlns:a16="http://schemas.microsoft.com/office/drawing/2014/main" id="{00000000-0008-0000-0300-00009181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165100</xdr:rowOff>
    </xdr:from>
    <xdr:to>
      <xdr:col>8</xdr:col>
      <xdr:colOff>0</xdr:colOff>
      <xdr:row>3</xdr:row>
      <xdr:rowOff>0</xdr:rowOff>
    </xdr:to>
    <xdr:grpSp>
      <xdr:nvGrpSpPr>
        <xdr:cNvPr id="1208288" name="Group 780">
          <a:extLst>
            <a:ext uri="{FF2B5EF4-FFF2-40B4-BE49-F238E27FC236}">
              <a16:creationId xmlns:a16="http://schemas.microsoft.com/office/drawing/2014/main" id="{00000000-0008-0000-0300-0000E06F1200}"/>
            </a:ext>
          </a:extLst>
        </xdr:cNvPr>
        <xdr:cNvGrpSpPr>
          <a:grpSpLocks/>
        </xdr:cNvGrpSpPr>
      </xdr:nvGrpSpPr>
      <xdr:grpSpPr bwMode="auto">
        <a:xfrm>
          <a:off x="6766560" y="1292860"/>
          <a:ext cx="0" cy="403860"/>
          <a:chOff x="220" y="176"/>
          <a:chExt cx="556" cy="247"/>
        </a:xfrm>
      </xdr:grpSpPr>
      <xdr:sp macro="" textlink="">
        <xdr:nvSpPr>
          <xdr:cNvPr id="1212782" name="Rectangle 781">
            <a:extLst>
              <a:ext uri="{FF2B5EF4-FFF2-40B4-BE49-F238E27FC236}">
                <a16:creationId xmlns:a16="http://schemas.microsoft.com/office/drawing/2014/main" id="{00000000-0008-0000-0300-00006E81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83" name="Line 782">
            <a:extLst>
              <a:ext uri="{FF2B5EF4-FFF2-40B4-BE49-F238E27FC236}">
                <a16:creationId xmlns:a16="http://schemas.microsoft.com/office/drawing/2014/main" id="{00000000-0008-0000-0300-00006F81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84" name="Line 783">
            <a:extLst>
              <a:ext uri="{FF2B5EF4-FFF2-40B4-BE49-F238E27FC236}">
                <a16:creationId xmlns:a16="http://schemas.microsoft.com/office/drawing/2014/main" id="{00000000-0008-0000-0300-00007081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85" name="Rectangle 784">
            <a:extLst>
              <a:ext uri="{FF2B5EF4-FFF2-40B4-BE49-F238E27FC236}">
                <a16:creationId xmlns:a16="http://schemas.microsoft.com/office/drawing/2014/main" id="{00000000-0008-0000-0300-00007181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86" name="Oval 785">
            <a:extLst>
              <a:ext uri="{FF2B5EF4-FFF2-40B4-BE49-F238E27FC236}">
                <a16:creationId xmlns:a16="http://schemas.microsoft.com/office/drawing/2014/main" id="{00000000-0008-0000-0300-00007281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87" name="Oval 786">
            <a:extLst>
              <a:ext uri="{FF2B5EF4-FFF2-40B4-BE49-F238E27FC236}">
                <a16:creationId xmlns:a16="http://schemas.microsoft.com/office/drawing/2014/main" id="{00000000-0008-0000-0300-00007381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88" name="Rectangle 787">
            <a:extLst>
              <a:ext uri="{FF2B5EF4-FFF2-40B4-BE49-F238E27FC236}">
                <a16:creationId xmlns:a16="http://schemas.microsoft.com/office/drawing/2014/main" id="{00000000-0008-0000-0300-00007481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89" name="Rectangle 788">
            <a:extLst>
              <a:ext uri="{FF2B5EF4-FFF2-40B4-BE49-F238E27FC236}">
                <a16:creationId xmlns:a16="http://schemas.microsoft.com/office/drawing/2014/main" id="{00000000-0008-0000-0300-00007581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90" name="Rectangle 789">
            <a:extLst>
              <a:ext uri="{FF2B5EF4-FFF2-40B4-BE49-F238E27FC236}">
                <a16:creationId xmlns:a16="http://schemas.microsoft.com/office/drawing/2014/main" id="{00000000-0008-0000-0300-00007681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91" name="Rectangle 790">
            <a:extLst>
              <a:ext uri="{FF2B5EF4-FFF2-40B4-BE49-F238E27FC236}">
                <a16:creationId xmlns:a16="http://schemas.microsoft.com/office/drawing/2014/main" id="{00000000-0008-0000-0300-00007781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2792" name="Group 791">
            <a:extLst>
              <a:ext uri="{FF2B5EF4-FFF2-40B4-BE49-F238E27FC236}">
                <a16:creationId xmlns:a16="http://schemas.microsoft.com/office/drawing/2014/main" id="{00000000-0008-0000-0300-00007881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2795" name="Rectangle 792">
              <a:extLst>
                <a:ext uri="{FF2B5EF4-FFF2-40B4-BE49-F238E27FC236}">
                  <a16:creationId xmlns:a16="http://schemas.microsoft.com/office/drawing/2014/main" id="{00000000-0008-0000-0300-00007B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796" name="Line 793">
              <a:extLst>
                <a:ext uri="{FF2B5EF4-FFF2-40B4-BE49-F238E27FC236}">
                  <a16:creationId xmlns:a16="http://schemas.microsoft.com/office/drawing/2014/main" id="{00000000-0008-0000-0300-00007C81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797" name="Line 794">
              <a:extLst>
                <a:ext uri="{FF2B5EF4-FFF2-40B4-BE49-F238E27FC236}">
                  <a16:creationId xmlns:a16="http://schemas.microsoft.com/office/drawing/2014/main" id="{00000000-0008-0000-0300-00007D81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798" name="Rectangle 795">
              <a:extLst>
                <a:ext uri="{FF2B5EF4-FFF2-40B4-BE49-F238E27FC236}">
                  <a16:creationId xmlns:a16="http://schemas.microsoft.com/office/drawing/2014/main" id="{00000000-0008-0000-0300-00007E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799" name="Oval 796">
              <a:extLst>
                <a:ext uri="{FF2B5EF4-FFF2-40B4-BE49-F238E27FC236}">
                  <a16:creationId xmlns:a16="http://schemas.microsoft.com/office/drawing/2014/main" id="{00000000-0008-0000-0300-00007F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00" name="Oval 797">
              <a:extLst>
                <a:ext uri="{FF2B5EF4-FFF2-40B4-BE49-F238E27FC236}">
                  <a16:creationId xmlns:a16="http://schemas.microsoft.com/office/drawing/2014/main" id="{00000000-0008-0000-0300-000080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01" name="Rectangle 798">
              <a:extLst>
                <a:ext uri="{FF2B5EF4-FFF2-40B4-BE49-F238E27FC236}">
                  <a16:creationId xmlns:a16="http://schemas.microsoft.com/office/drawing/2014/main" id="{00000000-0008-0000-0300-000081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02" name="Rectangle 799">
              <a:extLst>
                <a:ext uri="{FF2B5EF4-FFF2-40B4-BE49-F238E27FC236}">
                  <a16:creationId xmlns:a16="http://schemas.microsoft.com/office/drawing/2014/main" id="{00000000-0008-0000-0300-000082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03" name="Rectangle 800">
              <a:extLst>
                <a:ext uri="{FF2B5EF4-FFF2-40B4-BE49-F238E27FC236}">
                  <a16:creationId xmlns:a16="http://schemas.microsoft.com/office/drawing/2014/main" id="{00000000-0008-0000-0300-000083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04" name="Rectangle 801">
              <a:extLst>
                <a:ext uri="{FF2B5EF4-FFF2-40B4-BE49-F238E27FC236}">
                  <a16:creationId xmlns:a16="http://schemas.microsoft.com/office/drawing/2014/main" id="{00000000-0008-0000-0300-000084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2793" name="Rectangle 802">
            <a:extLst>
              <a:ext uri="{FF2B5EF4-FFF2-40B4-BE49-F238E27FC236}">
                <a16:creationId xmlns:a16="http://schemas.microsoft.com/office/drawing/2014/main" id="{00000000-0008-0000-0300-00007981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94" name="Rectangle 803">
            <a:extLst>
              <a:ext uri="{FF2B5EF4-FFF2-40B4-BE49-F238E27FC236}">
                <a16:creationId xmlns:a16="http://schemas.microsoft.com/office/drawing/2014/main" id="{00000000-0008-0000-0300-00007A81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165100</xdr:rowOff>
    </xdr:from>
    <xdr:to>
      <xdr:col>8</xdr:col>
      <xdr:colOff>0</xdr:colOff>
      <xdr:row>3</xdr:row>
      <xdr:rowOff>0</xdr:rowOff>
    </xdr:to>
    <xdr:grpSp>
      <xdr:nvGrpSpPr>
        <xdr:cNvPr id="1208289" name="Group 804">
          <a:extLst>
            <a:ext uri="{FF2B5EF4-FFF2-40B4-BE49-F238E27FC236}">
              <a16:creationId xmlns:a16="http://schemas.microsoft.com/office/drawing/2014/main" id="{00000000-0008-0000-0300-0000E16F1200}"/>
            </a:ext>
          </a:extLst>
        </xdr:cNvPr>
        <xdr:cNvGrpSpPr>
          <a:grpSpLocks/>
        </xdr:cNvGrpSpPr>
      </xdr:nvGrpSpPr>
      <xdr:grpSpPr bwMode="auto">
        <a:xfrm>
          <a:off x="6766560" y="1292860"/>
          <a:ext cx="0" cy="403860"/>
          <a:chOff x="220" y="176"/>
          <a:chExt cx="556" cy="247"/>
        </a:xfrm>
      </xdr:grpSpPr>
      <xdr:sp macro="" textlink="">
        <xdr:nvSpPr>
          <xdr:cNvPr id="1212759" name="Rectangle 805">
            <a:extLst>
              <a:ext uri="{FF2B5EF4-FFF2-40B4-BE49-F238E27FC236}">
                <a16:creationId xmlns:a16="http://schemas.microsoft.com/office/drawing/2014/main" id="{00000000-0008-0000-0300-00005781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60" name="Line 806">
            <a:extLst>
              <a:ext uri="{FF2B5EF4-FFF2-40B4-BE49-F238E27FC236}">
                <a16:creationId xmlns:a16="http://schemas.microsoft.com/office/drawing/2014/main" id="{00000000-0008-0000-0300-00005881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61" name="Line 807">
            <a:extLst>
              <a:ext uri="{FF2B5EF4-FFF2-40B4-BE49-F238E27FC236}">
                <a16:creationId xmlns:a16="http://schemas.microsoft.com/office/drawing/2014/main" id="{00000000-0008-0000-0300-00005981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62" name="Rectangle 808">
            <a:extLst>
              <a:ext uri="{FF2B5EF4-FFF2-40B4-BE49-F238E27FC236}">
                <a16:creationId xmlns:a16="http://schemas.microsoft.com/office/drawing/2014/main" id="{00000000-0008-0000-0300-00005A81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63" name="Oval 809">
            <a:extLst>
              <a:ext uri="{FF2B5EF4-FFF2-40B4-BE49-F238E27FC236}">
                <a16:creationId xmlns:a16="http://schemas.microsoft.com/office/drawing/2014/main" id="{00000000-0008-0000-0300-00005B81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64" name="Oval 810">
            <a:extLst>
              <a:ext uri="{FF2B5EF4-FFF2-40B4-BE49-F238E27FC236}">
                <a16:creationId xmlns:a16="http://schemas.microsoft.com/office/drawing/2014/main" id="{00000000-0008-0000-0300-00005C81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65" name="Rectangle 811">
            <a:extLst>
              <a:ext uri="{FF2B5EF4-FFF2-40B4-BE49-F238E27FC236}">
                <a16:creationId xmlns:a16="http://schemas.microsoft.com/office/drawing/2014/main" id="{00000000-0008-0000-0300-00005D81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66" name="Rectangle 812">
            <a:extLst>
              <a:ext uri="{FF2B5EF4-FFF2-40B4-BE49-F238E27FC236}">
                <a16:creationId xmlns:a16="http://schemas.microsoft.com/office/drawing/2014/main" id="{00000000-0008-0000-0300-00005E81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67" name="Rectangle 813">
            <a:extLst>
              <a:ext uri="{FF2B5EF4-FFF2-40B4-BE49-F238E27FC236}">
                <a16:creationId xmlns:a16="http://schemas.microsoft.com/office/drawing/2014/main" id="{00000000-0008-0000-0300-00005F81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68" name="Rectangle 814">
            <a:extLst>
              <a:ext uri="{FF2B5EF4-FFF2-40B4-BE49-F238E27FC236}">
                <a16:creationId xmlns:a16="http://schemas.microsoft.com/office/drawing/2014/main" id="{00000000-0008-0000-0300-00006081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2769" name="Group 815">
            <a:extLst>
              <a:ext uri="{FF2B5EF4-FFF2-40B4-BE49-F238E27FC236}">
                <a16:creationId xmlns:a16="http://schemas.microsoft.com/office/drawing/2014/main" id="{00000000-0008-0000-0300-00006181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2772" name="Rectangle 816">
              <a:extLst>
                <a:ext uri="{FF2B5EF4-FFF2-40B4-BE49-F238E27FC236}">
                  <a16:creationId xmlns:a16="http://schemas.microsoft.com/office/drawing/2014/main" id="{00000000-0008-0000-0300-000064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773" name="Line 817">
              <a:extLst>
                <a:ext uri="{FF2B5EF4-FFF2-40B4-BE49-F238E27FC236}">
                  <a16:creationId xmlns:a16="http://schemas.microsoft.com/office/drawing/2014/main" id="{00000000-0008-0000-0300-00006581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774" name="Line 818">
              <a:extLst>
                <a:ext uri="{FF2B5EF4-FFF2-40B4-BE49-F238E27FC236}">
                  <a16:creationId xmlns:a16="http://schemas.microsoft.com/office/drawing/2014/main" id="{00000000-0008-0000-0300-00006681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775" name="Rectangle 819">
              <a:extLst>
                <a:ext uri="{FF2B5EF4-FFF2-40B4-BE49-F238E27FC236}">
                  <a16:creationId xmlns:a16="http://schemas.microsoft.com/office/drawing/2014/main" id="{00000000-0008-0000-0300-000067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776" name="Oval 820">
              <a:extLst>
                <a:ext uri="{FF2B5EF4-FFF2-40B4-BE49-F238E27FC236}">
                  <a16:creationId xmlns:a16="http://schemas.microsoft.com/office/drawing/2014/main" id="{00000000-0008-0000-0300-000068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777" name="Oval 821">
              <a:extLst>
                <a:ext uri="{FF2B5EF4-FFF2-40B4-BE49-F238E27FC236}">
                  <a16:creationId xmlns:a16="http://schemas.microsoft.com/office/drawing/2014/main" id="{00000000-0008-0000-0300-000069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778" name="Rectangle 822">
              <a:extLst>
                <a:ext uri="{FF2B5EF4-FFF2-40B4-BE49-F238E27FC236}">
                  <a16:creationId xmlns:a16="http://schemas.microsoft.com/office/drawing/2014/main" id="{00000000-0008-0000-0300-00006A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779" name="Rectangle 823">
              <a:extLst>
                <a:ext uri="{FF2B5EF4-FFF2-40B4-BE49-F238E27FC236}">
                  <a16:creationId xmlns:a16="http://schemas.microsoft.com/office/drawing/2014/main" id="{00000000-0008-0000-0300-00006B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780" name="Rectangle 824">
              <a:extLst>
                <a:ext uri="{FF2B5EF4-FFF2-40B4-BE49-F238E27FC236}">
                  <a16:creationId xmlns:a16="http://schemas.microsoft.com/office/drawing/2014/main" id="{00000000-0008-0000-0300-00006C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781" name="Rectangle 825">
              <a:extLst>
                <a:ext uri="{FF2B5EF4-FFF2-40B4-BE49-F238E27FC236}">
                  <a16:creationId xmlns:a16="http://schemas.microsoft.com/office/drawing/2014/main" id="{00000000-0008-0000-0300-00006D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2770" name="Rectangle 826">
            <a:extLst>
              <a:ext uri="{FF2B5EF4-FFF2-40B4-BE49-F238E27FC236}">
                <a16:creationId xmlns:a16="http://schemas.microsoft.com/office/drawing/2014/main" id="{00000000-0008-0000-0300-00006281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71" name="Rectangle 827">
            <a:extLst>
              <a:ext uri="{FF2B5EF4-FFF2-40B4-BE49-F238E27FC236}">
                <a16:creationId xmlns:a16="http://schemas.microsoft.com/office/drawing/2014/main" id="{00000000-0008-0000-0300-00006381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6</xdr:col>
      <xdr:colOff>114300</xdr:colOff>
      <xdr:row>3</xdr:row>
      <xdr:rowOff>25400</xdr:rowOff>
    </xdr:from>
    <xdr:to>
      <xdr:col>7</xdr:col>
      <xdr:colOff>609600</xdr:colOff>
      <xdr:row>5</xdr:row>
      <xdr:rowOff>139700</xdr:rowOff>
    </xdr:to>
    <xdr:grpSp>
      <xdr:nvGrpSpPr>
        <xdr:cNvPr id="1208290" name="Group 852">
          <a:extLst>
            <a:ext uri="{FF2B5EF4-FFF2-40B4-BE49-F238E27FC236}">
              <a16:creationId xmlns:a16="http://schemas.microsoft.com/office/drawing/2014/main" id="{00000000-0008-0000-0300-0000E26F1200}"/>
            </a:ext>
          </a:extLst>
        </xdr:cNvPr>
        <xdr:cNvGrpSpPr>
          <a:grpSpLocks/>
        </xdr:cNvGrpSpPr>
      </xdr:nvGrpSpPr>
      <xdr:grpSpPr bwMode="auto">
        <a:xfrm>
          <a:off x="5072380" y="1722120"/>
          <a:ext cx="1623060" cy="490220"/>
          <a:chOff x="624" y="37"/>
          <a:chExt cx="552" cy="248"/>
        </a:xfrm>
      </xdr:grpSpPr>
      <xdr:sp macro="" textlink="">
        <xdr:nvSpPr>
          <xdr:cNvPr id="1212745" name="Rectangle 382">
            <a:extLst>
              <a:ext uri="{FF2B5EF4-FFF2-40B4-BE49-F238E27FC236}">
                <a16:creationId xmlns:a16="http://schemas.microsoft.com/office/drawing/2014/main" id="{00000000-0008-0000-0300-00004981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46" name="Rectangle 389">
            <a:extLst>
              <a:ext uri="{FF2B5EF4-FFF2-40B4-BE49-F238E27FC236}">
                <a16:creationId xmlns:a16="http://schemas.microsoft.com/office/drawing/2014/main" id="{00000000-0008-0000-0300-00004A81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47" name="Rectangle 393">
            <a:extLst>
              <a:ext uri="{FF2B5EF4-FFF2-40B4-BE49-F238E27FC236}">
                <a16:creationId xmlns:a16="http://schemas.microsoft.com/office/drawing/2014/main" id="{00000000-0008-0000-0300-00004B81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48" name="Rectangle 400">
            <a:extLst>
              <a:ext uri="{FF2B5EF4-FFF2-40B4-BE49-F238E27FC236}">
                <a16:creationId xmlns:a16="http://schemas.microsoft.com/office/drawing/2014/main" id="{00000000-0008-0000-0300-00004C81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49" name="Rectangle 403">
            <a:extLst>
              <a:ext uri="{FF2B5EF4-FFF2-40B4-BE49-F238E27FC236}">
                <a16:creationId xmlns:a16="http://schemas.microsoft.com/office/drawing/2014/main" id="{00000000-0008-0000-0300-00004D81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50" name="Rectangle 404">
            <a:extLst>
              <a:ext uri="{FF2B5EF4-FFF2-40B4-BE49-F238E27FC236}">
                <a16:creationId xmlns:a16="http://schemas.microsoft.com/office/drawing/2014/main" id="{00000000-0008-0000-0300-00004E81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51" name="Rectangle 828">
            <a:extLst>
              <a:ext uri="{FF2B5EF4-FFF2-40B4-BE49-F238E27FC236}">
                <a16:creationId xmlns:a16="http://schemas.microsoft.com/office/drawing/2014/main" id="{00000000-0008-0000-0300-00004F81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52" name="Rectangle 829">
            <a:extLst>
              <a:ext uri="{FF2B5EF4-FFF2-40B4-BE49-F238E27FC236}">
                <a16:creationId xmlns:a16="http://schemas.microsoft.com/office/drawing/2014/main" id="{00000000-0008-0000-0300-00005081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53" name="Oval 830">
            <a:extLst>
              <a:ext uri="{FF2B5EF4-FFF2-40B4-BE49-F238E27FC236}">
                <a16:creationId xmlns:a16="http://schemas.microsoft.com/office/drawing/2014/main" id="{00000000-0008-0000-0300-00005181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54" name="Oval 831">
            <a:extLst>
              <a:ext uri="{FF2B5EF4-FFF2-40B4-BE49-F238E27FC236}">
                <a16:creationId xmlns:a16="http://schemas.microsoft.com/office/drawing/2014/main" id="{00000000-0008-0000-0300-00005281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55" name="Oval 832">
            <a:extLst>
              <a:ext uri="{FF2B5EF4-FFF2-40B4-BE49-F238E27FC236}">
                <a16:creationId xmlns:a16="http://schemas.microsoft.com/office/drawing/2014/main" id="{00000000-0008-0000-0300-00005381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56" name="Oval 833">
            <a:extLst>
              <a:ext uri="{FF2B5EF4-FFF2-40B4-BE49-F238E27FC236}">
                <a16:creationId xmlns:a16="http://schemas.microsoft.com/office/drawing/2014/main" id="{00000000-0008-0000-0300-00005481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57" name="AutoShape 835">
            <a:extLst>
              <a:ext uri="{FF2B5EF4-FFF2-40B4-BE49-F238E27FC236}">
                <a16:creationId xmlns:a16="http://schemas.microsoft.com/office/drawing/2014/main" id="{00000000-0008-0000-0300-00005581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58" name="AutoShape 836">
            <a:extLst>
              <a:ext uri="{FF2B5EF4-FFF2-40B4-BE49-F238E27FC236}">
                <a16:creationId xmlns:a16="http://schemas.microsoft.com/office/drawing/2014/main" id="{00000000-0008-0000-0300-00005681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6</xdr:col>
      <xdr:colOff>520700</xdr:colOff>
      <xdr:row>2</xdr:row>
      <xdr:rowOff>101600</xdr:rowOff>
    </xdr:from>
    <xdr:to>
      <xdr:col>7</xdr:col>
      <xdr:colOff>190500</xdr:colOff>
      <xdr:row>2</xdr:row>
      <xdr:rowOff>469900</xdr:rowOff>
    </xdr:to>
    <xdr:grpSp>
      <xdr:nvGrpSpPr>
        <xdr:cNvPr id="1208291" name="Group 851">
          <a:extLst>
            <a:ext uri="{FF2B5EF4-FFF2-40B4-BE49-F238E27FC236}">
              <a16:creationId xmlns:a16="http://schemas.microsoft.com/office/drawing/2014/main" id="{00000000-0008-0000-0300-0000E36F1200}"/>
            </a:ext>
          </a:extLst>
        </xdr:cNvPr>
        <xdr:cNvGrpSpPr>
          <a:grpSpLocks/>
        </xdr:cNvGrpSpPr>
      </xdr:nvGrpSpPr>
      <xdr:grpSpPr bwMode="auto">
        <a:xfrm>
          <a:off x="5478780" y="1229360"/>
          <a:ext cx="797560" cy="368300"/>
          <a:chOff x="675" y="362"/>
          <a:chExt cx="278" cy="249"/>
        </a:xfrm>
      </xdr:grpSpPr>
      <xdr:sp macro="" textlink="">
        <xdr:nvSpPr>
          <xdr:cNvPr id="1212737" name="Rectangle 837">
            <a:extLst>
              <a:ext uri="{FF2B5EF4-FFF2-40B4-BE49-F238E27FC236}">
                <a16:creationId xmlns:a16="http://schemas.microsoft.com/office/drawing/2014/main" id="{00000000-0008-0000-0300-00004181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38" name="Rectangle 838">
            <a:extLst>
              <a:ext uri="{FF2B5EF4-FFF2-40B4-BE49-F238E27FC236}">
                <a16:creationId xmlns:a16="http://schemas.microsoft.com/office/drawing/2014/main" id="{00000000-0008-0000-0300-00004281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39" name="Rectangle 841">
            <a:extLst>
              <a:ext uri="{FF2B5EF4-FFF2-40B4-BE49-F238E27FC236}">
                <a16:creationId xmlns:a16="http://schemas.microsoft.com/office/drawing/2014/main" id="{00000000-0008-0000-0300-00004381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40" name="Rectangle 843">
            <a:extLst>
              <a:ext uri="{FF2B5EF4-FFF2-40B4-BE49-F238E27FC236}">
                <a16:creationId xmlns:a16="http://schemas.microsoft.com/office/drawing/2014/main" id="{00000000-0008-0000-0300-00004481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41" name="Rectangle 844">
            <a:extLst>
              <a:ext uri="{FF2B5EF4-FFF2-40B4-BE49-F238E27FC236}">
                <a16:creationId xmlns:a16="http://schemas.microsoft.com/office/drawing/2014/main" id="{00000000-0008-0000-0300-00004581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42" name="Oval 846">
            <a:extLst>
              <a:ext uri="{FF2B5EF4-FFF2-40B4-BE49-F238E27FC236}">
                <a16:creationId xmlns:a16="http://schemas.microsoft.com/office/drawing/2014/main" id="{00000000-0008-0000-0300-00004681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43" name="Oval 847">
            <a:extLst>
              <a:ext uri="{FF2B5EF4-FFF2-40B4-BE49-F238E27FC236}">
                <a16:creationId xmlns:a16="http://schemas.microsoft.com/office/drawing/2014/main" id="{00000000-0008-0000-0300-00004781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44" name="AutoShape 849">
            <a:extLst>
              <a:ext uri="{FF2B5EF4-FFF2-40B4-BE49-F238E27FC236}">
                <a16:creationId xmlns:a16="http://schemas.microsoft.com/office/drawing/2014/main" id="{00000000-0008-0000-0300-00004881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3</xdr:col>
      <xdr:colOff>114300</xdr:colOff>
      <xdr:row>2</xdr:row>
      <xdr:rowOff>76200</xdr:rowOff>
    </xdr:from>
    <xdr:to>
      <xdr:col>3</xdr:col>
      <xdr:colOff>596900</xdr:colOff>
      <xdr:row>2</xdr:row>
      <xdr:rowOff>431800</xdr:rowOff>
    </xdr:to>
    <xdr:grpSp>
      <xdr:nvGrpSpPr>
        <xdr:cNvPr id="1208292" name="Group 853">
          <a:extLst>
            <a:ext uri="{FF2B5EF4-FFF2-40B4-BE49-F238E27FC236}">
              <a16:creationId xmlns:a16="http://schemas.microsoft.com/office/drawing/2014/main" id="{00000000-0008-0000-0300-0000E46F1200}"/>
            </a:ext>
          </a:extLst>
        </xdr:cNvPr>
        <xdr:cNvGrpSpPr>
          <a:grpSpLocks/>
        </xdr:cNvGrpSpPr>
      </xdr:nvGrpSpPr>
      <xdr:grpSpPr bwMode="auto">
        <a:xfrm>
          <a:off x="3385820" y="1203960"/>
          <a:ext cx="482600" cy="355600"/>
          <a:chOff x="675" y="362"/>
          <a:chExt cx="278" cy="249"/>
        </a:xfrm>
      </xdr:grpSpPr>
      <xdr:sp macro="" textlink="">
        <xdr:nvSpPr>
          <xdr:cNvPr id="1212729" name="Rectangle 854">
            <a:extLst>
              <a:ext uri="{FF2B5EF4-FFF2-40B4-BE49-F238E27FC236}">
                <a16:creationId xmlns:a16="http://schemas.microsoft.com/office/drawing/2014/main" id="{00000000-0008-0000-0300-00003981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30" name="Rectangle 855">
            <a:extLst>
              <a:ext uri="{FF2B5EF4-FFF2-40B4-BE49-F238E27FC236}">
                <a16:creationId xmlns:a16="http://schemas.microsoft.com/office/drawing/2014/main" id="{00000000-0008-0000-0300-00003A81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31" name="Rectangle 856">
            <a:extLst>
              <a:ext uri="{FF2B5EF4-FFF2-40B4-BE49-F238E27FC236}">
                <a16:creationId xmlns:a16="http://schemas.microsoft.com/office/drawing/2014/main" id="{00000000-0008-0000-0300-00003B81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32" name="Rectangle 857">
            <a:extLst>
              <a:ext uri="{FF2B5EF4-FFF2-40B4-BE49-F238E27FC236}">
                <a16:creationId xmlns:a16="http://schemas.microsoft.com/office/drawing/2014/main" id="{00000000-0008-0000-0300-00003C81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33" name="Rectangle 858">
            <a:extLst>
              <a:ext uri="{FF2B5EF4-FFF2-40B4-BE49-F238E27FC236}">
                <a16:creationId xmlns:a16="http://schemas.microsoft.com/office/drawing/2014/main" id="{00000000-0008-0000-0300-00003D81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34" name="Oval 859">
            <a:extLst>
              <a:ext uri="{FF2B5EF4-FFF2-40B4-BE49-F238E27FC236}">
                <a16:creationId xmlns:a16="http://schemas.microsoft.com/office/drawing/2014/main" id="{00000000-0008-0000-0300-00003E81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35" name="Oval 860">
            <a:extLst>
              <a:ext uri="{FF2B5EF4-FFF2-40B4-BE49-F238E27FC236}">
                <a16:creationId xmlns:a16="http://schemas.microsoft.com/office/drawing/2014/main" id="{00000000-0008-0000-0300-00003F81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36" name="AutoShape 861">
            <a:extLst>
              <a:ext uri="{FF2B5EF4-FFF2-40B4-BE49-F238E27FC236}">
                <a16:creationId xmlns:a16="http://schemas.microsoft.com/office/drawing/2014/main" id="{00000000-0008-0000-0300-00004081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4</xdr:col>
      <xdr:colOff>101600</xdr:colOff>
      <xdr:row>2</xdr:row>
      <xdr:rowOff>63500</xdr:rowOff>
    </xdr:from>
    <xdr:to>
      <xdr:col>4</xdr:col>
      <xdr:colOff>622300</xdr:colOff>
      <xdr:row>2</xdr:row>
      <xdr:rowOff>431800</xdr:rowOff>
    </xdr:to>
    <xdr:grpSp>
      <xdr:nvGrpSpPr>
        <xdr:cNvPr id="1208293" name="Group 862">
          <a:extLst>
            <a:ext uri="{FF2B5EF4-FFF2-40B4-BE49-F238E27FC236}">
              <a16:creationId xmlns:a16="http://schemas.microsoft.com/office/drawing/2014/main" id="{00000000-0008-0000-0300-0000E56F1200}"/>
            </a:ext>
          </a:extLst>
        </xdr:cNvPr>
        <xdr:cNvGrpSpPr>
          <a:grpSpLocks/>
        </xdr:cNvGrpSpPr>
      </xdr:nvGrpSpPr>
      <xdr:grpSpPr bwMode="auto">
        <a:xfrm>
          <a:off x="4023360" y="1191260"/>
          <a:ext cx="520700" cy="368300"/>
          <a:chOff x="624" y="37"/>
          <a:chExt cx="552" cy="248"/>
        </a:xfrm>
      </xdr:grpSpPr>
      <xdr:sp macro="" textlink="">
        <xdr:nvSpPr>
          <xdr:cNvPr id="1212715" name="Rectangle 863">
            <a:extLst>
              <a:ext uri="{FF2B5EF4-FFF2-40B4-BE49-F238E27FC236}">
                <a16:creationId xmlns:a16="http://schemas.microsoft.com/office/drawing/2014/main" id="{00000000-0008-0000-0300-00002B81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16" name="Rectangle 864">
            <a:extLst>
              <a:ext uri="{FF2B5EF4-FFF2-40B4-BE49-F238E27FC236}">
                <a16:creationId xmlns:a16="http://schemas.microsoft.com/office/drawing/2014/main" id="{00000000-0008-0000-0300-00002C81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17" name="Rectangle 865">
            <a:extLst>
              <a:ext uri="{FF2B5EF4-FFF2-40B4-BE49-F238E27FC236}">
                <a16:creationId xmlns:a16="http://schemas.microsoft.com/office/drawing/2014/main" id="{00000000-0008-0000-0300-00002D81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18" name="Rectangle 866">
            <a:extLst>
              <a:ext uri="{FF2B5EF4-FFF2-40B4-BE49-F238E27FC236}">
                <a16:creationId xmlns:a16="http://schemas.microsoft.com/office/drawing/2014/main" id="{00000000-0008-0000-0300-00002E81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19" name="Rectangle 867">
            <a:extLst>
              <a:ext uri="{FF2B5EF4-FFF2-40B4-BE49-F238E27FC236}">
                <a16:creationId xmlns:a16="http://schemas.microsoft.com/office/drawing/2014/main" id="{00000000-0008-0000-0300-00002F81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20" name="Rectangle 868">
            <a:extLst>
              <a:ext uri="{FF2B5EF4-FFF2-40B4-BE49-F238E27FC236}">
                <a16:creationId xmlns:a16="http://schemas.microsoft.com/office/drawing/2014/main" id="{00000000-0008-0000-0300-00003081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21" name="Rectangle 869">
            <a:extLst>
              <a:ext uri="{FF2B5EF4-FFF2-40B4-BE49-F238E27FC236}">
                <a16:creationId xmlns:a16="http://schemas.microsoft.com/office/drawing/2014/main" id="{00000000-0008-0000-0300-00003181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22" name="Rectangle 870">
            <a:extLst>
              <a:ext uri="{FF2B5EF4-FFF2-40B4-BE49-F238E27FC236}">
                <a16:creationId xmlns:a16="http://schemas.microsoft.com/office/drawing/2014/main" id="{00000000-0008-0000-0300-00003281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23" name="Oval 871">
            <a:extLst>
              <a:ext uri="{FF2B5EF4-FFF2-40B4-BE49-F238E27FC236}">
                <a16:creationId xmlns:a16="http://schemas.microsoft.com/office/drawing/2014/main" id="{00000000-0008-0000-0300-00003381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24" name="Oval 872">
            <a:extLst>
              <a:ext uri="{FF2B5EF4-FFF2-40B4-BE49-F238E27FC236}">
                <a16:creationId xmlns:a16="http://schemas.microsoft.com/office/drawing/2014/main" id="{00000000-0008-0000-0300-00003481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25" name="Oval 873">
            <a:extLst>
              <a:ext uri="{FF2B5EF4-FFF2-40B4-BE49-F238E27FC236}">
                <a16:creationId xmlns:a16="http://schemas.microsoft.com/office/drawing/2014/main" id="{00000000-0008-0000-0300-00003581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26" name="Oval 874">
            <a:extLst>
              <a:ext uri="{FF2B5EF4-FFF2-40B4-BE49-F238E27FC236}">
                <a16:creationId xmlns:a16="http://schemas.microsoft.com/office/drawing/2014/main" id="{00000000-0008-0000-0300-00003681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27" name="AutoShape 875">
            <a:extLst>
              <a:ext uri="{FF2B5EF4-FFF2-40B4-BE49-F238E27FC236}">
                <a16:creationId xmlns:a16="http://schemas.microsoft.com/office/drawing/2014/main" id="{00000000-0008-0000-0300-00003781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28" name="AutoShape 876">
            <a:extLst>
              <a:ext uri="{FF2B5EF4-FFF2-40B4-BE49-F238E27FC236}">
                <a16:creationId xmlns:a16="http://schemas.microsoft.com/office/drawing/2014/main" id="{00000000-0008-0000-0300-00003881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63500</xdr:rowOff>
    </xdr:from>
    <xdr:to>
      <xdr:col>8</xdr:col>
      <xdr:colOff>0</xdr:colOff>
      <xdr:row>2</xdr:row>
      <xdr:rowOff>431800</xdr:rowOff>
    </xdr:to>
    <xdr:grpSp>
      <xdr:nvGrpSpPr>
        <xdr:cNvPr id="1208294" name="Group 894">
          <a:extLst>
            <a:ext uri="{FF2B5EF4-FFF2-40B4-BE49-F238E27FC236}">
              <a16:creationId xmlns:a16="http://schemas.microsoft.com/office/drawing/2014/main" id="{00000000-0008-0000-0300-0000E66F1200}"/>
            </a:ext>
          </a:extLst>
        </xdr:cNvPr>
        <xdr:cNvGrpSpPr>
          <a:grpSpLocks/>
        </xdr:cNvGrpSpPr>
      </xdr:nvGrpSpPr>
      <xdr:grpSpPr bwMode="auto">
        <a:xfrm>
          <a:off x="6766560" y="1191260"/>
          <a:ext cx="0" cy="368300"/>
          <a:chOff x="624" y="37"/>
          <a:chExt cx="552" cy="248"/>
        </a:xfrm>
      </xdr:grpSpPr>
      <xdr:sp macro="" textlink="">
        <xdr:nvSpPr>
          <xdr:cNvPr id="1212701" name="Rectangle 895">
            <a:extLst>
              <a:ext uri="{FF2B5EF4-FFF2-40B4-BE49-F238E27FC236}">
                <a16:creationId xmlns:a16="http://schemas.microsoft.com/office/drawing/2014/main" id="{00000000-0008-0000-0300-00001D81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02" name="Rectangle 896">
            <a:extLst>
              <a:ext uri="{FF2B5EF4-FFF2-40B4-BE49-F238E27FC236}">
                <a16:creationId xmlns:a16="http://schemas.microsoft.com/office/drawing/2014/main" id="{00000000-0008-0000-0300-00001E81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03" name="Rectangle 897">
            <a:extLst>
              <a:ext uri="{FF2B5EF4-FFF2-40B4-BE49-F238E27FC236}">
                <a16:creationId xmlns:a16="http://schemas.microsoft.com/office/drawing/2014/main" id="{00000000-0008-0000-0300-00001F81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04" name="Rectangle 898">
            <a:extLst>
              <a:ext uri="{FF2B5EF4-FFF2-40B4-BE49-F238E27FC236}">
                <a16:creationId xmlns:a16="http://schemas.microsoft.com/office/drawing/2014/main" id="{00000000-0008-0000-0300-00002081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05" name="Rectangle 899">
            <a:extLst>
              <a:ext uri="{FF2B5EF4-FFF2-40B4-BE49-F238E27FC236}">
                <a16:creationId xmlns:a16="http://schemas.microsoft.com/office/drawing/2014/main" id="{00000000-0008-0000-0300-00002181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06" name="Rectangle 900">
            <a:extLst>
              <a:ext uri="{FF2B5EF4-FFF2-40B4-BE49-F238E27FC236}">
                <a16:creationId xmlns:a16="http://schemas.microsoft.com/office/drawing/2014/main" id="{00000000-0008-0000-0300-00002281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07" name="Rectangle 901">
            <a:extLst>
              <a:ext uri="{FF2B5EF4-FFF2-40B4-BE49-F238E27FC236}">
                <a16:creationId xmlns:a16="http://schemas.microsoft.com/office/drawing/2014/main" id="{00000000-0008-0000-0300-00002381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08" name="Rectangle 902">
            <a:extLst>
              <a:ext uri="{FF2B5EF4-FFF2-40B4-BE49-F238E27FC236}">
                <a16:creationId xmlns:a16="http://schemas.microsoft.com/office/drawing/2014/main" id="{00000000-0008-0000-0300-00002481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09" name="Oval 903">
            <a:extLst>
              <a:ext uri="{FF2B5EF4-FFF2-40B4-BE49-F238E27FC236}">
                <a16:creationId xmlns:a16="http://schemas.microsoft.com/office/drawing/2014/main" id="{00000000-0008-0000-0300-00002581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10" name="Oval 904">
            <a:extLst>
              <a:ext uri="{FF2B5EF4-FFF2-40B4-BE49-F238E27FC236}">
                <a16:creationId xmlns:a16="http://schemas.microsoft.com/office/drawing/2014/main" id="{00000000-0008-0000-0300-00002681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11" name="Oval 905">
            <a:extLst>
              <a:ext uri="{FF2B5EF4-FFF2-40B4-BE49-F238E27FC236}">
                <a16:creationId xmlns:a16="http://schemas.microsoft.com/office/drawing/2014/main" id="{00000000-0008-0000-0300-00002781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12" name="Oval 906">
            <a:extLst>
              <a:ext uri="{FF2B5EF4-FFF2-40B4-BE49-F238E27FC236}">
                <a16:creationId xmlns:a16="http://schemas.microsoft.com/office/drawing/2014/main" id="{00000000-0008-0000-0300-00002881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13" name="AutoShape 907">
            <a:extLst>
              <a:ext uri="{FF2B5EF4-FFF2-40B4-BE49-F238E27FC236}">
                <a16:creationId xmlns:a16="http://schemas.microsoft.com/office/drawing/2014/main" id="{00000000-0008-0000-0300-00002981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14" name="AutoShape 908">
            <a:extLst>
              <a:ext uri="{FF2B5EF4-FFF2-40B4-BE49-F238E27FC236}">
                <a16:creationId xmlns:a16="http://schemas.microsoft.com/office/drawing/2014/main" id="{00000000-0008-0000-0300-00002A81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63500</xdr:rowOff>
    </xdr:from>
    <xdr:to>
      <xdr:col>8</xdr:col>
      <xdr:colOff>0</xdr:colOff>
      <xdr:row>2</xdr:row>
      <xdr:rowOff>431800</xdr:rowOff>
    </xdr:to>
    <xdr:grpSp>
      <xdr:nvGrpSpPr>
        <xdr:cNvPr id="1208295" name="Group 909">
          <a:extLst>
            <a:ext uri="{FF2B5EF4-FFF2-40B4-BE49-F238E27FC236}">
              <a16:creationId xmlns:a16="http://schemas.microsoft.com/office/drawing/2014/main" id="{00000000-0008-0000-0300-0000E76F1200}"/>
            </a:ext>
          </a:extLst>
        </xdr:cNvPr>
        <xdr:cNvGrpSpPr>
          <a:grpSpLocks/>
        </xdr:cNvGrpSpPr>
      </xdr:nvGrpSpPr>
      <xdr:grpSpPr bwMode="auto">
        <a:xfrm>
          <a:off x="6766560" y="1191260"/>
          <a:ext cx="0" cy="368300"/>
          <a:chOff x="624" y="37"/>
          <a:chExt cx="552" cy="248"/>
        </a:xfrm>
      </xdr:grpSpPr>
      <xdr:sp macro="" textlink="">
        <xdr:nvSpPr>
          <xdr:cNvPr id="1212687" name="Rectangle 910">
            <a:extLst>
              <a:ext uri="{FF2B5EF4-FFF2-40B4-BE49-F238E27FC236}">
                <a16:creationId xmlns:a16="http://schemas.microsoft.com/office/drawing/2014/main" id="{00000000-0008-0000-0300-00000F81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88" name="Rectangle 911">
            <a:extLst>
              <a:ext uri="{FF2B5EF4-FFF2-40B4-BE49-F238E27FC236}">
                <a16:creationId xmlns:a16="http://schemas.microsoft.com/office/drawing/2014/main" id="{00000000-0008-0000-0300-00001081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89" name="Rectangle 912">
            <a:extLst>
              <a:ext uri="{FF2B5EF4-FFF2-40B4-BE49-F238E27FC236}">
                <a16:creationId xmlns:a16="http://schemas.microsoft.com/office/drawing/2014/main" id="{00000000-0008-0000-0300-00001181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90" name="Rectangle 913">
            <a:extLst>
              <a:ext uri="{FF2B5EF4-FFF2-40B4-BE49-F238E27FC236}">
                <a16:creationId xmlns:a16="http://schemas.microsoft.com/office/drawing/2014/main" id="{00000000-0008-0000-0300-00001281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91" name="Rectangle 914">
            <a:extLst>
              <a:ext uri="{FF2B5EF4-FFF2-40B4-BE49-F238E27FC236}">
                <a16:creationId xmlns:a16="http://schemas.microsoft.com/office/drawing/2014/main" id="{00000000-0008-0000-0300-00001381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92" name="Rectangle 915">
            <a:extLst>
              <a:ext uri="{FF2B5EF4-FFF2-40B4-BE49-F238E27FC236}">
                <a16:creationId xmlns:a16="http://schemas.microsoft.com/office/drawing/2014/main" id="{00000000-0008-0000-0300-00001481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93" name="Rectangle 916">
            <a:extLst>
              <a:ext uri="{FF2B5EF4-FFF2-40B4-BE49-F238E27FC236}">
                <a16:creationId xmlns:a16="http://schemas.microsoft.com/office/drawing/2014/main" id="{00000000-0008-0000-0300-00001581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94" name="Rectangle 917">
            <a:extLst>
              <a:ext uri="{FF2B5EF4-FFF2-40B4-BE49-F238E27FC236}">
                <a16:creationId xmlns:a16="http://schemas.microsoft.com/office/drawing/2014/main" id="{00000000-0008-0000-0300-00001681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95" name="Oval 918">
            <a:extLst>
              <a:ext uri="{FF2B5EF4-FFF2-40B4-BE49-F238E27FC236}">
                <a16:creationId xmlns:a16="http://schemas.microsoft.com/office/drawing/2014/main" id="{00000000-0008-0000-0300-00001781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96" name="Oval 919">
            <a:extLst>
              <a:ext uri="{FF2B5EF4-FFF2-40B4-BE49-F238E27FC236}">
                <a16:creationId xmlns:a16="http://schemas.microsoft.com/office/drawing/2014/main" id="{00000000-0008-0000-0300-00001881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97" name="Oval 920">
            <a:extLst>
              <a:ext uri="{FF2B5EF4-FFF2-40B4-BE49-F238E27FC236}">
                <a16:creationId xmlns:a16="http://schemas.microsoft.com/office/drawing/2014/main" id="{00000000-0008-0000-0300-00001981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98" name="Oval 921">
            <a:extLst>
              <a:ext uri="{FF2B5EF4-FFF2-40B4-BE49-F238E27FC236}">
                <a16:creationId xmlns:a16="http://schemas.microsoft.com/office/drawing/2014/main" id="{00000000-0008-0000-0300-00001A81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99" name="AutoShape 922">
            <a:extLst>
              <a:ext uri="{FF2B5EF4-FFF2-40B4-BE49-F238E27FC236}">
                <a16:creationId xmlns:a16="http://schemas.microsoft.com/office/drawing/2014/main" id="{00000000-0008-0000-0300-00001B81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00" name="AutoShape 923">
            <a:extLst>
              <a:ext uri="{FF2B5EF4-FFF2-40B4-BE49-F238E27FC236}">
                <a16:creationId xmlns:a16="http://schemas.microsoft.com/office/drawing/2014/main" id="{00000000-0008-0000-0300-00001C81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50800</xdr:rowOff>
    </xdr:from>
    <xdr:to>
      <xdr:col>8</xdr:col>
      <xdr:colOff>0</xdr:colOff>
      <xdr:row>2</xdr:row>
      <xdr:rowOff>431800</xdr:rowOff>
    </xdr:to>
    <xdr:grpSp>
      <xdr:nvGrpSpPr>
        <xdr:cNvPr id="1208296" name="Group 924">
          <a:extLst>
            <a:ext uri="{FF2B5EF4-FFF2-40B4-BE49-F238E27FC236}">
              <a16:creationId xmlns:a16="http://schemas.microsoft.com/office/drawing/2014/main" id="{00000000-0008-0000-0300-0000E86F1200}"/>
            </a:ext>
          </a:extLst>
        </xdr:cNvPr>
        <xdr:cNvGrpSpPr>
          <a:grpSpLocks/>
        </xdr:cNvGrpSpPr>
      </xdr:nvGrpSpPr>
      <xdr:grpSpPr bwMode="auto">
        <a:xfrm>
          <a:off x="6766560" y="1178560"/>
          <a:ext cx="0" cy="381000"/>
          <a:chOff x="675" y="362"/>
          <a:chExt cx="278" cy="249"/>
        </a:xfrm>
      </xdr:grpSpPr>
      <xdr:sp macro="" textlink="">
        <xdr:nvSpPr>
          <xdr:cNvPr id="1212679" name="Rectangle 925">
            <a:extLst>
              <a:ext uri="{FF2B5EF4-FFF2-40B4-BE49-F238E27FC236}">
                <a16:creationId xmlns:a16="http://schemas.microsoft.com/office/drawing/2014/main" id="{00000000-0008-0000-0300-00000781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80" name="Rectangle 926">
            <a:extLst>
              <a:ext uri="{FF2B5EF4-FFF2-40B4-BE49-F238E27FC236}">
                <a16:creationId xmlns:a16="http://schemas.microsoft.com/office/drawing/2014/main" id="{00000000-0008-0000-0300-00000881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81" name="Rectangle 927">
            <a:extLst>
              <a:ext uri="{FF2B5EF4-FFF2-40B4-BE49-F238E27FC236}">
                <a16:creationId xmlns:a16="http://schemas.microsoft.com/office/drawing/2014/main" id="{00000000-0008-0000-0300-00000981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82" name="Rectangle 928">
            <a:extLst>
              <a:ext uri="{FF2B5EF4-FFF2-40B4-BE49-F238E27FC236}">
                <a16:creationId xmlns:a16="http://schemas.microsoft.com/office/drawing/2014/main" id="{00000000-0008-0000-0300-00000A81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83" name="Rectangle 929">
            <a:extLst>
              <a:ext uri="{FF2B5EF4-FFF2-40B4-BE49-F238E27FC236}">
                <a16:creationId xmlns:a16="http://schemas.microsoft.com/office/drawing/2014/main" id="{00000000-0008-0000-0300-00000B81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84" name="Oval 930">
            <a:extLst>
              <a:ext uri="{FF2B5EF4-FFF2-40B4-BE49-F238E27FC236}">
                <a16:creationId xmlns:a16="http://schemas.microsoft.com/office/drawing/2014/main" id="{00000000-0008-0000-0300-00000C81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85" name="Oval 931">
            <a:extLst>
              <a:ext uri="{FF2B5EF4-FFF2-40B4-BE49-F238E27FC236}">
                <a16:creationId xmlns:a16="http://schemas.microsoft.com/office/drawing/2014/main" id="{00000000-0008-0000-0300-00000D81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86" name="AutoShape 932">
            <a:extLst>
              <a:ext uri="{FF2B5EF4-FFF2-40B4-BE49-F238E27FC236}">
                <a16:creationId xmlns:a16="http://schemas.microsoft.com/office/drawing/2014/main" id="{00000000-0008-0000-0300-00000E81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50800</xdr:rowOff>
    </xdr:from>
    <xdr:to>
      <xdr:col>8</xdr:col>
      <xdr:colOff>0</xdr:colOff>
      <xdr:row>2</xdr:row>
      <xdr:rowOff>431800</xdr:rowOff>
    </xdr:to>
    <xdr:grpSp>
      <xdr:nvGrpSpPr>
        <xdr:cNvPr id="1208297" name="Group 933">
          <a:extLst>
            <a:ext uri="{FF2B5EF4-FFF2-40B4-BE49-F238E27FC236}">
              <a16:creationId xmlns:a16="http://schemas.microsoft.com/office/drawing/2014/main" id="{00000000-0008-0000-0300-0000E96F1200}"/>
            </a:ext>
          </a:extLst>
        </xdr:cNvPr>
        <xdr:cNvGrpSpPr>
          <a:grpSpLocks/>
        </xdr:cNvGrpSpPr>
      </xdr:nvGrpSpPr>
      <xdr:grpSpPr bwMode="auto">
        <a:xfrm>
          <a:off x="6766560" y="1178560"/>
          <a:ext cx="0" cy="381000"/>
          <a:chOff x="675" y="362"/>
          <a:chExt cx="278" cy="249"/>
        </a:xfrm>
      </xdr:grpSpPr>
      <xdr:sp macro="" textlink="">
        <xdr:nvSpPr>
          <xdr:cNvPr id="1212671" name="Rectangle 934">
            <a:extLst>
              <a:ext uri="{FF2B5EF4-FFF2-40B4-BE49-F238E27FC236}">
                <a16:creationId xmlns:a16="http://schemas.microsoft.com/office/drawing/2014/main" id="{00000000-0008-0000-0300-0000FF80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72" name="Rectangle 935">
            <a:extLst>
              <a:ext uri="{FF2B5EF4-FFF2-40B4-BE49-F238E27FC236}">
                <a16:creationId xmlns:a16="http://schemas.microsoft.com/office/drawing/2014/main" id="{00000000-0008-0000-0300-00000081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73" name="Rectangle 936">
            <a:extLst>
              <a:ext uri="{FF2B5EF4-FFF2-40B4-BE49-F238E27FC236}">
                <a16:creationId xmlns:a16="http://schemas.microsoft.com/office/drawing/2014/main" id="{00000000-0008-0000-0300-00000181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74" name="Rectangle 937">
            <a:extLst>
              <a:ext uri="{FF2B5EF4-FFF2-40B4-BE49-F238E27FC236}">
                <a16:creationId xmlns:a16="http://schemas.microsoft.com/office/drawing/2014/main" id="{00000000-0008-0000-0300-00000281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75" name="Rectangle 938">
            <a:extLst>
              <a:ext uri="{FF2B5EF4-FFF2-40B4-BE49-F238E27FC236}">
                <a16:creationId xmlns:a16="http://schemas.microsoft.com/office/drawing/2014/main" id="{00000000-0008-0000-0300-00000381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76" name="Oval 939">
            <a:extLst>
              <a:ext uri="{FF2B5EF4-FFF2-40B4-BE49-F238E27FC236}">
                <a16:creationId xmlns:a16="http://schemas.microsoft.com/office/drawing/2014/main" id="{00000000-0008-0000-0300-00000481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77" name="Oval 940">
            <a:extLst>
              <a:ext uri="{FF2B5EF4-FFF2-40B4-BE49-F238E27FC236}">
                <a16:creationId xmlns:a16="http://schemas.microsoft.com/office/drawing/2014/main" id="{00000000-0008-0000-0300-00000581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78" name="AutoShape 941">
            <a:extLst>
              <a:ext uri="{FF2B5EF4-FFF2-40B4-BE49-F238E27FC236}">
                <a16:creationId xmlns:a16="http://schemas.microsoft.com/office/drawing/2014/main" id="{00000000-0008-0000-0300-00000681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50800</xdr:rowOff>
    </xdr:from>
    <xdr:to>
      <xdr:col>8</xdr:col>
      <xdr:colOff>0</xdr:colOff>
      <xdr:row>2</xdr:row>
      <xdr:rowOff>431800</xdr:rowOff>
    </xdr:to>
    <xdr:grpSp>
      <xdr:nvGrpSpPr>
        <xdr:cNvPr id="1208298" name="Group 942">
          <a:extLst>
            <a:ext uri="{FF2B5EF4-FFF2-40B4-BE49-F238E27FC236}">
              <a16:creationId xmlns:a16="http://schemas.microsoft.com/office/drawing/2014/main" id="{00000000-0008-0000-0300-0000EA6F1200}"/>
            </a:ext>
          </a:extLst>
        </xdr:cNvPr>
        <xdr:cNvGrpSpPr>
          <a:grpSpLocks/>
        </xdr:cNvGrpSpPr>
      </xdr:nvGrpSpPr>
      <xdr:grpSpPr bwMode="auto">
        <a:xfrm>
          <a:off x="6766560" y="1178560"/>
          <a:ext cx="0" cy="381000"/>
          <a:chOff x="675" y="362"/>
          <a:chExt cx="278" cy="249"/>
        </a:xfrm>
      </xdr:grpSpPr>
      <xdr:sp macro="" textlink="">
        <xdr:nvSpPr>
          <xdr:cNvPr id="1212663" name="Rectangle 943">
            <a:extLst>
              <a:ext uri="{FF2B5EF4-FFF2-40B4-BE49-F238E27FC236}">
                <a16:creationId xmlns:a16="http://schemas.microsoft.com/office/drawing/2014/main" id="{00000000-0008-0000-0300-0000F780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64" name="Rectangle 944">
            <a:extLst>
              <a:ext uri="{FF2B5EF4-FFF2-40B4-BE49-F238E27FC236}">
                <a16:creationId xmlns:a16="http://schemas.microsoft.com/office/drawing/2014/main" id="{00000000-0008-0000-0300-0000F880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65" name="Rectangle 945">
            <a:extLst>
              <a:ext uri="{FF2B5EF4-FFF2-40B4-BE49-F238E27FC236}">
                <a16:creationId xmlns:a16="http://schemas.microsoft.com/office/drawing/2014/main" id="{00000000-0008-0000-0300-0000F9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66" name="Rectangle 946">
            <a:extLst>
              <a:ext uri="{FF2B5EF4-FFF2-40B4-BE49-F238E27FC236}">
                <a16:creationId xmlns:a16="http://schemas.microsoft.com/office/drawing/2014/main" id="{00000000-0008-0000-0300-0000FA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67" name="Rectangle 947">
            <a:extLst>
              <a:ext uri="{FF2B5EF4-FFF2-40B4-BE49-F238E27FC236}">
                <a16:creationId xmlns:a16="http://schemas.microsoft.com/office/drawing/2014/main" id="{00000000-0008-0000-0300-0000FB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68" name="Oval 948">
            <a:extLst>
              <a:ext uri="{FF2B5EF4-FFF2-40B4-BE49-F238E27FC236}">
                <a16:creationId xmlns:a16="http://schemas.microsoft.com/office/drawing/2014/main" id="{00000000-0008-0000-0300-0000FC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69" name="Oval 949">
            <a:extLst>
              <a:ext uri="{FF2B5EF4-FFF2-40B4-BE49-F238E27FC236}">
                <a16:creationId xmlns:a16="http://schemas.microsoft.com/office/drawing/2014/main" id="{00000000-0008-0000-0300-0000FD80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70" name="AutoShape 950">
            <a:extLst>
              <a:ext uri="{FF2B5EF4-FFF2-40B4-BE49-F238E27FC236}">
                <a16:creationId xmlns:a16="http://schemas.microsoft.com/office/drawing/2014/main" id="{00000000-0008-0000-0300-0000FE80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63500</xdr:rowOff>
    </xdr:from>
    <xdr:to>
      <xdr:col>8</xdr:col>
      <xdr:colOff>0</xdr:colOff>
      <xdr:row>2</xdr:row>
      <xdr:rowOff>431800</xdr:rowOff>
    </xdr:to>
    <xdr:grpSp>
      <xdr:nvGrpSpPr>
        <xdr:cNvPr id="1208299" name="Group 951">
          <a:extLst>
            <a:ext uri="{FF2B5EF4-FFF2-40B4-BE49-F238E27FC236}">
              <a16:creationId xmlns:a16="http://schemas.microsoft.com/office/drawing/2014/main" id="{00000000-0008-0000-0300-0000EB6F1200}"/>
            </a:ext>
          </a:extLst>
        </xdr:cNvPr>
        <xdr:cNvGrpSpPr>
          <a:grpSpLocks/>
        </xdr:cNvGrpSpPr>
      </xdr:nvGrpSpPr>
      <xdr:grpSpPr bwMode="auto">
        <a:xfrm>
          <a:off x="6766560" y="1191260"/>
          <a:ext cx="0" cy="368300"/>
          <a:chOff x="624" y="37"/>
          <a:chExt cx="552" cy="248"/>
        </a:xfrm>
      </xdr:grpSpPr>
      <xdr:sp macro="" textlink="">
        <xdr:nvSpPr>
          <xdr:cNvPr id="1212649" name="Rectangle 952">
            <a:extLst>
              <a:ext uri="{FF2B5EF4-FFF2-40B4-BE49-F238E27FC236}">
                <a16:creationId xmlns:a16="http://schemas.microsoft.com/office/drawing/2014/main" id="{00000000-0008-0000-0300-0000E980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50" name="Rectangle 953">
            <a:extLst>
              <a:ext uri="{FF2B5EF4-FFF2-40B4-BE49-F238E27FC236}">
                <a16:creationId xmlns:a16="http://schemas.microsoft.com/office/drawing/2014/main" id="{00000000-0008-0000-0300-0000EA80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51" name="Rectangle 954">
            <a:extLst>
              <a:ext uri="{FF2B5EF4-FFF2-40B4-BE49-F238E27FC236}">
                <a16:creationId xmlns:a16="http://schemas.microsoft.com/office/drawing/2014/main" id="{00000000-0008-0000-0300-0000EB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52" name="Rectangle 955">
            <a:extLst>
              <a:ext uri="{FF2B5EF4-FFF2-40B4-BE49-F238E27FC236}">
                <a16:creationId xmlns:a16="http://schemas.microsoft.com/office/drawing/2014/main" id="{00000000-0008-0000-0300-0000EC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53" name="Rectangle 956">
            <a:extLst>
              <a:ext uri="{FF2B5EF4-FFF2-40B4-BE49-F238E27FC236}">
                <a16:creationId xmlns:a16="http://schemas.microsoft.com/office/drawing/2014/main" id="{00000000-0008-0000-0300-0000ED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54" name="Rectangle 957">
            <a:extLst>
              <a:ext uri="{FF2B5EF4-FFF2-40B4-BE49-F238E27FC236}">
                <a16:creationId xmlns:a16="http://schemas.microsoft.com/office/drawing/2014/main" id="{00000000-0008-0000-0300-0000EE80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55" name="Rectangle 958">
            <a:extLst>
              <a:ext uri="{FF2B5EF4-FFF2-40B4-BE49-F238E27FC236}">
                <a16:creationId xmlns:a16="http://schemas.microsoft.com/office/drawing/2014/main" id="{00000000-0008-0000-0300-0000EF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56" name="Rectangle 959">
            <a:extLst>
              <a:ext uri="{FF2B5EF4-FFF2-40B4-BE49-F238E27FC236}">
                <a16:creationId xmlns:a16="http://schemas.microsoft.com/office/drawing/2014/main" id="{00000000-0008-0000-0300-0000F0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57" name="Oval 960">
            <a:extLst>
              <a:ext uri="{FF2B5EF4-FFF2-40B4-BE49-F238E27FC236}">
                <a16:creationId xmlns:a16="http://schemas.microsoft.com/office/drawing/2014/main" id="{00000000-0008-0000-0300-0000F180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58" name="Oval 961">
            <a:extLst>
              <a:ext uri="{FF2B5EF4-FFF2-40B4-BE49-F238E27FC236}">
                <a16:creationId xmlns:a16="http://schemas.microsoft.com/office/drawing/2014/main" id="{00000000-0008-0000-0300-0000F280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59" name="Oval 962">
            <a:extLst>
              <a:ext uri="{FF2B5EF4-FFF2-40B4-BE49-F238E27FC236}">
                <a16:creationId xmlns:a16="http://schemas.microsoft.com/office/drawing/2014/main" id="{00000000-0008-0000-0300-0000F380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60" name="Oval 963">
            <a:extLst>
              <a:ext uri="{FF2B5EF4-FFF2-40B4-BE49-F238E27FC236}">
                <a16:creationId xmlns:a16="http://schemas.microsoft.com/office/drawing/2014/main" id="{00000000-0008-0000-0300-0000F480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61" name="AutoShape 964">
            <a:extLst>
              <a:ext uri="{FF2B5EF4-FFF2-40B4-BE49-F238E27FC236}">
                <a16:creationId xmlns:a16="http://schemas.microsoft.com/office/drawing/2014/main" id="{00000000-0008-0000-0300-0000F580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62" name="AutoShape 965">
            <a:extLst>
              <a:ext uri="{FF2B5EF4-FFF2-40B4-BE49-F238E27FC236}">
                <a16:creationId xmlns:a16="http://schemas.microsoft.com/office/drawing/2014/main" id="{00000000-0008-0000-0300-0000F6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50800</xdr:rowOff>
    </xdr:from>
    <xdr:to>
      <xdr:col>8</xdr:col>
      <xdr:colOff>0</xdr:colOff>
      <xdr:row>2</xdr:row>
      <xdr:rowOff>431800</xdr:rowOff>
    </xdr:to>
    <xdr:grpSp>
      <xdr:nvGrpSpPr>
        <xdr:cNvPr id="1208300" name="Group 966">
          <a:extLst>
            <a:ext uri="{FF2B5EF4-FFF2-40B4-BE49-F238E27FC236}">
              <a16:creationId xmlns:a16="http://schemas.microsoft.com/office/drawing/2014/main" id="{00000000-0008-0000-0300-0000EC6F1200}"/>
            </a:ext>
          </a:extLst>
        </xdr:cNvPr>
        <xdr:cNvGrpSpPr>
          <a:grpSpLocks/>
        </xdr:cNvGrpSpPr>
      </xdr:nvGrpSpPr>
      <xdr:grpSpPr bwMode="auto">
        <a:xfrm>
          <a:off x="6766560" y="1178560"/>
          <a:ext cx="0" cy="381000"/>
          <a:chOff x="675" y="362"/>
          <a:chExt cx="278" cy="249"/>
        </a:xfrm>
      </xdr:grpSpPr>
      <xdr:sp macro="" textlink="">
        <xdr:nvSpPr>
          <xdr:cNvPr id="1212641" name="Rectangle 967">
            <a:extLst>
              <a:ext uri="{FF2B5EF4-FFF2-40B4-BE49-F238E27FC236}">
                <a16:creationId xmlns:a16="http://schemas.microsoft.com/office/drawing/2014/main" id="{00000000-0008-0000-0300-0000E180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42" name="Rectangle 968">
            <a:extLst>
              <a:ext uri="{FF2B5EF4-FFF2-40B4-BE49-F238E27FC236}">
                <a16:creationId xmlns:a16="http://schemas.microsoft.com/office/drawing/2014/main" id="{00000000-0008-0000-0300-0000E280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43" name="Rectangle 969">
            <a:extLst>
              <a:ext uri="{FF2B5EF4-FFF2-40B4-BE49-F238E27FC236}">
                <a16:creationId xmlns:a16="http://schemas.microsoft.com/office/drawing/2014/main" id="{00000000-0008-0000-0300-0000E3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44" name="Rectangle 970">
            <a:extLst>
              <a:ext uri="{FF2B5EF4-FFF2-40B4-BE49-F238E27FC236}">
                <a16:creationId xmlns:a16="http://schemas.microsoft.com/office/drawing/2014/main" id="{00000000-0008-0000-0300-0000E4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45" name="Rectangle 971">
            <a:extLst>
              <a:ext uri="{FF2B5EF4-FFF2-40B4-BE49-F238E27FC236}">
                <a16:creationId xmlns:a16="http://schemas.microsoft.com/office/drawing/2014/main" id="{00000000-0008-0000-0300-0000E5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46" name="Oval 972">
            <a:extLst>
              <a:ext uri="{FF2B5EF4-FFF2-40B4-BE49-F238E27FC236}">
                <a16:creationId xmlns:a16="http://schemas.microsoft.com/office/drawing/2014/main" id="{00000000-0008-0000-0300-0000E6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47" name="Oval 973">
            <a:extLst>
              <a:ext uri="{FF2B5EF4-FFF2-40B4-BE49-F238E27FC236}">
                <a16:creationId xmlns:a16="http://schemas.microsoft.com/office/drawing/2014/main" id="{00000000-0008-0000-0300-0000E780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48" name="AutoShape 974">
            <a:extLst>
              <a:ext uri="{FF2B5EF4-FFF2-40B4-BE49-F238E27FC236}">
                <a16:creationId xmlns:a16="http://schemas.microsoft.com/office/drawing/2014/main" id="{00000000-0008-0000-0300-0000E880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50800</xdr:rowOff>
    </xdr:from>
    <xdr:to>
      <xdr:col>8</xdr:col>
      <xdr:colOff>0</xdr:colOff>
      <xdr:row>2</xdr:row>
      <xdr:rowOff>431800</xdr:rowOff>
    </xdr:to>
    <xdr:grpSp>
      <xdr:nvGrpSpPr>
        <xdr:cNvPr id="1208301" name="Group 975">
          <a:extLst>
            <a:ext uri="{FF2B5EF4-FFF2-40B4-BE49-F238E27FC236}">
              <a16:creationId xmlns:a16="http://schemas.microsoft.com/office/drawing/2014/main" id="{00000000-0008-0000-0300-0000ED6F1200}"/>
            </a:ext>
          </a:extLst>
        </xdr:cNvPr>
        <xdr:cNvGrpSpPr>
          <a:grpSpLocks/>
        </xdr:cNvGrpSpPr>
      </xdr:nvGrpSpPr>
      <xdr:grpSpPr bwMode="auto">
        <a:xfrm>
          <a:off x="6766560" y="1178560"/>
          <a:ext cx="0" cy="381000"/>
          <a:chOff x="675" y="362"/>
          <a:chExt cx="278" cy="249"/>
        </a:xfrm>
      </xdr:grpSpPr>
      <xdr:sp macro="" textlink="">
        <xdr:nvSpPr>
          <xdr:cNvPr id="1212633" name="Rectangle 976">
            <a:extLst>
              <a:ext uri="{FF2B5EF4-FFF2-40B4-BE49-F238E27FC236}">
                <a16:creationId xmlns:a16="http://schemas.microsoft.com/office/drawing/2014/main" id="{00000000-0008-0000-0300-0000D980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34" name="Rectangle 977">
            <a:extLst>
              <a:ext uri="{FF2B5EF4-FFF2-40B4-BE49-F238E27FC236}">
                <a16:creationId xmlns:a16="http://schemas.microsoft.com/office/drawing/2014/main" id="{00000000-0008-0000-0300-0000DA80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35" name="Rectangle 978">
            <a:extLst>
              <a:ext uri="{FF2B5EF4-FFF2-40B4-BE49-F238E27FC236}">
                <a16:creationId xmlns:a16="http://schemas.microsoft.com/office/drawing/2014/main" id="{00000000-0008-0000-0300-0000DB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36" name="Rectangle 979">
            <a:extLst>
              <a:ext uri="{FF2B5EF4-FFF2-40B4-BE49-F238E27FC236}">
                <a16:creationId xmlns:a16="http://schemas.microsoft.com/office/drawing/2014/main" id="{00000000-0008-0000-0300-0000DC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37" name="Rectangle 980">
            <a:extLst>
              <a:ext uri="{FF2B5EF4-FFF2-40B4-BE49-F238E27FC236}">
                <a16:creationId xmlns:a16="http://schemas.microsoft.com/office/drawing/2014/main" id="{00000000-0008-0000-0300-0000DD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38" name="Oval 981">
            <a:extLst>
              <a:ext uri="{FF2B5EF4-FFF2-40B4-BE49-F238E27FC236}">
                <a16:creationId xmlns:a16="http://schemas.microsoft.com/office/drawing/2014/main" id="{00000000-0008-0000-0300-0000DE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39" name="Oval 982">
            <a:extLst>
              <a:ext uri="{FF2B5EF4-FFF2-40B4-BE49-F238E27FC236}">
                <a16:creationId xmlns:a16="http://schemas.microsoft.com/office/drawing/2014/main" id="{00000000-0008-0000-0300-0000DF80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40" name="AutoShape 983">
            <a:extLst>
              <a:ext uri="{FF2B5EF4-FFF2-40B4-BE49-F238E27FC236}">
                <a16:creationId xmlns:a16="http://schemas.microsoft.com/office/drawing/2014/main" id="{00000000-0008-0000-0300-0000E080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50800</xdr:rowOff>
    </xdr:from>
    <xdr:to>
      <xdr:col>8</xdr:col>
      <xdr:colOff>0</xdr:colOff>
      <xdr:row>2</xdr:row>
      <xdr:rowOff>431800</xdr:rowOff>
    </xdr:to>
    <xdr:grpSp>
      <xdr:nvGrpSpPr>
        <xdr:cNvPr id="1208302" name="Group 984">
          <a:extLst>
            <a:ext uri="{FF2B5EF4-FFF2-40B4-BE49-F238E27FC236}">
              <a16:creationId xmlns:a16="http://schemas.microsoft.com/office/drawing/2014/main" id="{00000000-0008-0000-0300-0000EE6F1200}"/>
            </a:ext>
          </a:extLst>
        </xdr:cNvPr>
        <xdr:cNvGrpSpPr>
          <a:grpSpLocks/>
        </xdr:cNvGrpSpPr>
      </xdr:nvGrpSpPr>
      <xdr:grpSpPr bwMode="auto">
        <a:xfrm>
          <a:off x="6766560" y="1178560"/>
          <a:ext cx="0" cy="381000"/>
          <a:chOff x="675" y="362"/>
          <a:chExt cx="278" cy="249"/>
        </a:xfrm>
      </xdr:grpSpPr>
      <xdr:sp macro="" textlink="">
        <xdr:nvSpPr>
          <xdr:cNvPr id="1212625" name="Rectangle 985">
            <a:extLst>
              <a:ext uri="{FF2B5EF4-FFF2-40B4-BE49-F238E27FC236}">
                <a16:creationId xmlns:a16="http://schemas.microsoft.com/office/drawing/2014/main" id="{00000000-0008-0000-0300-0000D180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26" name="Rectangle 986">
            <a:extLst>
              <a:ext uri="{FF2B5EF4-FFF2-40B4-BE49-F238E27FC236}">
                <a16:creationId xmlns:a16="http://schemas.microsoft.com/office/drawing/2014/main" id="{00000000-0008-0000-0300-0000D280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27" name="Rectangle 987">
            <a:extLst>
              <a:ext uri="{FF2B5EF4-FFF2-40B4-BE49-F238E27FC236}">
                <a16:creationId xmlns:a16="http://schemas.microsoft.com/office/drawing/2014/main" id="{00000000-0008-0000-0300-0000D3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28" name="Rectangle 988">
            <a:extLst>
              <a:ext uri="{FF2B5EF4-FFF2-40B4-BE49-F238E27FC236}">
                <a16:creationId xmlns:a16="http://schemas.microsoft.com/office/drawing/2014/main" id="{00000000-0008-0000-0300-0000D4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29" name="Rectangle 989">
            <a:extLst>
              <a:ext uri="{FF2B5EF4-FFF2-40B4-BE49-F238E27FC236}">
                <a16:creationId xmlns:a16="http://schemas.microsoft.com/office/drawing/2014/main" id="{00000000-0008-0000-0300-0000D5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30" name="Oval 990">
            <a:extLst>
              <a:ext uri="{FF2B5EF4-FFF2-40B4-BE49-F238E27FC236}">
                <a16:creationId xmlns:a16="http://schemas.microsoft.com/office/drawing/2014/main" id="{00000000-0008-0000-0300-0000D6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31" name="Oval 991">
            <a:extLst>
              <a:ext uri="{FF2B5EF4-FFF2-40B4-BE49-F238E27FC236}">
                <a16:creationId xmlns:a16="http://schemas.microsoft.com/office/drawing/2014/main" id="{00000000-0008-0000-0300-0000D780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32" name="AutoShape 992">
            <a:extLst>
              <a:ext uri="{FF2B5EF4-FFF2-40B4-BE49-F238E27FC236}">
                <a16:creationId xmlns:a16="http://schemas.microsoft.com/office/drawing/2014/main" id="{00000000-0008-0000-0300-0000D880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50800</xdr:rowOff>
    </xdr:from>
    <xdr:to>
      <xdr:col>8</xdr:col>
      <xdr:colOff>0</xdr:colOff>
      <xdr:row>2</xdr:row>
      <xdr:rowOff>431800</xdr:rowOff>
    </xdr:to>
    <xdr:grpSp>
      <xdr:nvGrpSpPr>
        <xdr:cNvPr id="1208303" name="Group 993">
          <a:extLst>
            <a:ext uri="{FF2B5EF4-FFF2-40B4-BE49-F238E27FC236}">
              <a16:creationId xmlns:a16="http://schemas.microsoft.com/office/drawing/2014/main" id="{00000000-0008-0000-0300-0000EF6F1200}"/>
            </a:ext>
          </a:extLst>
        </xdr:cNvPr>
        <xdr:cNvGrpSpPr>
          <a:grpSpLocks/>
        </xdr:cNvGrpSpPr>
      </xdr:nvGrpSpPr>
      <xdr:grpSpPr bwMode="auto">
        <a:xfrm>
          <a:off x="6766560" y="1178560"/>
          <a:ext cx="0" cy="381000"/>
          <a:chOff x="675" y="362"/>
          <a:chExt cx="278" cy="249"/>
        </a:xfrm>
      </xdr:grpSpPr>
      <xdr:sp macro="" textlink="">
        <xdr:nvSpPr>
          <xdr:cNvPr id="1212617" name="Rectangle 994">
            <a:extLst>
              <a:ext uri="{FF2B5EF4-FFF2-40B4-BE49-F238E27FC236}">
                <a16:creationId xmlns:a16="http://schemas.microsoft.com/office/drawing/2014/main" id="{00000000-0008-0000-0300-0000C980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18" name="Rectangle 995">
            <a:extLst>
              <a:ext uri="{FF2B5EF4-FFF2-40B4-BE49-F238E27FC236}">
                <a16:creationId xmlns:a16="http://schemas.microsoft.com/office/drawing/2014/main" id="{00000000-0008-0000-0300-0000CA80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19" name="Rectangle 996">
            <a:extLst>
              <a:ext uri="{FF2B5EF4-FFF2-40B4-BE49-F238E27FC236}">
                <a16:creationId xmlns:a16="http://schemas.microsoft.com/office/drawing/2014/main" id="{00000000-0008-0000-0300-0000CB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20" name="Rectangle 997">
            <a:extLst>
              <a:ext uri="{FF2B5EF4-FFF2-40B4-BE49-F238E27FC236}">
                <a16:creationId xmlns:a16="http://schemas.microsoft.com/office/drawing/2014/main" id="{00000000-0008-0000-0300-0000CC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21" name="Rectangle 998">
            <a:extLst>
              <a:ext uri="{FF2B5EF4-FFF2-40B4-BE49-F238E27FC236}">
                <a16:creationId xmlns:a16="http://schemas.microsoft.com/office/drawing/2014/main" id="{00000000-0008-0000-0300-0000CD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22" name="Oval 999">
            <a:extLst>
              <a:ext uri="{FF2B5EF4-FFF2-40B4-BE49-F238E27FC236}">
                <a16:creationId xmlns:a16="http://schemas.microsoft.com/office/drawing/2014/main" id="{00000000-0008-0000-0300-0000CE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23" name="Oval 1000">
            <a:extLst>
              <a:ext uri="{FF2B5EF4-FFF2-40B4-BE49-F238E27FC236}">
                <a16:creationId xmlns:a16="http://schemas.microsoft.com/office/drawing/2014/main" id="{00000000-0008-0000-0300-0000CF80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24" name="AutoShape 1001">
            <a:extLst>
              <a:ext uri="{FF2B5EF4-FFF2-40B4-BE49-F238E27FC236}">
                <a16:creationId xmlns:a16="http://schemas.microsoft.com/office/drawing/2014/main" id="{00000000-0008-0000-0300-0000D080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50800</xdr:rowOff>
    </xdr:from>
    <xdr:to>
      <xdr:col>8</xdr:col>
      <xdr:colOff>0</xdr:colOff>
      <xdr:row>2</xdr:row>
      <xdr:rowOff>431800</xdr:rowOff>
    </xdr:to>
    <xdr:grpSp>
      <xdr:nvGrpSpPr>
        <xdr:cNvPr id="1208304" name="Group 1002">
          <a:extLst>
            <a:ext uri="{FF2B5EF4-FFF2-40B4-BE49-F238E27FC236}">
              <a16:creationId xmlns:a16="http://schemas.microsoft.com/office/drawing/2014/main" id="{00000000-0008-0000-0300-0000F06F1200}"/>
            </a:ext>
          </a:extLst>
        </xdr:cNvPr>
        <xdr:cNvGrpSpPr>
          <a:grpSpLocks/>
        </xdr:cNvGrpSpPr>
      </xdr:nvGrpSpPr>
      <xdr:grpSpPr bwMode="auto">
        <a:xfrm>
          <a:off x="6766560" y="1178560"/>
          <a:ext cx="0" cy="381000"/>
          <a:chOff x="675" y="362"/>
          <a:chExt cx="278" cy="249"/>
        </a:xfrm>
      </xdr:grpSpPr>
      <xdr:sp macro="" textlink="">
        <xdr:nvSpPr>
          <xdr:cNvPr id="1212609" name="Rectangle 1003">
            <a:extLst>
              <a:ext uri="{FF2B5EF4-FFF2-40B4-BE49-F238E27FC236}">
                <a16:creationId xmlns:a16="http://schemas.microsoft.com/office/drawing/2014/main" id="{00000000-0008-0000-0300-0000C180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10" name="Rectangle 1004">
            <a:extLst>
              <a:ext uri="{FF2B5EF4-FFF2-40B4-BE49-F238E27FC236}">
                <a16:creationId xmlns:a16="http://schemas.microsoft.com/office/drawing/2014/main" id="{00000000-0008-0000-0300-0000C280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11" name="Rectangle 1005">
            <a:extLst>
              <a:ext uri="{FF2B5EF4-FFF2-40B4-BE49-F238E27FC236}">
                <a16:creationId xmlns:a16="http://schemas.microsoft.com/office/drawing/2014/main" id="{00000000-0008-0000-0300-0000C3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12" name="Rectangle 1006">
            <a:extLst>
              <a:ext uri="{FF2B5EF4-FFF2-40B4-BE49-F238E27FC236}">
                <a16:creationId xmlns:a16="http://schemas.microsoft.com/office/drawing/2014/main" id="{00000000-0008-0000-0300-0000C4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13" name="Rectangle 1007">
            <a:extLst>
              <a:ext uri="{FF2B5EF4-FFF2-40B4-BE49-F238E27FC236}">
                <a16:creationId xmlns:a16="http://schemas.microsoft.com/office/drawing/2014/main" id="{00000000-0008-0000-0300-0000C5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14" name="Oval 1008">
            <a:extLst>
              <a:ext uri="{FF2B5EF4-FFF2-40B4-BE49-F238E27FC236}">
                <a16:creationId xmlns:a16="http://schemas.microsoft.com/office/drawing/2014/main" id="{00000000-0008-0000-0300-0000C6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15" name="Oval 1009">
            <a:extLst>
              <a:ext uri="{FF2B5EF4-FFF2-40B4-BE49-F238E27FC236}">
                <a16:creationId xmlns:a16="http://schemas.microsoft.com/office/drawing/2014/main" id="{00000000-0008-0000-0300-0000C780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16" name="AutoShape 1010">
            <a:extLst>
              <a:ext uri="{FF2B5EF4-FFF2-40B4-BE49-F238E27FC236}">
                <a16:creationId xmlns:a16="http://schemas.microsoft.com/office/drawing/2014/main" id="{00000000-0008-0000-0300-0000C880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63500</xdr:rowOff>
    </xdr:from>
    <xdr:to>
      <xdr:col>8</xdr:col>
      <xdr:colOff>0</xdr:colOff>
      <xdr:row>2</xdr:row>
      <xdr:rowOff>431800</xdr:rowOff>
    </xdr:to>
    <xdr:grpSp>
      <xdr:nvGrpSpPr>
        <xdr:cNvPr id="1208305" name="Group 1011">
          <a:extLst>
            <a:ext uri="{FF2B5EF4-FFF2-40B4-BE49-F238E27FC236}">
              <a16:creationId xmlns:a16="http://schemas.microsoft.com/office/drawing/2014/main" id="{00000000-0008-0000-0300-0000F16F1200}"/>
            </a:ext>
          </a:extLst>
        </xdr:cNvPr>
        <xdr:cNvGrpSpPr>
          <a:grpSpLocks/>
        </xdr:cNvGrpSpPr>
      </xdr:nvGrpSpPr>
      <xdr:grpSpPr bwMode="auto">
        <a:xfrm>
          <a:off x="6766560" y="1191260"/>
          <a:ext cx="0" cy="368300"/>
          <a:chOff x="624" y="37"/>
          <a:chExt cx="552" cy="248"/>
        </a:xfrm>
      </xdr:grpSpPr>
      <xdr:sp macro="" textlink="">
        <xdr:nvSpPr>
          <xdr:cNvPr id="1212595" name="Rectangle 1012">
            <a:extLst>
              <a:ext uri="{FF2B5EF4-FFF2-40B4-BE49-F238E27FC236}">
                <a16:creationId xmlns:a16="http://schemas.microsoft.com/office/drawing/2014/main" id="{00000000-0008-0000-0300-0000B380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96" name="Rectangle 1013">
            <a:extLst>
              <a:ext uri="{FF2B5EF4-FFF2-40B4-BE49-F238E27FC236}">
                <a16:creationId xmlns:a16="http://schemas.microsoft.com/office/drawing/2014/main" id="{00000000-0008-0000-0300-0000B480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97" name="Rectangle 1014">
            <a:extLst>
              <a:ext uri="{FF2B5EF4-FFF2-40B4-BE49-F238E27FC236}">
                <a16:creationId xmlns:a16="http://schemas.microsoft.com/office/drawing/2014/main" id="{00000000-0008-0000-0300-0000B5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98" name="Rectangle 1015">
            <a:extLst>
              <a:ext uri="{FF2B5EF4-FFF2-40B4-BE49-F238E27FC236}">
                <a16:creationId xmlns:a16="http://schemas.microsoft.com/office/drawing/2014/main" id="{00000000-0008-0000-0300-0000B6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99" name="Rectangle 1016">
            <a:extLst>
              <a:ext uri="{FF2B5EF4-FFF2-40B4-BE49-F238E27FC236}">
                <a16:creationId xmlns:a16="http://schemas.microsoft.com/office/drawing/2014/main" id="{00000000-0008-0000-0300-0000B7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00" name="Rectangle 1017">
            <a:extLst>
              <a:ext uri="{FF2B5EF4-FFF2-40B4-BE49-F238E27FC236}">
                <a16:creationId xmlns:a16="http://schemas.microsoft.com/office/drawing/2014/main" id="{00000000-0008-0000-0300-0000B880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01" name="Rectangle 1018">
            <a:extLst>
              <a:ext uri="{FF2B5EF4-FFF2-40B4-BE49-F238E27FC236}">
                <a16:creationId xmlns:a16="http://schemas.microsoft.com/office/drawing/2014/main" id="{00000000-0008-0000-0300-0000B9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02" name="Rectangle 1019">
            <a:extLst>
              <a:ext uri="{FF2B5EF4-FFF2-40B4-BE49-F238E27FC236}">
                <a16:creationId xmlns:a16="http://schemas.microsoft.com/office/drawing/2014/main" id="{00000000-0008-0000-0300-0000BA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03" name="Oval 1020">
            <a:extLst>
              <a:ext uri="{FF2B5EF4-FFF2-40B4-BE49-F238E27FC236}">
                <a16:creationId xmlns:a16="http://schemas.microsoft.com/office/drawing/2014/main" id="{00000000-0008-0000-0300-0000BB80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04" name="Oval 1021">
            <a:extLst>
              <a:ext uri="{FF2B5EF4-FFF2-40B4-BE49-F238E27FC236}">
                <a16:creationId xmlns:a16="http://schemas.microsoft.com/office/drawing/2014/main" id="{00000000-0008-0000-0300-0000BC80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05" name="Oval 1022">
            <a:extLst>
              <a:ext uri="{FF2B5EF4-FFF2-40B4-BE49-F238E27FC236}">
                <a16:creationId xmlns:a16="http://schemas.microsoft.com/office/drawing/2014/main" id="{00000000-0008-0000-0300-0000BD80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06" name="Oval 1023">
            <a:extLst>
              <a:ext uri="{FF2B5EF4-FFF2-40B4-BE49-F238E27FC236}">
                <a16:creationId xmlns:a16="http://schemas.microsoft.com/office/drawing/2014/main" id="{00000000-0008-0000-0300-0000BE80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07" name="AutoShape 1024">
            <a:extLst>
              <a:ext uri="{FF2B5EF4-FFF2-40B4-BE49-F238E27FC236}">
                <a16:creationId xmlns:a16="http://schemas.microsoft.com/office/drawing/2014/main" id="{00000000-0008-0000-0300-0000BF80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08" name="AutoShape 1025">
            <a:extLst>
              <a:ext uri="{FF2B5EF4-FFF2-40B4-BE49-F238E27FC236}">
                <a16:creationId xmlns:a16="http://schemas.microsoft.com/office/drawing/2014/main" id="{00000000-0008-0000-0300-0000C0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63500</xdr:rowOff>
    </xdr:from>
    <xdr:to>
      <xdr:col>8</xdr:col>
      <xdr:colOff>0</xdr:colOff>
      <xdr:row>2</xdr:row>
      <xdr:rowOff>431800</xdr:rowOff>
    </xdr:to>
    <xdr:grpSp>
      <xdr:nvGrpSpPr>
        <xdr:cNvPr id="1208306" name="Group 1026">
          <a:extLst>
            <a:ext uri="{FF2B5EF4-FFF2-40B4-BE49-F238E27FC236}">
              <a16:creationId xmlns:a16="http://schemas.microsoft.com/office/drawing/2014/main" id="{00000000-0008-0000-0300-0000F26F1200}"/>
            </a:ext>
          </a:extLst>
        </xdr:cNvPr>
        <xdr:cNvGrpSpPr>
          <a:grpSpLocks/>
        </xdr:cNvGrpSpPr>
      </xdr:nvGrpSpPr>
      <xdr:grpSpPr bwMode="auto">
        <a:xfrm>
          <a:off x="6766560" y="1191260"/>
          <a:ext cx="0" cy="368300"/>
          <a:chOff x="624" y="37"/>
          <a:chExt cx="552" cy="248"/>
        </a:xfrm>
      </xdr:grpSpPr>
      <xdr:sp macro="" textlink="">
        <xdr:nvSpPr>
          <xdr:cNvPr id="1212581" name="Rectangle 1027">
            <a:extLst>
              <a:ext uri="{FF2B5EF4-FFF2-40B4-BE49-F238E27FC236}">
                <a16:creationId xmlns:a16="http://schemas.microsoft.com/office/drawing/2014/main" id="{00000000-0008-0000-0300-0000A580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82" name="Rectangle 1028">
            <a:extLst>
              <a:ext uri="{FF2B5EF4-FFF2-40B4-BE49-F238E27FC236}">
                <a16:creationId xmlns:a16="http://schemas.microsoft.com/office/drawing/2014/main" id="{00000000-0008-0000-0300-0000A680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83" name="Rectangle 1029">
            <a:extLst>
              <a:ext uri="{FF2B5EF4-FFF2-40B4-BE49-F238E27FC236}">
                <a16:creationId xmlns:a16="http://schemas.microsoft.com/office/drawing/2014/main" id="{00000000-0008-0000-0300-0000A7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84" name="Rectangle 1030">
            <a:extLst>
              <a:ext uri="{FF2B5EF4-FFF2-40B4-BE49-F238E27FC236}">
                <a16:creationId xmlns:a16="http://schemas.microsoft.com/office/drawing/2014/main" id="{00000000-0008-0000-0300-0000A8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85" name="Rectangle 1031">
            <a:extLst>
              <a:ext uri="{FF2B5EF4-FFF2-40B4-BE49-F238E27FC236}">
                <a16:creationId xmlns:a16="http://schemas.microsoft.com/office/drawing/2014/main" id="{00000000-0008-0000-0300-0000A9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86" name="Rectangle 1032">
            <a:extLst>
              <a:ext uri="{FF2B5EF4-FFF2-40B4-BE49-F238E27FC236}">
                <a16:creationId xmlns:a16="http://schemas.microsoft.com/office/drawing/2014/main" id="{00000000-0008-0000-0300-0000AA80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87" name="Rectangle 1033">
            <a:extLst>
              <a:ext uri="{FF2B5EF4-FFF2-40B4-BE49-F238E27FC236}">
                <a16:creationId xmlns:a16="http://schemas.microsoft.com/office/drawing/2014/main" id="{00000000-0008-0000-0300-0000AB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88" name="Rectangle 1034">
            <a:extLst>
              <a:ext uri="{FF2B5EF4-FFF2-40B4-BE49-F238E27FC236}">
                <a16:creationId xmlns:a16="http://schemas.microsoft.com/office/drawing/2014/main" id="{00000000-0008-0000-0300-0000AC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89" name="Oval 1035">
            <a:extLst>
              <a:ext uri="{FF2B5EF4-FFF2-40B4-BE49-F238E27FC236}">
                <a16:creationId xmlns:a16="http://schemas.microsoft.com/office/drawing/2014/main" id="{00000000-0008-0000-0300-0000AD80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90" name="Oval 1036">
            <a:extLst>
              <a:ext uri="{FF2B5EF4-FFF2-40B4-BE49-F238E27FC236}">
                <a16:creationId xmlns:a16="http://schemas.microsoft.com/office/drawing/2014/main" id="{00000000-0008-0000-0300-0000AE80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91" name="Oval 1037">
            <a:extLst>
              <a:ext uri="{FF2B5EF4-FFF2-40B4-BE49-F238E27FC236}">
                <a16:creationId xmlns:a16="http://schemas.microsoft.com/office/drawing/2014/main" id="{00000000-0008-0000-0300-0000AF80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92" name="Oval 1038">
            <a:extLst>
              <a:ext uri="{FF2B5EF4-FFF2-40B4-BE49-F238E27FC236}">
                <a16:creationId xmlns:a16="http://schemas.microsoft.com/office/drawing/2014/main" id="{00000000-0008-0000-0300-0000B080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93" name="AutoShape 1039">
            <a:extLst>
              <a:ext uri="{FF2B5EF4-FFF2-40B4-BE49-F238E27FC236}">
                <a16:creationId xmlns:a16="http://schemas.microsoft.com/office/drawing/2014/main" id="{00000000-0008-0000-0300-0000B180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94" name="AutoShape 1040">
            <a:extLst>
              <a:ext uri="{FF2B5EF4-FFF2-40B4-BE49-F238E27FC236}">
                <a16:creationId xmlns:a16="http://schemas.microsoft.com/office/drawing/2014/main" id="{00000000-0008-0000-0300-0000B2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63500</xdr:rowOff>
    </xdr:from>
    <xdr:to>
      <xdr:col>8</xdr:col>
      <xdr:colOff>0</xdr:colOff>
      <xdr:row>2</xdr:row>
      <xdr:rowOff>431800</xdr:rowOff>
    </xdr:to>
    <xdr:grpSp>
      <xdr:nvGrpSpPr>
        <xdr:cNvPr id="1208307" name="Group 1041">
          <a:extLst>
            <a:ext uri="{FF2B5EF4-FFF2-40B4-BE49-F238E27FC236}">
              <a16:creationId xmlns:a16="http://schemas.microsoft.com/office/drawing/2014/main" id="{00000000-0008-0000-0300-0000F36F1200}"/>
            </a:ext>
          </a:extLst>
        </xdr:cNvPr>
        <xdr:cNvGrpSpPr>
          <a:grpSpLocks/>
        </xdr:cNvGrpSpPr>
      </xdr:nvGrpSpPr>
      <xdr:grpSpPr bwMode="auto">
        <a:xfrm>
          <a:off x="6766560" y="1191260"/>
          <a:ext cx="0" cy="368300"/>
          <a:chOff x="624" y="37"/>
          <a:chExt cx="552" cy="248"/>
        </a:xfrm>
      </xdr:grpSpPr>
      <xdr:sp macro="" textlink="">
        <xdr:nvSpPr>
          <xdr:cNvPr id="1212567" name="Rectangle 1042">
            <a:extLst>
              <a:ext uri="{FF2B5EF4-FFF2-40B4-BE49-F238E27FC236}">
                <a16:creationId xmlns:a16="http://schemas.microsoft.com/office/drawing/2014/main" id="{00000000-0008-0000-0300-00009780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68" name="Rectangle 1043">
            <a:extLst>
              <a:ext uri="{FF2B5EF4-FFF2-40B4-BE49-F238E27FC236}">
                <a16:creationId xmlns:a16="http://schemas.microsoft.com/office/drawing/2014/main" id="{00000000-0008-0000-0300-00009880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69" name="Rectangle 1044">
            <a:extLst>
              <a:ext uri="{FF2B5EF4-FFF2-40B4-BE49-F238E27FC236}">
                <a16:creationId xmlns:a16="http://schemas.microsoft.com/office/drawing/2014/main" id="{00000000-0008-0000-0300-000099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70" name="Rectangle 1045">
            <a:extLst>
              <a:ext uri="{FF2B5EF4-FFF2-40B4-BE49-F238E27FC236}">
                <a16:creationId xmlns:a16="http://schemas.microsoft.com/office/drawing/2014/main" id="{00000000-0008-0000-0300-00009A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71" name="Rectangle 1046">
            <a:extLst>
              <a:ext uri="{FF2B5EF4-FFF2-40B4-BE49-F238E27FC236}">
                <a16:creationId xmlns:a16="http://schemas.microsoft.com/office/drawing/2014/main" id="{00000000-0008-0000-0300-00009B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72" name="Rectangle 1047">
            <a:extLst>
              <a:ext uri="{FF2B5EF4-FFF2-40B4-BE49-F238E27FC236}">
                <a16:creationId xmlns:a16="http://schemas.microsoft.com/office/drawing/2014/main" id="{00000000-0008-0000-0300-00009C80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73" name="Rectangle 1048">
            <a:extLst>
              <a:ext uri="{FF2B5EF4-FFF2-40B4-BE49-F238E27FC236}">
                <a16:creationId xmlns:a16="http://schemas.microsoft.com/office/drawing/2014/main" id="{00000000-0008-0000-0300-00009D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74" name="Rectangle 1049">
            <a:extLst>
              <a:ext uri="{FF2B5EF4-FFF2-40B4-BE49-F238E27FC236}">
                <a16:creationId xmlns:a16="http://schemas.microsoft.com/office/drawing/2014/main" id="{00000000-0008-0000-0300-00009E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75" name="Oval 1050">
            <a:extLst>
              <a:ext uri="{FF2B5EF4-FFF2-40B4-BE49-F238E27FC236}">
                <a16:creationId xmlns:a16="http://schemas.microsoft.com/office/drawing/2014/main" id="{00000000-0008-0000-0300-00009F80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76" name="Oval 1051">
            <a:extLst>
              <a:ext uri="{FF2B5EF4-FFF2-40B4-BE49-F238E27FC236}">
                <a16:creationId xmlns:a16="http://schemas.microsoft.com/office/drawing/2014/main" id="{00000000-0008-0000-0300-0000A080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77" name="Oval 1052">
            <a:extLst>
              <a:ext uri="{FF2B5EF4-FFF2-40B4-BE49-F238E27FC236}">
                <a16:creationId xmlns:a16="http://schemas.microsoft.com/office/drawing/2014/main" id="{00000000-0008-0000-0300-0000A180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78" name="Oval 1053">
            <a:extLst>
              <a:ext uri="{FF2B5EF4-FFF2-40B4-BE49-F238E27FC236}">
                <a16:creationId xmlns:a16="http://schemas.microsoft.com/office/drawing/2014/main" id="{00000000-0008-0000-0300-0000A280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79" name="AutoShape 1054">
            <a:extLst>
              <a:ext uri="{FF2B5EF4-FFF2-40B4-BE49-F238E27FC236}">
                <a16:creationId xmlns:a16="http://schemas.microsoft.com/office/drawing/2014/main" id="{00000000-0008-0000-0300-0000A380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80" name="AutoShape 1055">
            <a:extLst>
              <a:ext uri="{FF2B5EF4-FFF2-40B4-BE49-F238E27FC236}">
                <a16:creationId xmlns:a16="http://schemas.microsoft.com/office/drawing/2014/main" id="{00000000-0008-0000-0300-0000A4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63500</xdr:rowOff>
    </xdr:from>
    <xdr:to>
      <xdr:col>8</xdr:col>
      <xdr:colOff>0</xdr:colOff>
      <xdr:row>2</xdr:row>
      <xdr:rowOff>431800</xdr:rowOff>
    </xdr:to>
    <xdr:grpSp>
      <xdr:nvGrpSpPr>
        <xdr:cNvPr id="1208308" name="Group 1056">
          <a:extLst>
            <a:ext uri="{FF2B5EF4-FFF2-40B4-BE49-F238E27FC236}">
              <a16:creationId xmlns:a16="http://schemas.microsoft.com/office/drawing/2014/main" id="{00000000-0008-0000-0300-0000F46F1200}"/>
            </a:ext>
          </a:extLst>
        </xdr:cNvPr>
        <xdr:cNvGrpSpPr>
          <a:grpSpLocks/>
        </xdr:cNvGrpSpPr>
      </xdr:nvGrpSpPr>
      <xdr:grpSpPr bwMode="auto">
        <a:xfrm>
          <a:off x="6766560" y="1191260"/>
          <a:ext cx="0" cy="368300"/>
          <a:chOff x="624" y="37"/>
          <a:chExt cx="552" cy="248"/>
        </a:xfrm>
      </xdr:grpSpPr>
      <xdr:sp macro="" textlink="">
        <xdr:nvSpPr>
          <xdr:cNvPr id="1212553" name="Rectangle 1057">
            <a:extLst>
              <a:ext uri="{FF2B5EF4-FFF2-40B4-BE49-F238E27FC236}">
                <a16:creationId xmlns:a16="http://schemas.microsoft.com/office/drawing/2014/main" id="{00000000-0008-0000-0300-00008980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54" name="Rectangle 1058">
            <a:extLst>
              <a:ext uri="{FF2B5EF4-FFF2-40B4-BE49-F238E27FC236}">
                <a16:creationId xmlns:a16="http://schemas.microsoft.com/office/drawing/2014/main" id="{00000000-0008-0000-0300-00008A80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55" name="Rectangle 1059">
            <a:extLst>
              <a:ext uri="{FF2B5EF4-FFF2-40B4-BE49-F238E27FC236}">
                <a16:creationId xmlns:a16="http://schemas.microsoft.com/office/drawing/2014/main" id="{00000000-0008-0000-0300-00008B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56" name="Rectangle 1060">
            <a:extLst>
              <a:ext uri="{FF2B5EF4-FFF2-40B4-BE49-F238E27FC236}">
                <a16:creationId xmlns:a16="http://schemas.microsoft.com/office/drawing/2014/main" id="{00000000-0008-0000-0300-00008C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57" name="Rectangle 1061">
            <a:extLst>
              <a:ext uri="{FF2B5EF4-FFF2-40B4-BE49-F238E27FC236}">
                <a16:creationId xmlns:a16="http://schemas.microsoft.com/office/drawing/2014/main" id="{00000000-0008-0000-0300-00008D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58" name="Rectangle 1062">
            <a:extLst>
              <a:ext uri="{FF2B5EF4-FFF2-40B4-BE49-F238E27FC236}">
                <a16:creationId xmlns:a16="http://schemas.microsoft.com/office/drawing/2014/main" id="{00000000-0008-0000-0300-00008E80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59" name="Rectangle 1063">
            <a:extLst>
              <a:ext uri="{FF2B5EF4-FFF2-40B4-BE49-F238E27FC236}">
                <a16:creationId xmlns:a16="http://schemas.microsoft.com/office/drawing/2014/main" id="{00000000-0008-0000-0300-00008F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60" name="Rectangle 1064">
            <a:extLst>
              <a:ext uri="{FF2B5EF4-FFF2-40B4-BE49-F238E27FC236}">
                <a16:creationId xmlns:a16="http://schemas.microsoft.com/office/drawing/2014/main" id="{00000000-0008-0000-0300-000090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61" name="Oval 1065">
            <a:extLst>
              <a:ext uri="{FF2B5EF4-FFF2-40B4-BE49-F238E27FC236}">
                <a16:creationId xmlns:a16="http://schemas.microsoft.com/office/drawing/2014/main" id="{00000000-0008-0000-0300-00009180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62" name="Oval 1066">
            <a:extLst>
              <a:ext uri="{FF2B5EF4-FFF2-40B4-BE49-F238E27FC236}">
                <a16:creationId xmlns:a16="http://schemas.microsoft.com/office/drawing/2014/main" id="{00000000-0008-0000-0300-00009280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63" name="Oval 1067">
            <a:extLst>
              <a:ext uri="{FF2B5EF4-FFF2-40B4-BE49-F238E27FC236}">
                <a16:creationId xmlns:a16="http://schemas.microsoft.com/office/drawing/2014/main" id="{00000000-0008-0000-0300-00009380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64" name="Oval 1068">
            <a:extLst>
              <a:ext uri="{FF2B5EF4-FFF2-40B4-BE49-F238E27FC236}">
                <a16:creationId xmlns:a16="http://schemas.microsoft.com/office/drawing/2014/main" id="{00000000-0008-0000-0300-00009480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65" name="AutoShape 1069">
            <a:extLst>
              <a:ext uri="{FF2B5EF4-FFF2-40B4-BE49-F238E27FC236}">
                <a16:creationId xmlns:a16="http://schemas.microsoft.com/office/drawing/2014/main" id="{00000000-0008-0000-0300-00009580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66" name="AutoShape 1070">
            <a:extLst>
              <a:ext uri="{FF2B5EF4-FFF2-40B4-BE49-F238E27FC236}">
                <a16:creationId xmlns:a16="http://schemas.microsoft.com/office/drawing/2014/main" id="{00000000-0008-0000-0300-000096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63500</xdr:rowOff>
    </xdr:from>
    <xdr:to>
      <xdr:col>8</xdr:col>
      <xdr:colOff>0</xdr:colOff>
      <xdr:row>2</xdr:row>
      <xdr:rowOff>431800</xdr:rowOff>
    </xdr:to>
    <xdr:grpSp>
      <xdr:nvGrpSpPr>
        <xdr:cNvPr id="1208309" name="Group 1071">
          <a:extLst>
            <a:ext uri="{FF2B5EF4-FFF2-40B4-BE49-F238E27FC236}">
              <a16:creationId xmlns:a16="http://schemas.microsoft.com/office/drawing/2014/main" id="{00000000-0008-0000-0300-0000F56F1200}"/>
            </a:ext>
          </a:extLst>
        </xdr:cNvPr>
        <xdr:cNvGrpSpPr>
          <a:grpSpLocks/>
        </xdr:cNvGrpSpPr>
      </xdr:nvGrpSpPr>
      <xdr:grpSpPr bwMode="auto">
        <a:xfrm>
          <a:off x="6766560" y="1191260"/>
          <a:ext cx="0" cy="368300"/>
          <a:chOff x="624" y="37"/>
          <a:chExt cx="552" cy="248"/>
        </a:xfrm>
      </xdr:grpSpPr>
      <xdr:sp macro="" textlink="">
        <xdr:nvSpPr>
          <xdr:cNvPr id="1212539" name="Rectangle 1072">
            <a:extLst>
              <a:ext uri="{FF2B5EF4-FFF2-40B4-BE49-F238E27FC236}">
                <a16:creationId xmlns:a16="http://schemas.microsoft.com/office/drawing/2014/main" id="{00000000-0008-0000-0300-00007B80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40" name="Rectangle 1073">
            <a:extLst>
              <a:ext uri="{FF2B5EF4-FFF2-40B4-BE49-F238E27FC236}">
                <a16:creationId xmlns:a16="http://schemas.microsoft.com/office/drawing/2014/main" id="{00000000-0008-0000-0300-00007C80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41" name="Rectangle 1074">
            <a:extLst>
              <a:ext uri="{FF2B5EF4-FFF2-40B4-BE49-F238E27FC236}">
                <a16:creationId xmlns:a16="http://schemas.microsoft.com/office/drawing/2014/main" id="{00000000-0008-0000-0300-00007D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42" name="Rectangle 1075">
            <a:extLst>
              <a:ext uri="{FF2B5EF4-FFF2-40B4-BE49-F238E27FC236}">
                <a16:creationId xmlns:a16="http://schemas.microsoft.com/office/drawing/2014/main" id="{00000000-0008-0000-0300-00007E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43" name="Rectangle 1076">
            <a:extLst>
              <a:ext uri="{FF2B5EF4-FFF2-40B4-BE49-F238E27FC236}">
                <a16:creationId xmlns:a16="http://schemas.microsoft.com/office/drawing/2014/main" id="{00000000-0008-0000-0300-00007F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44" name="Rectangle 1077">
            <a:extLst>
              <a:ext uri="{FF2B5EF4-FFF2-40B4-BE49-F238E27FC236}">
                <a16:creationId xmlns:a16="http://schemas.microsoft.com/office/drawing/2014/main" id="{00000000-0008-0000-0300-00008080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45" name="Rectangle 1078">
            <a:extLst>
              <a:ext uri="{FF2B5EF4-FFF2-40B4-BE49-F238E27FC236}">
                <a16:creationId xmlns:a16="http://schemas.microsoft.com/office/drawing/2014/main" id="{00000000-0008-0000-0300-000081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46" name="Rectangle 1079">
            <a:extLst>
              <a:ext uri="{FF2B5EF4-FFF2-40B4-BE49-F238E27FC236}">
                <a16:creationId xmlns:a16="http://schemas.microsoft.com/office/drawing/2014/main" id="{00000000-0008-0000-0300-000082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47" name="Oval 1080">
            <a:extLst>
              <a:ext uri="{FF2B5EF4-FFF2-40B4-BE49-F238E27FC236}">
                <a16:creationId xmlns:a16="http://schemas.microsoft.com/office/drawing/2014/main" id="{00000000-0008-0000-0300-00008380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48" name="Oval 1081">
            <a:extLst>
              <a:ext uri="{FF2B5EF4-FFF2-40B4-BE49-F238E27FC236}">
                <a16:creationId xmlns:a16="http://schemas.microsoft.com/office/drawing/2014/main" id="{00000000-0008-0000-0300-00008480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49" name="Oval 1082">
            <a:extLst>
              <a:ext uri="{FF2B5EF4-FFF2-40B4-BE49-F238E27FC236}">
                <a16:creationId xmlns:a16="http://schemas.microsoft.com/office/drawing/2014/main" id="{00000000-0008-0000-0300-00008580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50" name="Oval 1083">
            <a:extLst>
              <a:ext uri="{FF2B5EF4-FFF2-40B4-BE49-F238E27FC236}">
                <a16:creationId xmlns:a16="http://schemas.microsoft.com/office/drawing/2014/main" id="{00000000-0008-0000-0300-00008680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51" name="AutoShape 1084">
            <a:extLst>
              <a:ext uri="{FF2B5EF4-FFF2-40B4-BE49-F238E27FC236}">
                <a16:creationId xmlns:a16="http://schemas.microsoft.com/office/drawing/2014/main" id="{00000000-0008-0000-0300-00008780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52" name="AutoShape 1085">
            <a:extLst>
              <a:ext uri="{FF2B5EF4-FFF2-40B4-BE49-F238E27FC236}">
                <a16:creationId xmlns:a16="http://schemas.microsoft.com/office/drawing/2014/main" id="{00000000-0008-0000-0300-000088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63500</xdr:rowOff>
    </xdr:from>
    <xdr:to>
      <xdr:col>8</xdr:col>
      <xdr:colOff>0</xdr:colOff>
      <xdr:row>2</xdr:row>
      <xdr:rowOff>431800</xdr:rowOff>
    </xdr:to>
    <xdr:grpSp>
      <xdr:nvGrpSpPr>
        <xdr:cNvPr id="1208310" name="Group 1086">
          <a:extLst>
            <a:ext uri="{FF2B5EF4-FFF2-40B4-BE49-F238E27FC236}">
              <a16:creationId xmlns:a16="http://schemas.microsoft.com/office/drawing/2014/main" id="{00000000-0008-0000-0300-0000F66F1200}"/>
            </a:ext>
          </a:extLst>
        </xdr:cNvPr>
        <xdr:cNvGrpSpPr>
          <a:grpSpLocks/>
        </xdr:cNvGrpSpPr>
      </xdr:nvGrpSpPr>
      <xdr:grpSpPr bwMode="auto">
        <a:xfrm>
          <a:off x="6766560" y="1191260"/>
          <a:ext cx="0" cy="368300"/>
          <a:chOff x="624" y="37"/>
          <a:chExt cx="552" cy="248"/>
        </a:xfrm>
      </xdr:grpSpPr>
      <xdr:sp macro="" textlink="">
        <xdr:nvSpPr>
          <xdr:cNvPr id="1212525" name="Rectangle 1087">
            <a:extLst>
              <a:ext uri="{FF2B5EF4-FFF2-40B4-BE49-F238E27FC236}">
                <a16:creationId xmlns:a16="http://schemas.microsoft.com/office/drawing/2014/main" id="{00000000-0008-0000-0300-00006D80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26" name="Rectangle 1088">
            <a:extLst>
              <a:ext uri="{FF2B5EF4-FFF2-40B4-BE49-F238E27FC236}">
                <a16:creationId xmlns:a16="http://schemas.microsoft.com/office/drawing/2014/main" id="{00000000-0008-0000-0300-00006E80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27" name="Rectangle 1089">
            <a:extLst>
              <a:ext uri="{FF2B5EF4-FFF2-40B4-BE49-F238E27FC236}">
                <a16:creationId xmlns:a16="http://schemas.microsoft.com/office/drawing/2014/main" id="{00000000-0008-0000-0300-00006F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28" name="Rectangle 1090">
            <a:extLst>
              <a:ext uri="{FF2B5EF4-FFF2-40B4-BE49-F238E27FC236}">
                <a16:creationId xmlns:a16="http://schemas.microsoft.com/office/drawing/2014/main" id="{00000000-0008-0000-0300-000070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29" name="Rectangle 1091">
            <a:extLst>
              <a:ext uri="{FF2B5EF4-FFF2-40B4-BE49-F238E27FC236}">
                <a16:creationId xmlns:a16="http://schemas.microsoft.com/office/drawing/2014/main" id="{00000000-0008-0000-0300-000071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30" name="Rectangle 1092">
            <a:extLst>
              <a:ext uri="{FF2B5EF4-FFF2-40B4-BE49-F238E27FC236}">
                <a16:creationId xmlns:a16="http://schemas.microsoft.com/office/drawing/2014/main" id="{00000000-0008-0000-0300-00007280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31" name="Rectangle 1093">
            <a:extLst>
              <a:ext uri="{FF2B5EF4-FFF2-40B4-BE49-F238E27FC236}">
                <a16:creationId xmlns:a16="http://schemas.microsoft.com/office/drawing/2014/main" id="{00000000-0008-0000-0300-000073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32" name="Rectangle 1094">
            <a:extLst>
              <a:ext uri="{FF2B5EF4-FFF2-40B4-BE49-F238E27FC236}">
                <a16:creationId xmlns:a16="http://schemas.microsoft.com/office/drawing/2014/main" id="{00000000-0008-0000-0300-000074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33" name="Oval 1095">
            <a:extLst>
              <a:ext uri="{FF2B5EF4-FFF2-40B4-BE49-F238E27FC236}">
                <a16:creationId xmlns:a16="http://schemas.microsoft.com/office/drawing/2014/main" id="{00000000-0008-0000-0300-00007580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34" name="Oval 1096">
            <a:extLst>
              <a:ext uri="{FF2B5EF4-FFF2-40B4-BE49-F238E27FC236}">
                <a16:creationId xmlns:a16="http://schemas.microsoft.com/office/drawing/2014/main" id="{00000000-0008-0000-0300-00007680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35" name="Oval 1097">
            <a:extLst>
              <a:ext uri="{FF2B5EF4-FFF2-40B4-BE49-F238E27FC236}">
                <a16:creationId xmlns:a16="http://schemas.microsoft.com/office/drawing/2014/main" id="{00000000-0008-0000-0300-00007780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36" name="Oval 1098">
            <a:extLst>
              <a:ext uri="{FF2B5EF4-FFF2-40B4-BE49-F238E27FC236}">
                <a16:creationId xmlns:a16="http://schemas.microsoft.com/office/drawing/2014/main" id="{00000000-0008-0000-0300-00007880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37" name="AutoShape 1099">
            <a:extLst>
              <a:ext uri="{FF2B5EF4-FFF2-40B4-BE49-F238E27FC236}">
                <a16:creationId xmlns:a16="http://schemas.microsoft.com/office/drawing/2014/main" id="{00000000-0008-0000-0300-00007980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38" name="AutoShape 1100">
            <a:extLst>
              <a:ext uri="{FF2B5EF4-FFF2-40B4-BE49-F238E27FC236}">
                <a16:creationId xmlns:a16="http://schemas.microsoft.com/office/drawing/2014/main" id="{00000000-0008-0000-0300-00007A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63500</xdr:rowOff>
    </xdr:from>
    <xdr:to>
      <xdr:col>8</xdr:col>
      <xdr:colOff>0</xdr:colOff>
      <xdr:row>2</xdr:row>
      <xdr:rowOff>431800</xdr:rowOff>
    </xdr:to>
    <xdr:grpSp>
      <xdr:nvGrpSpPr>
        <xdr:cNvPr id="1208311" name="Group 1101">
          <a:extLst>
            <a:ext uri="{FF2B5EF4-FFF2-40B4-BE49-F238E27FC236}">
              <a16:creationId xmlns:a16="http://schemas.microsoft.com/office/drawing/2014/main" id="{00000000-0008-0000-0300-0000F76F1200}"/>
            </a:ext>
          </a:extLst>
        </xdr:cNvPr>
        <xdr:cNvGrpSpPr>
          <a:grpSpLocks/>
        </xdr:cNvGrpSpPr>
      </xdr:nvGrpSpPr>
      <xdr:grpSpPr bwMode="auto">
        <a:xfrm>
          <a:off x="6766560" y="1191260"/>
          <a:ext cx="0" cy="368300"/>
          <a:chOff x="624" y="37"/>
          <a:chExt cx="552" cy="248"/>
        </a:xfrm>
      </xdr:grpSpPr>
      <xdr:sp macro="" textlink="">
        <xdr:nvSpPr>
          <xdr:cNvPr id="1212511" name="Rectangle 1102">
            <a:extLst>
              <a:ext uri="{FF2B5EF4-FFF2-40B4-BE49-F238E27FC236}">
                <a16:creationId xmlns:a16="http://schemas.microsoft.com/office/drawing/2014/main" id="{00000000-0008-0000-0300-00005F80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12" name="Rectangle 1103">
            <a:extLst>
              <a:ext uri="{FF2B5EF4-FFF2-40B4-BE49-F238E27FC236}">
                <a16:creationId xmlns:a16="http://schemas.microsoft.com/office/drawing/2014/main" id="{00000000-0008-0000-0300-00006080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13" name="Rectangle 1104">
            <a:extLst>
              <a:ext uri="{FF2B5EF4-FFF2-40B4-BE49-F238E27FC236}">
                <a16:creationId xmlns:a16="http://schemas.microsoft.com/office/drawing/2014/main" id="{00000000-0008-0000-0300-000061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14" name="Rectangle 1105">
            <a:extLst>
              <a:ext uri="{FF2B5EF4-FFF2-40B4-BE49-F238E27FC236}">
                <a16:creationId xmlns:a16="http://schemas.microsoft.com/office/drawing/2014/main" id="{00000000-0008-0000-0300-000062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15" name="Rectangle 1106">
            <a:extLst>
              <a:ext uri="{FF2B5EF4-FFF2-40B4-BE49-F238E27FC236}">
                <a16:creationId xmlns:a16="http://schemas.microsoft.com/office/drawing/2014/main" id="{00000000-0008-0000-0300-000063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16" name="Rectangle 1107">
            <a:extLst>
              <a:ext uri="{FF2B5EF4-FFF2-40B4-BE49-F238E27FC236}">
                <a16:creationId xmlns:a16="http://schemas.microsoft.com/office/drawing/2014/main" id="{00000000-0008-0000-0300-00006480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17" name="Rectangle 1108">
            <a:extLst>
              <a:ext uri="{FF2B5EF4-FFF2-40B4-BE49-F238E27FC236}">
                <a16:creationId xmlns:a16="http://schemas.microsoft.com/office/drawing/2014/main" id="{00000000-0008-0000-0300-000065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18" name="Rectangle 1109">
            <a:extLst>
              <a:ext uri="{FF2B5EF4-FFF2-40B4-BE49-F238E27FC236}">
                <a16:creationId xmlns:a16="http://schemas.microsoft.com/office/drawing/2014/main" id="{00000000-0008-0000-0300-000066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19" name="Oval 1110">
            <a:extLst>
              <a:ext uri="{FF2B5EF4-FFF2-40B4-BE49-F238E27FC236}">
                <a16:creationId xmlns:a16="http://schemas.microsoft.com/office/drawing/2014/main" id="{00000000-0008-0000-0300-00006780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20" name="Oval 1111">
            <a:extLst>
              <a:ext uri="{FF2B5EF4-FFF2-40B4-BE49-F238E27FC236}">
                <a16:creationId xmlns:a16="http://schemas.microsoft.com/office/drawing/2014/main" id="{00000000-0008-0000-0300-00006880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21" name="Oval 1112">
            <a:extLst>
              <a:ext uri="{FF2B5EF4-FFF2-40B4-BE49-F238E27FC236}">
                <a16:creationId xmlns:a16="http://schemas.microsoft.com/office/drawing/2014/main" id="{00000000-0008-0000-0300-00006980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22" name="Oval 1113">
            <a:extLst>
              <a:ext uri="{FF2B5EF4-FFF2-40B4-BE49-F238E27FC236}">
                <a16:creationId xmlns:a16="http://schemas.microsoft.com/office/drawing/2014/main" id="{00000000-0008-0000-0300-00006A80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23" name="AutoShape 1114">
            <a:extLst>
              <a:ext uri="{FF2B5EF4-FFF2-40B4-BE49-F238E27FC236}">
                <a16:creationId xmlns:a16="http://schemas.microsoft.com/office/drawing/2014/main" id="{00000000-0008-0000-0300-00006B80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24" name="AutoShape 1115">
            <a:extLst>
              <a:ext uri="{FF2B5EF4-FFF2-40B4-BE49-F238E27FC236}">
                <a16:creationId xmlns:a16="http://schemas.microsoft.com/office/drawing/2014/main" id="{00000000-0008-0000-0300-00006C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63500</xdr:rowOff>
    </xdr:from>
    <xdr:to>
      <xdr:col>8</xdr:col>
      <xdr:colOff>0</xdr:colOff>
      <xdr:row>2</xdr:row>
      <xdr:rowOff>431800</xdr:rowOff>
    </xdr:to>
    <xdr:grpSp>
      <xdr:nvGrpSpPr>
        <xdr:cNvPr id="1208312" name="Group 1116">
          <a:extLst>
            <a:ext uri="{FF2B5EF4-FFF2-40B4-BE49-F238E27FC236}">
              <a16:creationId xmlns:a16="http://schemas.microsoft.com/office/drawing/2014/main" id="{00000000-0008-0000-0300-0000F86F1200}"/>
            </a:ext>
          </a:extLst>
        </xdr:cNvPr>
        <xdr:cNvGrpSpPr>
          <a:grpSpLocks/>
        </xdr:cNvGrpSpPr>
      </xdr:nvGrpSpPr>
      <xdr:grpSpPr bwMode="auto">
        <a:xfrm>
          <a:off x="6766560" y="1191260"/>
          <a:ext cx="0" cy="368300"/>
          <a:chOff x="624" y="37"/>
          <a:chExt cx="552" cy="248"/>
        </a:xfrm>
      </xdr:grpSpPr>
      <xdr:sp macro="" textlink="">
        <xdr:nvSpPr>
          <xdr:cNvPr id="1212497" name="Rectangle 1117">
            <a:extLst>
              <a:ext uri="{FF2B5EF4-FFF2-40B4-BE49-F238E27FC236}">
                <a16:creationId xmlns:a16="http://schemas.microsoft.com/office/drawing/2014/main" id="{00000000-0008-0000-0300-00005180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98" name="Rectangle 1118">
            <a:extLst>
              <a:ext uri="{FF2B5EF4-FFF2-40B4-BE49-F238E27FC236}">
                <a16:creationId xmlns:a16="http://schemas.microsoft.com/office/drawing/2014/main" id="{00000000-0008-0000-0300-00005280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99" name="Rectangle 1119">
            <a:extLst>
              <a:ext uri="{FF2B5EF4-FFF2-40B4-BE49-F238E27FC236}">
                <a16:creationId xmlns:a16="http://schemas.microsoft.com/office/drawing/2014/main" id="{00000000-0008-0000-0300-000053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00" name="Rectangle 1120">
            <a:extLst>
              <a:ext uri="{FF2B5EF4-FFF2-40B4-BE49-F238E27FC236}">
                <a16:creationId xmlns:a16="http://schemas.microsoft.com/office/drawing/2014/main" id="{00000000-0008-0000-0300-000054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01" name="Rectangle 1121">
            <a:extLst>
              <a:ext uri="{FF2B5EF4-FFF2-40B4-BE49-F238E27FC236}">
                <a16:creationId xmlns:a16="http://schemas.microsoft.com/office/drawing/2014/main" id="{00000000-0008-0000-0300-000055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02" name="Rectangle 1122">
            <a:extLst>
              <a:ext uri="{FF2B5EF4-FFF2-40B4-BE49-F238E27FC236}">
                <a16:creationId xmlns:a16="http://schemas.microsoft.com/office/drawing/2014/main" id="{00000000-0008-0000-0300-00005680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03" name="Rectangle 1123">
            <a:extLst>
              <a:ext uri="{FF2B5EF4-FFF2-40B4-BE49-F238E27FC236}">
                <a16:creationId xmlns:a16="http://schemas.microsoft.com/office/drawing/2014/main" id="{00000000-0008-0000-0300-000057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04" name="Rectangle 1124">
            <a:extLst>
              <a:ext uri="{FF2B5EF4-FFF2-40B4-BE49-F238E27FC236}">
                <a16:creationId xmlns:a16="http://schemas.microsoft.com/office/drawing/2014/main" id="{00000000-0008-0000-0300-000058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05" name="Oval 1125">
            <a:extLst>
              <a:ext uri="{FF2B5EF4-FFF2-40B4-BE49-F238E27FC236}">
                <a16:creationId xmlns:a16="http://schemas.microsoft.com/office/drawing/2014/main" id="{00000000-0008-0000-0300-00005980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06" name="Oval 1126">
            <a:extLst>
              <a:ext uri="{FF2B5EF4-FFF2-40B4-BE49-F238E27FC236}">
                <a16:creationId xmlns:a16="http://schemas.microsoft.com/office/drawing/2014/main" id="{00000000-0008-0000-0300-00005A80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07" name="Oval 1127">
            <a:extLst>
              <a:ext uri="{FF2B5EF4-FFF2-40B4-BE49-F238E27FC236}">
                <a16:creationId xmlns:a16="http://schemas.microsoft.com/office/drawing/2014/main" id="{00000000-0008-0000-0300-00005B80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08" name="Oval 1128">
            <a:extLst>
              <a:ext uri="{FF2B5EF4-FFF2-40B4-BE49-F238E27FC236}">
                <a16:creationId xmlns:a16="http://schemas.microsoft.com/office/drawing/2014/main" id="{00000000-0008-0000-0300-00005C80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09" name="AutoShape 1129">
            <a:extLst>
              <a:ext uri="{FF2B5EF4-FFF2-40B4-BE49-F238E27FC236}">
                <a16:creationId xmlns:a16="http://schemas.microsoft.com/office/drawing/2014/main" id="{00000000-0008-0000-0300-00005D80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10" name="AutoShape 1130">
            <a:extLst>
              <a:ext uri="{FF2B5EF4-FFF2-40B4-BE49-F238E27FC236}">
                <a16:creationId xmlns:a16="http://schemas.microsoft.com/office/drawing/2014/main" id="{00000000-0008-0000-0300-00005E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63500</xdr:rowOff>
    </xdr:from>
    <xdr:to>
      <xdr:col>8</xdr:col>
      <xdr:colOff>0</xdr:colOff>
      <xdr:row>2</xdr:row>
      <xdr:rowOff>431800</xdr:rowOff>
    </xdr:to>
    <xdr:grpSp>
      <xdr:nvGrpSpPr>
        <xdr:cNvPr id="1208313" name="Group 1131">
          <a:extLst>
            <a:ext uri="{FF2B5EF4-FFF2-40B4-BE49-F238E27FC236}">
              <a16:creationId xmlns:a16="http://schemas.microsoft.com/office/drawing/2014/main" id="{00000000-0008-0000-0300-0000F96F1200}"/>
            </a:ext>
          </a:extLst>
        </xdr:cNvPr>
        <xdr:cNvGrpSpPr>
          <a:grpSpLocks/>
        </xdr:cNvGrpSpPr>
      </xdr:nvGrpSpPr>
      <xdr:grpSpPr bwMode="auto">
        <a:xfrm>
          <a:off x="6766560" y="1191260"/>
          <a:ext cx="0" cy="368300"/>
          <a:chOff x="624" y="37"/>
          <a:chExt cx="552" cy="248"/>
        </a:xfrm>
      </xdr:grpSpPr>
      <xdr:sp macro="" textlink="">
        <xdr:nvSpPr>
          <xdr:cNvPr id="1212483" name="Rectangle 1132">
            <a:extLst>
              <a:ext uri="{FF2B5EF4-FFF2-40B4-BE49-F238E27FC236}">
                <a16:creationId xmlns:a16="http://schemas.microsoft.com/office/drawing/2014/main" id="{00000000-0008-0000-0300-00004380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84" name="Rectangle 1133">
            <a:extLst>
              <a:ext uri="{FF2B5EF4-FFF2-40B4-BE49-F238E27FC236}">
                <a16:creationId xmlns:a16="http://schemas.microsoft.com/office/drawing/2014/main" id="{00000000-0008-0000-0300-00004480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85" name="Rectangle 1134">
            <a:extLst>
              <a:ext uri="{FF2B5EF4-FFF2-40B4-BE49-F238E27FC236}">
                <a16:creationId xmlns:a16="http://schemas.microsoft.com/office/drawing/2014/main" id="{00000000-0008-0000-0300-000045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86" name="Rectangle 1135">
            <a:extLst>
              <a:ext uri="{FF2B5EF4-FFF2-40B4-BE49-F238E27FC236}">
                <a16:creationId xmlns:a16="http://schemas.microsoft.com/office/drawing/2014/main" id="{00000000-0008-0000-0300-000046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87" name="Rectangle 1136">
            <a:extLst>
              <a:ext uri="{FF2B5EF4-FFF2-40B4-BE49-F238E27FC236}">
                <a16:creationId xmlns:a16="http://schemas.microsoft.com/office/drawing/2014/main" id="{00000000-0008-0000-0300-000047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88" name="Rectangle 1137">
            <a:extLst>
              <a:ext uri="{FF2B5EF4-FFF2-40B4-BE49-F238E27FC236}">
                <a16:creationId xmlns:a16="http://schemas.microsoft.com/office/drawing/2014/main" id="{00000000-0008-0000-0300-00004880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89" name="Rectangle 1138">
            <a:extLst>
              <a:ext uri="{FF2B5EF4-FFF2-40B4-BE49-F238E27FC236}">
                <a16:creationId xmlns:a16="http://schemas.microsoft.com/office/drawing/2014/main" id="{00000000-0008-0000-0300-000049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90" name="Rectangle 1139">
            <a:extLst>
              <a:ext uri="{FF2B5EF4-FFF2-40B4-BE49-F238E27FC236}">
                <a16:creationId xmlns:a16="http://schemas.microsoft.com/office/drawing/2014/main" id="{00000000-0008-0000-0300-00004A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91" name="Oval 1140">
            <a:extLst>
              <a:ext uri="{FF2B5EF4-FFF2-40B4-BE49-F238E27FC236}">
                <a16:creationId xmlns:a16="http://schemas.microsoft.com/office/drawing/2014/main" id="{00000000-0008-0000-0300-00004B80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92" name="Oval 1141">
            <a:extLst>
              <a:ext uri="{FF2B5EF4-FFF2-40B4-BE49-F238E27FC236}">
                <a16:creationId xmlns:a16="http://schemas.microsoft.com/office/drawing/2014/main" id="{00000000-0008-0000-0300-00004C80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93" name="Oval 1142">
            <a:extLst>
              <a:ext uri="{FF2B5EF4-FFF2-40B4-BE49-F238E27FC236}">
                <a16:creationId xmlns:a16="http://schemas.microsoft.com/office/drawing/2014/main" id="{00000000-0008-0000-0300-00004D80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94" name="Oval 1143">
            <a:extLst>
              <a:ext uri="{FF2B5EF4-FFF2-40B4-BE49-F238E27FC236}">
                <a16:creationId xmlns:a16="http://schemas.microsoft.com/office/drawing/2014/main" id="{00000000-0008-0000-0300-00004E80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95" name="AutoShape 1144">
            <a:extLst>
              <a:ext uri="{FF2B5EF4-FFF2-40B4-BE49-F238E27FC236}">
                <a16:creationId xmlns:a16="http://schemas.microsoft.com/office/drawing/2014/main" id="{00000000-0008-0000-0300-00004F80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96" name="AutoShape 1145">
            <a:extLst>
              <a:ext uri="{FF2B5EF4-FFF2-40B4-BE49-F238E27FC236}">
                <a16:creationId xmlns:a16="http://schemas.microsoft.com/office/drawing/2014/main" id="{00000000-0008-0000-0300-000050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63500</xdr:rowOff>
    </xdr:from>
    <xdr:to>
      <xdr:col>8</xdr:col>
      <xdr:colOff>0</xdr:colOff>
      <xdr:row>2</xdr:row>
      <xdr:rowOff>431800</xdr:rowOff>
    </xdr:to>
    <xdr:grpSp>
      <xdr:nvGrpSpPr>
        <xdr:cNvPr id="1208314" name="Group 1146">
          <a:extLst>
            <a:ext uri="{FF2B5EF4-FFF2-40B4-BE49-F238E27FC236}">
              <a16:creationId xmlns:a16="http://schemas.microsoft.com/office/drawing/2014/main" id="{00000000-0008-0000-0300-0000FA6F1200}"/>
            </a:ext>
          </a:extLst>
        </xdr:cNvPr>
        <xdr:cNvGrpSpPr>
          <a:grpSpLocks/>
        </xdr:cNvGrpSpPr>
      </xdr:nvGrpSpPr>
      <xdr:grpSpPr bwMode="auto">
        <a:xfrm>
          <a:off x="6766560" y="1191260"/>
          <a:ext cx="0" cy="368300"/>
          <a:chOff x="624" y="37"/>
          <a:chExt cx="552" cy="248"/>
        </a:xfrm>
      </xdr:grpSpPr>
      <xdr:sp macro="" textlink="">
        <xdr:nvSpPr>
          <xdr:cNvPr id="1212469" name="Rectangle 1147">
            <a:extLst>
              <a:ext uri="{FF2B5EF4-FFF2-40B4-BE49-F238E27FC236}">
                <a16:creationId xmlns:a16="http://schemas.microsoft.com/office/drawing/2014/main" id="{00000000-0008-0000-0300-00003580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70" name="Rectangle 1148">
            <a:extLst>
              <a:ext uri="{FF2B5EF4-FFF2-40B4-BE49-F238E27FC236}">
                <a16:creationId xmlns:a16="http://schemas.microsoft.com/office/drawing/2014/main" id="{00000000-0008-0000-0300-00003680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71" name="Rectangle 1149">
            <a:extLst>
              <a:ext uri="{FF2B5EF4-FFF2-40B4-BE49-F238E27FC236}">
                <a16:creationId xmlns:a16="http://schemas.microsoft.com/office/drawing/2014/main" id="{00000000-0008-0000-0300-000037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72" name="Rectangle 1150">
            <a:extLst>
              <a:ext uri="{FF2B5EF4-FFF2-40B4-BE49-F238E27FC236}">
                <a16:creationId xmlns:a16="http://schemas.microsoft.com/office/drawing/2014/main" id="{00000000-0008-0000-0300-000038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73" name="Rectangle 1151">
            <a:extLst>
              <a:ext uri="{FF2B5EF4-FFF2-40B4-BE49-F238E27FC236}">
                <a16:creationId xmlns:a16="http://schemas.microsoft.com/office/drawing/2014/main" id="{00000000-0008-0000-0300-000039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74" name="Rectangle 1152">
            <a:extLst>
              <a:ext uri="{FF2B5EF4-FFF2-40B4-BE49-F238E27FC236}">
                <a16:creationId xmlns:a16="http://schemas.microsoft.com/office/drawing/2014/main" id="{00000000-0008-0000-0300-00003A80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75" name="Rectangle 1153">
            <a:extLst>
              <a:ext uri="{FF2B5EF4-FFF2-40B4-BE49-F238E27FC236}">
                <a16:creationId xmlns:a16="http://schemas.microsoft.com/office/drawing/2014/main" id="{00000000-0008-0000-0300-00003B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76" name="Rectangle 1154">
            <a:extLst>
              <a:ext uri="{FF2B5EF4-FFF2-40B4-BE49-F238E27FC236}">
                <a16:creationId xmlns:a16="http://schemas.microsoft.com/office/drawing/2014/main" id="{00000000-0008-0000-0300-00003C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77" name="Oval 1155">
            <a:extLst>
              <a:ext uri="{FF2B5EF4-FFF2-40B4-BE49-F238E27FC236}">
                <a16:creationId xmlns:a16="http://schemas.microsoft.com/office/drawing/2014/main" id="{00000000-0008-0000-0300-00003D80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78" name="Oval 1156">
            <a:extLst>
              <a:ext uri="{FF2B5EF4-FFF2-40B4-BE49-F238E27FC236}">
                <a16:creationId xmlns:a16="http://schemas.microsoft.com/office/drawing/2014/main" id="{00000000-0008-0000-0300-00003E80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79" name="Oval 1157">
            <a:extLst>
              <a:ext uri="{FF2B5EF4-FFF2-40B4-BE49-F238E27FC236}">
                <a16:creationId xmlns:a16="http://schemas.microsoft.com/office/drawing/2014/main" id="{00000000-0008-0000-0300-00003F80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80" name="Oval 1158">
            <a:extLst>
              <a:ext uri="{FF2B5EF4-FFF2-40B4-BE49-F238E27FC236}">
                <a16:creationId xmlns:a16="http://schemas.microsoft.com/office/drawing/2014/main" id="{00000000-0008-0000-0300-00004080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81" name="AutoShape 1159">
            <a:extLst>
              <a:ext uri="{FF2B5EF4-FFF2-40B4-BE49-F238E27FC236}">
                <a16:creationId xmlns:a16="http://schemas.microsoft.com/office/drawing/2014/main" id="{00000000-0008-0000-0300-00004180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82" name="AutoShape 1160">
            <a:extLst>
              <a:ext uri="{FF2B5EF4-FFF2-40B4-BE49-F238E27FC236}">
                <a16:creationId xmlns:a16="http://schemas.microsoft.com/office/drawing/2014/main" id="{00000000-0008-0000-0300-000042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50800</xdr:rowOff>
    </xdr:from>
    <xdr:to>
      <xdr:col>8</xdr:col>
      <xdr:colOff>0</xdr:colOff>
      <xdr:row>2</xdr:row>
      <xdr:rowOff>431800</xdr:rowOff>
    </xdr:to>
    <xdr:grpSp>
      <xdr:nvGrpSpPr>
        <xdr:cNvPr id="1208315" name="Group 1161">
          <a:extLst>
            <a:ext uri="{FF2B5EF4-FFF2-40B4-BE49-F238E27FC236}">
              <a16:creationId xmlns:a16="http://schemas.microsoft.com/office/drawing/2014/main" id="{00000000-0008-0000-0300-0000FB6F1200}"/>
            </a:ext>
          </a:extLst>
        </xdr:cNvPr>
        <xdr:cNvGrpSpPr>
          <a:grpSpLocks/>
        </xdr:cNvGrpSpPr>
      </xdr:nvGrpSpPr>
      <xdr:grpSpPr bwMode="auto">
        <a:xfrm>
          <a:off x="6766560" y="1178560"/>
          <a:ext cx="0" cy="381000"/>
          <a:chOff x="675" y="362"/>
          <a:chExt cx="278" cy="249"/>
        </a:xfrm>
      </xdr:grpSpPr>
      <xdr:sp macro="" textlink="">
        <xdr:nvSpPr>
          <xdr:cNvPr id="1212461" name="Rectangle 1162">
            <a:extLst>
              <a:ext uri="{FF2B5EF4-FFF2-40B4-BE49-F238E27FC236}">
                <a16:creationId xmlns:a16="http://schemas.microsoft.com/office/drawing/2014/main" id="{00000000-0008-0000-0300-00002D80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62" name="Rectangle 1163">
            <a:extLst>
              <a:ext uri="{FF2B5EF4-FFF2-40B4-BE49-F238E27FC236}">
                <a16:creationId xmlns:a16="http://schemas.microsoft.com/office/drawing/2014/main" id="{00000000-0008-0000-0300-00002E80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63" name="Rectangle 1164">
            <a:extLst>
              <a:ext uri="{FF2B5EF4-FFF2-40B4-BE49-F238E27FC236}">
                <a16:creationId xmlns:a16="http://schemas.microsoft.com/office/drawing/2014/main" id="{00000000-0008-0000-0300-00002F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64" name="Rectangle 1165">
            <a:extLst>
              <a:ext uri="{FF2B5EF4-FFF2-40B4-BE49-F238E27FC236}">
                <a16:creationId xmlns:a16="http://schemas.microsoft.com/office/drawing/2014/main" id="{00000000-0008-0000-0300-000030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65" name="Rectangle 1166">
            <a:extLst>
              <a:ext uri="{FF2B5EF4-FFF2-40B4-BE49-F238E27FC236}">
                <a16:creationId xmlns:a16="http://schemas.microsoft.com/office/drawing/2014/main" id="{00000000-0008-0000-0300-000031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66" name="Oval 1167">
            <a:extLst>
              <a:ext uri="{FF2B5EF4-FFF2-40B4-BE49-F238E27FC236}">
                <a16:creationId xmlns:a16="http://schemas.microsoft.com/office/drawing/2014/main" id="{00000000-0008-0000-0300-000032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67" name="Oval 1168">
            <a:extLst>
              <a:ext uri="{FF2B5EF4-FFF2-40B4-BE49-F238E27FC236}">
                <a16:creationId xmlns:a16="http://schemas.microsoft.com/office/drawing/2014/main" id="{00000000-0008-0000-0300-00003380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68" name="AutoShape 1169">
            <a:extLst>
              <a:ext uri="{FF2B5EF4-FFF2-40B4-BE49-F238E27FC236}">
                <a16:creationId xmlns:a16="http://schemas.microsoft.com/office/drawing/2014/main" id="{00000000-0008-0000-0300-00003480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50800</xdr:rowOff>
    </xdr:from>
    <xdr:to>
      <xdr:col>8</xdr:col>
      <xdr:colOff>0</xdr:colOff>
      <xdr:row>2</xdr:row>
      <xdr:rowOff>431800</xdr:rowOff>
    </xdr:to>
    <xdr:grpSp>
      <xdr:nvGrpSpPr>
        <xdr:cNvPr id="1208316" name="Group 1170">
          <a:extLst>
            <a:ext uri="{FF2B5EF4-FFF2-40B4-BE49-F238E27FC236}">
              <a16:creationId xmlns:a16="http://schemas.microsoft.com/office/drawing/2014/main" id="{00000000-0008-0000-0300-0000FC6F1200}"/>
            </a:ext>
          </a:extLst>
        </xdr:cNvPr>
        <xdr:cNvGrpSpPr>
          <a:grpSpLocks/>
        </xdr:cNvGrpSpPr>
      </xdr:nvGrpSpPr>
      <xdr:grpSpPr bwMode="auto">
        <a:xfrm>
          <a:off x="6766560" y="1178560"/>
          <a:ext cx="0" cy="381000"/>
          <a:chOff x="675" y="362"/>
          <a:chExt cx="278" cy="249"/>
        </a:xfrm>
      </xdr:grpSpPr>
      <xdr:sp macro="" textlink="">
        <xdr:nvSpPr>
          <xdr:cNvPr id="1212453" name="Rectangle 1171">
            <a:extLst>
              <a:ext uri="{FF2B5EF4-FFF2-40B4-BE49-F238E27FC236}">
                <a16:creationId xmlns:a16="http://schemas.microsoft.com/office/drawing/2014/main" id="{00000000-0008-0000-0300-00002580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54" name="Rectangle 1172">
            <a:extLst>
              <a:ext uri="{FF2B5EF4-FFF2-40B4-BE49-F238E27FC236}">
                <a16:creationId xmlns:a16="http://schemas.microsoft.com/office/drawing/2014/main" id="{00000000-0008-0000-0300-00002680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55" name="Rectangle 1173">
            <a:extLst>
              <a:ext uri="{FF2B5EF4-FFF2-40B4-BE49-F238E27FC236}">
                <a16:creationId xmlns:a16="http://schemas.microsoft.com/office/drawing/2014/main" id="{00000000-0008-0000-0300-000027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56" name="Rectangle 1174">
            <a:extLst>
              <a:ext uri="{FF2B5EF4-FFF2-40B4-BE49-F238E27FC236}">
                <a16:creationId xmlns:a16="http://schemas.microsoft.com/office/drawing/2014/main" id="{00000000-0008-0000-0300-000028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57" name="Rectangle 1175">
            <a:extLst>
              <a:ext uri="{FF2B5EF4-FFF2-40B4-BE49-F238E27FC236}">
                <a16:creationId xmlns:a16="http://schemas.microsoft.com/office/drawing/2014/main" id="{00000000-0008-0000-0300-000029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58" name="Oval 1176">
            <a:extLst>
              <a:ext uri="{FF2B5EF4-FFF2-40B4-BE49-F238E27FC236}">
                <a16:creationId xmlns:a16="http://schemas.microsoft.com/office/drawing/2014/main" id="{00000000-0008-0000-0300-00002A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59" name="Oval 1177">
            <a:extLst>
              <a:ext uri="{FF2B5EF4-FFF2-40B4-BE49-F238E27FC236}">
                <a16:creationId xmlns:a16="http://schemas.microsoft.com/office/drawing/2014/main" id="{00000000-0008-0000-0300-00002B80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60" name="AutoShape 1178">
            <a:extLst>
              <a:ext uri="{FF2B5EF4-FFF2-40B4-BE49-F238E27FC236}">
                <a16:creationId xmlns:a16="http://schemas.microsoft.com/office/drawing/2014/main" id="{00000000-0008-0000-0300-00002C80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50800</xdr:rowOff>
    </xdr:from>
    <xdr:to>
      <xdr:col>8</xdr:col>
      <xdr:colOff>0</xdr:colOff>
      <xdr:row>2</xdr:row>
      <xdr:rowOff>431800</xdr:rowOff>
    </xdr:to>
    <xdr:grpSp>
      <xdr:nvGrpSpPr>
        <xdr:cNvPr id="1208317" name="Group 1179">
          <a:extLst>
            <a:ext uri="{FF2B5EF4-FFF2-40B4-BE49-F238E27FC236}">
              <a16:creationId xmlns:a16="http://schemas.microsoft.com/office/drawing/2014/main" id="{00000000-0008-0000-0300-0000FD6F1200}"/>
            </a:ext>
          </a:extLst>
        </xdr:cNvPr>
        <xdr:cNvGrpSpPr>
          <a:grpSpLocks/>
        </xdr:cNvGrpSpPr>
      </xdr:nvGrpSpPr>
      <xdr:grpSpPr bwMode="auto">
        <a:xfrm>
          <a:off x="6766560" y="1178560"/>
          <a:ext cx="0" cy="381000"/>
          <a:chOff x="675" y="362"/>
          <a:chExt cx="278" cy="249"/>
        </a:xfrm>
      </xdr:grpSpPr>
      <xdr:sp macro="" textlink="">
        <xdr:nvSpPr>
          <xdr:cNvPr id="1212445" name="Rectangle 1180">
            <a:extLst>
              <a:ext uri="{FF2B5EF4-FFF2-40B4-BE49-F238E27FC236}">
                <a16:creationId xmlns:a16="http://schemas.microsoft.com/office/drawing/2014/main" id="{00000000-0008-0000-0300-00001D80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46" name="Rectangle 1181">
            <a:extLst>
              <a:ext uri="{FF2B5EF4-FFF2-40B4-BE49-F238E27FC236}">
                <a16:creationId xmlns:a16="http://schemas.microsoft.com/office/drawing/2014/main" id="{00000000-0008-0000-0300-00001E80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47" name="Rectangle 1182">
            <a:extLst>
              <a:ext uri="{FF2B5EF4-FFF2-40B4-BE49-F238E27FC236}">
                <a16:creationId xmlns:a16="http://schemas.microsoft.com/office/drawing/2014/main" id="{00000000-0008-0000-0300-00001F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48" name="Rectangle 1183">
            <a:extLst>
              <a:ext uri="{FF2B5EF4-FFF2-40B4-BE49-F238E27FC236}">
                <a16:creationId xmlns:a16="http://schemas.microsoft.com/office/drawing/2014/main" id="{00000000-0008-0000-0300-000020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49" name="Rectangle 1184">
            <a:extLst>
              <a:ext uri="{FF2B5EF4-FFF2-40B4-BE49-F238E27FC236}">
                <a16:creationId xmlns:a16="http://schemas.microsoft.com/office/drawing/2014/main" id="{00000000-0008-0000-0300-000021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50" name="Oval 1185">
            <a:extLst>
              <a:ext uri="{FF2B5EF4-FFF2-40B4-BE49-F238E27FC236}">
                <a16:creationId xmlns:a16="http://schemas.microsoft.com/office/drawing/2014/main" id="{00000000-0008-0000-0300-000022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51" name="Oval 1186">
            <a:extLst>
              <a:ext uri="{FF2B5EF4-FFF2-40B4-BE49-F238E27FC236}">
                <a16:creationId xmlns:a16="http://schemas.microsoft.com/office/drawing/2014/main" id="{00000000-0008-0000-0300-00002380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52" name="AutoShape 1187">
            <a:extLst>
              <a:ext uri="{FF2B5EF4-FFF2-40B4-BE49-F238E27FC236}">
                <a16:creationId xmlns:a16="http://schemas.microsoft.com/office/drawing/2014/main" id="{00000000-0008-0000-0300-00002480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558800</xdr:colOff>
      <xdr:row>0</xdr:row>
      <xdr:rowOff>774700</xdr:rowOff>
    </xdr:to>
    <xdr:pic>
      <xdr:nvPicPr>
        <xdr:cNvPr id="1208318" name="1034 Imagen" descr="logo masercon ultimo.jpg">
          <a:extLst>
            <a:ext uri="{FF2B5EF4-FFF2-40B4-BE49-F238E27FC236}">
              <a16:creationId xmlns:a16="http://schemas.microsoft.com/office/drawing/2014/main" id="{00000000-0008-0000-0300-0000FE6F1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50520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101600</xdr:colOff>
      <xdr:row>2</xdr:row>
      <xdr:rowOff>63500</xdr:rowOff>
    </xdr:from>
    <xdr:to>
      <xdr:col>8</xdr:col>
      <xdr:colOff>622300</xdr:colOff>
      <xdr:row>2</xdr:row>
      <xdr:rowOff>431800</xdr:rowOff>
    </xdr:to>
    <xdr:grpSp>
      <xdr:nvGrpSpPr>
        <xdr:cNvPr id="1208319" name="Group 862">
          <a:extLst>
            <a:ext uri="{FF2B5EF4-FFF2-40B4-BE49-F238E27FC236}">
              <a16:creationId xmlns:a16="http://schemas.microsoft.com/office/drawing/2014/main" id="{00000000-0008-0000-0300-0000FF6F1200}"/>
            </a:ext>
          </a:extLst>
        </xdr:cNvPr>
        <xdr:cNvGrpSpPr>
          <a:grpSpLocks/>
        </xdr:cNvGrpSpPr>
      </xdr:nvGrpSpPr>
      <xdr:grpSpPr bwMode="auto">
        <a:xfrm>
          <a:off x="6868160" y="1191260"/>
          <a:ext cx="520700" cy="368300"/>
          <a:chOff x="624" y="37"/>
          <a:chExt cx="552" cy="248"/>
        </a:xfrm>
      </xdr:grpSpPr>
      <xdr:sp macro="" textlink="">
        <xdr:nvSpPr>
          <xdr:cNvPr id="1212431" name="Rectangle 863">
            <a:extLst>
              <a:ext uri="{FF2B5EF4-FFF2-40B4-BE49-F238E27FC236}">
                <a16:creationId xmlns:a16="http://schemas.microsoft.com/office/drawing/2014/main" id="{00000000-0008-0000-0300-00000F80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32" name="Rectangle 864">
            <a:extLst>
              <a:ext uri="{FF2B5EF4-FFF2-40B4-BE49-F238E27FC236}">
                <a16:creationId xmlns:a16="http://schemas.microsoft.com/office/drawing/2014/main" id="{00000000-0008-0000-0300-00001080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33" name="Rectangle 865">
            <a:extLst>
              <a:ext uri="{FF2B5EF4-FFF2-40B4-BE49-F238E27FC236}">
                <a16:creationId xmlns:a16="http://schemas.microsoft.com/office/drawing/2014/main" id="{00000000-0008-0000-0300-000011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34" name="Rectangle 866">
            <a:extLst>
              <a:ext uri="{FF2B5EF4-FFF2-40B4-BE49-F238E27FC236}">
                <a16:creationId xmlns:a16="http://schemas.microsoft.com/office/drawing/2014/main" id="{00000000-0008-0000-0300-000012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35" name="Rectangle 867">
            <a:extLst>
              <a:ext uri="{FF2B5EF4-FFF2-40B4-BE49-F238E27FC236}">
                <a16:creationId xmlns:a16="http://schemas.microsoft.com/office/drawing/2014/main" id="{00000000-0008-0000-0300-000013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36" name="Rectangle 868">
            <a:extLst>
              <a:ext uri="{FF2B5EF4-FFF2-40B4-BE49-F238E27FC236}">
                <a16:creationId xmlns:a16="http://schemas.microsoft.com/office/drawing/2014/main" id="{00000000-0008-0000-0300-00001480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37" name="Rectangle 869">
            <a:extLst>
              <a:ext uri="{FF2B5EF4-FFF2-40B4-BE49-F238E27FC236}">
                <a16:creationId xmlns:a16="http://schemas.microsoft.com/office/drawing/2014/main" id="{00000000-0008-0000-0300-000015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38" name="Rectangle 870">
            <a:extLst>
              <a:ext uri="{FF2B5EF4-FFF2-40B4-BE49-F238E27FC236}">
                <a16:creationId xmlns:a16="http://schemas.microsoft.com/office/drawing/2014/main" id="{00000000-0008-0000-0300-000016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39" name="Oval 871">
            <a:extLst>
              <a:ext uri="{FF2B5EF4-FFF2-40B4-BE49-F238E27FC236}">
                <a16:creationId xmlns:a16="http://schemas.microsoft.com/office/drawing/2014/main" id="{00000000-0008-0000-0300-00001780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40" name="Oval 872">
            <a:extLst>
              <a:ext uri="{FF2B5EF4-FFF2-40B4-BE49-F238E27FC236}">
                <a16:creationId xmlns:a16="http://schemas.microsoft.com/office/drawing/2014/main" id="{00000000-0008-0000-0300-00001880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41" name="Oval 873">
            <a:extLst>
              <a:ext uri="{FF2B5EF4-FFF2-40B4-BE49-F238E27FC236}">
                <a16:creationId xmlns:a16="http://schemas.microsoft.com/office/drawing/2014/main" id="{00000000-0008-0000-0300-00001980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42" name="Oval 874">
            <a:extLst>
              <a:ext uri="{FF2B5EF4-FFF2-40B4-BE49-F238E27FC236}">
                <a16:creationId xmlns:a16="http://schemas.microsoft.com/office/drawing/2014/main" id="{00000000-0008-0000-0300-00001A80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43" name="AutoShape 875">
            <a:extLst>
              <a:ext uri="{FF2B5EF4-FFF2-40B4-BE49-F238E27FC236}">
                <a16:creationId xmlns:a16="http://schemas.microsoft.com/office/drawing/2014/main" id="{00000000-0008-0000-0300-00001B80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44" name="AutoShape 876">
            <a:extLst>
              <a:ext uri="{FF2B5EF4-FFF2-40B4-BE49-F238E27FC236}">
                <a16:creationId xmlns:a16="http://schemas.microsoft.com/office/drawing/2014/main" id="{00000000-0008-0000-0300-00001C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9</xdr:col>
      <xdr:colOff>114300</xdr:colOff>
      <xdr:row>2</xdr:row>
      <xdr:rowOff>76200</xdr:rowOff>
    </xdr:from>
    <xdr:to>
      <xdr:col>9</xdr:col>
      <xdr:colOff>596900</xdr:colOff>
      <xdr:row>2</xdr:row>
      <xdr:rowOff>431800</xdr:rowOff>
    </xdr:to>
    <xdr:grpSp>
      <xdr:nvGrpSpPr>
        <xdr:cNvPr id="1140" name="Group 853">
          <a:extLst>
            <a:ext uri="{FF2B5EF4-FFF2-40B4-BE49-F238E27FC236}">
              <a16:creationId xmlns:a16="http://schemas.microsoft.com/office/drawing/2014/main" id="{00000000-0008-0000-0300-000074040000}"/>
            </a:ext>
          </a:extLst>
        </xdr:cNvPr>
        <xdr:cNvGrpSpPr>
          <a:grpSpLocks/>
        </xdr:cNvGrpSpPr>
      </xdr:nvGrpSpPr>
      <xdr:grpSpPr bwMode="auto">
        <a:xfrm>
          <a:off x="7531100" y="1203960"/>
          <a:ext cx="482600" cy="355600"/>
          <a:chOff x="675" y="362"/>
          <a:chExt cx="278" cy="249"/>
        </a:xfrm>
      </xdr:grpSpPr>
      <xdr:sp macro="" textlink="">
        <xdr:nvSpPr>
          <xdr:cNvPr id="1141" name="Rectangle 854">
            <a:extLst>
              <a:ext uri="{FF2B5EF4-FFF2-40B4-BE49-F238E27FC236}">
                <a16:creationId xmlns:a16="http://schemas.microsoft.com/office/drawing/2014/main" id="{00000000-0008-0000-0300-0000750400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42" name="Rectangle 855">
            <a:extLst>
              <a:ext uri="{FF2B5EF4-FFF2-40B4-BE49-F238E27FC236}">
                <a16:creationId xmlns:a16="http://schemas.microsoft.com/office/drawing/2014/main" id="{00000000-0008-0000-0300-0000760400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43" name="Rectangle 856">
            <a:extLst>
              <a:ext uri="{FF2B5EF4-FFF2-40B4-BE49-F238E27FC236}">
                <a16:creationId xmlns:a16="http://schemas.microsoft.com/office/drawing/2014/main" id="{00000000-0008-0000-0300-0000770400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44" name="Rectangle 857">
            <a:extLst>
              <a:ext uri="{FF2B5EF4-FFF2-40B4-BE49-F238E27FC236}">
                <a16:creationId xmlns:a16="http://schemas.microsoft.com/office/drawing/2014/main" id="{00000000-0008-0000-0300-0000780400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45" name="Rectangle 858">
            <a:extLst>
              <a:ext uri="{FF2B5EF4-FFF2-40B4-BE49-F238E27FC236}">
                <a16:creationId xmlns:a16="http://schemas.microsoft.com/office/drawing/2014/main" id="{00000000-0008-0000-0300-0000790400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46" name="Oval 859">
            <a:extLst>
              <a:ext uri="{FF2B5EF4-FFF2-40B4-BE49-F238E27FC236}">
                <a16:creationId xmlns:a16="http://schemas.microsoft.com/office/drawing/2014/main" id="{00000000-0008-0000-0300-00007A0400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47" name="Oval 860">
            <a:extLst>
              <a:ext uri="{FF2B5EF4-FFF2-40B4-BE49-F238E27FC236}">
                <a16:creationId xmlns:a16="http://schemas.microsoft.com/office/drawing/2014/main" id="{00000000-0008-0000-0300-00007B0400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48" name="AutoShape 861">
            <a:extLst>
              <a:ext uri="{FF2B5EF4-FFF2-40B4-BE49-F238E27FC236}">
                <a16:creationId xmlns:a16="http://schemas.microsoft.com/office/drawing/2014/main" id="{00000000-0008-0000-0300-00007C0400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10</xdr:col>
      <xdr:colOff>101600</xdr:colOff>
      <xdr:row>2</xdr:row>
      <xdr:rowOff>63500</xdr:rowOff>
    </xdr:from>
    <xdr:to>
      <xdr:col>10</xdr:col>
      <xdr:colOff>622300</xdr:colOff>
      <xdr:row>2</xdr:row>
      <xdr:rowOff>431800</xdr:rowOff>
    </xdr:to>
    <xdr:grpSp>
      <xdr:nvGrpSpPr>
        <xdr:cNvPr id="1149" name="Group 862">
          <a:extLst>
            <a:ext uri="{FF2B5EF4-FFF2-40B4-BE49-F238E27FC236}">
              <a16:creationId xmlns:a16="http://schemas.microsoft.com/office/drawing/2014/main" id="{00000000-0008-0000-0300-00007D040000}"/>
            </a:ext>
          </a:extLst>
        </xdr:cNvPr>
        <xdr:cNvGrpSpPr>
          <a:grpSpLocks/>
        </xdr:cNvGrpSpPr>
      </xdr:nvGrpSpPr>
      <xdr:grpSpPr bwMode="auto">
        <a:xfrm>
          <a:off x="8168640" y="1191260"/>
          <a:ext cx="520700" cy="368300"/>
          <a:chOff x="624" y="37"/>
          <a:chExt cx="552" cy="248"/>
        </a:xfrm>
      </xdr:grpSpPr>
      <xdr:sp macro="" textlink="">
        <xdr:nvSpPr>
          <xdr:cNvPr id="1150" name="Rectangle 863">
            <a:extLst>
              <a:ext uri="{FF2B5EF4-FFF2-40B4-BE49-F238E27FC236}">
                <a16:creationId xmlns:a16="http://schemas.microsoft.com/office/drawing/2014/main" id="{00000000-0008-0000-0300-00007E0400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51" name="Rectangle 864">
            <a:extLst>
              <a:ext uri="{FF2B5EF4-FFF2-40B4-BE49-F238E27FC236}">
                <a16:creationId xmlns:a16="http://schemas.microsoft.com/office/drawing/2014/main" id="{00000000-0008-0000-0300-00007F0400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52" name="Rectangle 865">
            <a:extLst>
              <a:ext uri="{FF2B5EF4-FFF2-40B4-BE49-F238E27FC236}">
                <a16:creationId xmlns:a16="http://schemas.microsoft.com/office/drawing/2014/main" id="{00000000-0008-0000-0300-0000800400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53" name="Rectangle 866">
            <a:extLst>
              <a:ext uri="{FF2B5EF4-FFF2-40B4-BE49-F238E27FC236}">
                <a16:creationId xmlns:a16="http://schemas.microsoft.com/office/drawing/2014/main" id="{00000000-0008-0000-0300-0000810400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54" name="Rectangle 867">
            <a:extLst>
              <a:ext uri="{FF2B5EF4-FFF2-40B4-BE49-F238E27FC236}">
                <a16:creationId xmlns:a16="http://schemas.microsoft.com/office/drawing/2014/main" id="{00000000-0008-0000-0300-0000820400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55" name="Rectangle 868">
            <a:extLst>
              <a:ext uri="{FF2B5EF4-FFF2-40B4-BE49-F238E27FC236}">
                <a16:creationId xmlns:a16="http://schemas.microsoft.com/office/drawing/2014/main" id="{00000000-0008-0000-0300-0000830400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56" name="Rectangle 869">
            <a:extLst>
              <a:ext uri="{FF2B5EF4-FFF2-40B4-BE49-F238E27FC236}">
                <a16:creationId xmlns:a16="http://schemas.microsoft.com/office/drawing/2014/main" id="{00000000-0008-0000-0300-0000840400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57" name="Rectangle 870">
            <a:extLst>
              <a:ext uri="{FF2B5EF4-FFF2-40B4-BE49-F238E27FC236}">
                <a16:creationId xmlns:a16="http://schemas.microsoft.com/office/drawing/2014/main" id="{00000000-0008-0000-0300-0000850400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58" name="Oval 871">
            <a:extLst>
              <a:ext uri="{FF2B5EF4-FFF2-40B4-BE49-F238E27FC236}">
                <a16:creationId xmlns:a16="http://schemas.microsoft.com/office/drawing/2014/main" id="{00000000-0008-0000-0300-0000860400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59" name="Oval 872">
            <a:extLst>
              <a:ext uri="{FF2B5EF4-FFF2-40B4-BE49-F238E27FC236}">
                <a16:creationId xmlns:a16="http://schemas.microsoft.com/office/drawing/2014/main" id="{00000000-0008-0000-0300-0000870400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60" name="Oval 873">
            <a:extLst>
              <a:ext uri="{FF2B5EF4-FFF2-40B4-BE49-F238E27FC236}">
                <a16:creationId xmlns:a16="http://schemas.microsoft.com/office/drawing/2014/main" id="{00000000-0008-0000-0300-0000880400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61" name="Oval 874">
            <a:extLst>
              <a:ext uri="{FF2B5EF4-FFF2-40B4-BE49-F238E27FC236}">
                <a16:creationId xmlns:a16="http://schemas.microsoft.com/office/drawing/2014/main" id="{00000000-0008-0000-0300-0000890400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62" name="AutoShape 875">
            <a:extLst>
              <a:ext uri="{FF2B5EF4-FFF2-40B4-BE49-F238E27FC236}">
                <a16:creationId xmlns:a16="http://schemas.microsoft.com/office/drawing/2014/main" id="{00000000-0008-0000-0300-00008A0400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63" name="AutoShape 876">
            <a:extLst>
              <a:ext uri="{FF2B5EF4-FFF2-40B4-BE49-F238E27FC236}">
                <a16:creationId xmlns:a16="http://schemas.microsoft.com/office/drawing/2014/main" id="{00000000-0008-0000-0300-00008B0400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11</xdr:col>
      <xdr:colOff>101600</xdr:colOff>
      <xdr:row>2</xdr:row>
      <xdr:rowOff>63500</xdr:rowOff>
    </xdr:from>
    <xdr:to>
      <xdr:col>11</xdr:col>
      <xdr:colOff>622300</xdr:colOff>
      <xdr:row>2</xdr:row>
      <xdr:rowOff>431800</xdr:rowOff>
    </xdr:to>
    <xdr:grpSp>
      <xdr:nvGrpSpPr>
        <xdr:cNvPr id="1164" name="Group 862">
          <a:extLst>
            <a:ext uri="{FF2B5EF4-FFF2-40B4-BE49-F238E27FC236}">
              <a16:creationId xmlns:a16="http://schemas.microsoft.com/office/drawing/2014/main" id="{00000000-0008-0000-0300-00008C040000}"/>
            </a:ext>
          </a:extLst>
        </xdr:cNvPr>
        <xdr:cNvGrpSpPr>
          <a:grpSpLocks/>
        </xdr:cNvGrpSpPr>
      </xdr:nvGrpSpPr>
      <xdr:grpSpPr bwMode="auto">
        <a:xfrm>
          <a:off x="8818880" y="1191260"/>
          <a:ext cx="520700" cy="368300"/>
          <a:chOff x="624" y="37"/>
          <a:chExt cx="552" cy="248"/>
        </a:xfrm>
      </xdr:grpSpPr>
      <xdr:sp macro="" textlink="">
        <xdr:nvSpPr>
          <xdr:cNvPr id="1165" name="Rectangle 863">
            <a:extLst>
              <a:ext uri="{FF2B5EF4-FFF2-40B4-BE49-F238E27FC236}">
                <a16:creationId xmlns:a16="http://schemas.microsoft.com/office/drawing/2014/main" id="{00000000-0008-0000-0300-00008D0400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66" name="Rectangle 864">
            <a:extLst>
              <a:ext uri="{FF2B5EF4-FFF2-40B4-BE49-F238E27FC236}">
                <a16:creationId xmlns:a16="http://schemas.microsoft.com/office/drawing/2014/main" id="{00000000-0008-0000-0300-00008E0400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67" name="Rectangle 865">
            <a:extLst>
              <a:ext uri="{FF2B5EF4-FFF2-40B4-BE49-F238E27FC236}">
                <a16:creationId xmlns:a16="http://schemas.microsoft.com/office/drawing/2014/main" id="{00000000-0008-0000-0300-00008F0400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68" name="Rectangle 866">
            <a:extLst>
              <a:ext uri="{FF2B5EF4-FFF2-40B4-BE49-F238E27FC236}">
                <a16:creationId xmlns:a16="http://schemas.microsoft.com/office/drawing/2014/main" id="{00000000-0008-0000-0300-0000900400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69" name="Rectangle 867">
            <a:extLst>
              <a:ext uri="{FF2B5EF4-FFF2-40B4-BE49-F238E27FC236}">
                <a16:creationId xmlns:a16="http://schemas.microsoft.com/office/drawing/2014/main" id="{00000000-0008-0000-0300-0000910400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70" name="Rectangle 868">
            <a:extLst>
              <a:ext uri="{FF2B5EF4-FFF2-40B4-BE49-F238E27FC236}">
                <a16:creationId xmlns:a16="http://schemas.microsoft.com/office/drawing/2014/main" id="{00000000-0008-0000-0300-0000920400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71" name="Rectangle 869">
            <a:extLst>
              <a:ext uri="{FF2B5EF4-FFF2-40B4-BE49-F238E27FC236}">
                <a16:creationId xmlns:a16="http://schemas.microsoft.com/office/drawing/2014/main" id="{00000000-0008-0000-0300-0000930400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72" name="Rectangle 870">
            <a:extLst>
              <a:ext uri="{FF2B5EF4-FFF2-40B4-BE49-F238E27FC236}">
                <a16:creationId xmlns:a16="http://schemas.microsoft.com/office/drawing/2014/main" id="{00000000-0008-0000-0300-0000940400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73" name="Oval 871">
            <a:extLst>
              <a:ext uri="{FF2B5EF4-FFF2-40B4-BE49-F238E27FC236}">
                <a16:creationId xmlns:a16="http://schemas.microsoft.com/office/drawing/2014/main" id="{00000000-0008-0000-0300-0000950400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74" name="Oval 872">
            <a:extLst>
              <a:ext uri="{FF2B5EF4-FFF2-40B4-BE49-F238E27FC236}">
                <a16:creationId xmlns:a16="http://schemas.microsoft.com/office/drawing/2014/main" id="{00000000-0008-0000-0300-0000960400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75" name="Oval 873">
            <a:extLst>
              <a:ext uri="{FF2B5EF4-FFF2-40B4-BE49-F238E27FC236}">
                <a16:creationId xmlns:a16="http://schemas.microsoft.com/office/drawing/2014/main" id="{00000000-0008-0000-0300-0000970400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76" name="Oval 874">
            <a:extLst>
              <a:ext uri="{FF2B5EF4-FFF2-40B4-BE49-F238E27FC236}">
                <a16:creationId xmlns:a16="http://schemas.microsoft.com/office/drawing/2014/main" id="{00000000-0008-0000-0300-0000980400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77" name="AutoShape 875">
            <a:extLst>
              <a:ext uri="{FF2B5EF4-FFF2-40B4-BE49-F238E27FC236}">
                <a16:creationId xmlns:a16="http://schemas.microsoft.com/office/drawing/2014/main" id="{00000000-0008-0000-0300-0000990400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78" name="AutoShape 876">
            <a:extLst>
              <a:ext uri="{FF2B5EF4-FFF2-40B4-BE49-F238E27FC236}">
                <a16:creationId xmlns:a16="http://schemas.microsoft.com/office/drawing/2014/main" id="{00000000-0008-0000-0300-00009A0400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17</xdr:col>
      <xdr:colOff>582360</xdr:colOff>
      <xdr:row>0</xdr:row>
      <xdr:rowOff>309033</xdr:rowOff>
    </xdr:from>
    <xdr:to>
      <xdr:col>21</xdr:col>
      <xdr:colOff>308261</xdr:colOff>
      <xdr:row>5</xdr:row>
      <xdr:rowOff>22860</xdr:rowOff>
    </xdr:to>
    <xdr:grpSp>
      <xdr:nvGrpSpPr>
        <xdr:cNvPr id="2" name="Group 853">
          <a:extLst>
            <a:ext uri="{FF2B5EF4-FFF2-40B4-BE49-F238E27FC236}">
              <a16:creationId xmlns:a16="http://schemas.microsoft.com/office/drawing/2014/main" id="{79B40646-3324-4626-B74B-DBBFC3E0F593}"/>
            </a:ext>
          </a:extLst>
        </xdr:cNvPr>
        <xdr:cNvGrpSpPr>
          <a:grpSpLocks/>
        </xdr:cNvGrpSpPr>
      </xdr:nvGrpSpPr>
      <xdr:grpSpPr bwMode="auto">
        <a:xfrm>
          <a:off x="13861480" y="309033"/>
          <a:ext cx="2855181" cy="1786467"/>
          <a:chOff x="675" y="362"/>
          <a:chExt cx="278" cy="249"/>
        </a:xfrm>
      </xdr:grpSpPr>
      <xdr:sp macro="" textlink="">
        <xdr:nvSpPr>
          <xdr:cNvPr id="3" name="Rectangle 854">
            <a:extLst>
              <a:ext uri="{FF2B5EF4-FFF2-40B4-BE49-F238E27FC236}">
                <a16:creationId xmlns:a16="http://schemas.microsoft.com/office/drawing/2014/main" id="{B36A2524-3BE8-5275-8BEA-4A5D9D56E14D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4" name="Rectangle 855">
            <a:extLst>
              <a:ext uri="{FF2B5EF4-FFF2-40B4-BE49-F238E27FC236}">
                <a16:creationId xmlns:a16="http://schemas.microsoft.com/office/drawing/2014/main" id="{8FDB6CF7-DA14-870D-40FD-435BDA37783E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Rectangle 856">
            <a:extLst>
              <a:ext uri="{FF2B5EF4-FFF2-40B4-BE49-F238E27FC236}">
                <a16:creationId xmlns:a16="http://schemas.microsoft.com/office/drawing/2014/main" id="{6BDC6549-C462-EFC8-2A4E-711FAD47386C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Rectangle 857">
            <a:extLst>
              <a:ext uri="{FF2B5EF4-FFF2-40B4-BE49-F238E27FC236}">
                <a16:creationId xmlns:a16="http://schemas.microsoft.com/office/drawing/2014/main" id="{32555323-046E-F72C-AE6C-60ABED2D994C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7" name="Rectangle 858">
            <a:extLst>
              <a:ext uri="{FF2B5EF4-FFF2-40B4-BE49-F238E27FC236}">
                <a16:creationId xmlns:a16="http://schemas.microsoft.com/office/drawing/2014/main" id="{AF131D5D-95E6-08D3-EF13-20D49D113765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8" name="Oval 859">
            <a:extLst>
              <a:ext uri="{FF2B5EF4-FFF2-40B4-BE49-F238E27FC236}">
                <a16:creationId xmlns:a16="http://schemas.microsoft.com/office/drawing/2014/main" id="{13114169-9FDF-0BC0-DC15-8EE3FC644E08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" name="Oval 860">
            <a:extLst>
              <a:ext uri="{FF2B5EF4-FFF2-40B4-BE49-F238E27FC236}">
                <a16:creationId xmlns:a16="http://schemas.microsoft.com/office/drawing/2014/main" id="{91439B07-A853-EC3E-4487-779586D0781D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" name="AutoShape 861">
            <a:extLst>
              <a:ext uri="{FF2B5EF4-FFF2-40B4-BE49-F238E27FC236}">
                <a16:creationId xmlns:a16="http://schemas.microsoft.com/office/drawing/2014/main" id="{7D0CD25C-ED8C-9B7D-C021-B6125708F3BA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12</xdr:col>
      <xdr:colOff>501226</xdr:colOff>
      <xdr:row>0</xdr:row>
      <xdr:rowOff>233680</xdr:rowOff>
    </xdr:from>
    <xdr:to>
      <xdr:col>16</xdr:col>
      <xdr:colOff>733434</xdr:colOff>
      <xdr:row>5</xdr:row>
      <xdr:rowOff>179309</xdr:rowOff>
    </xdr:to>
    <xdr:grpSp>
      <xdr:nvGrpSpPr>
        <xdr:cNvPr id="11" name="Group 862">
          <a:extLst>
            <a:ext uri="{FF2B5EF4-FFF2-40B4-BE49-F238E27FC236}">
              <a16:creationId xmlns:a16="http://schemas.microsoft.com/office/drawing/2014/main" id="{4025C5FF-4169-4CF7-8BDE-E93DFF5DFFE0}"/>
            </a:ext>
          </a:extLst>
        </xdr:cNvPr>
        <xdr:cNvGrpSpPr>
          <a:grpSpLocks/>
        </xdr:cNvGrpSpPr>
      </xdr:nvGrpSpPr>
      <xdr:grpSpPr bwMode="auto">
        <a:xfrm>
          <a:off x="9868746" y="233680"/>
          <a:ext cx="3361488" cy="2018269"/>
          <a:chOff x="624" y="37"/>
          <a:chExt cx="552" cy="248"/>
        </a:xfrm>
      </xdr:grpSpPr>
      <xdr:sp macro="" textlink="">
        <xdr:nvSpPr>
          <xdr:cNvPr id="12" name="Rectangle 863">
            <a:extLst>
              <a:ext uri="{FF2B5EF4-FFF2-40B4-BE49-F238E27FC236}">
                <a16:creationId xmlns:a16="http://schemas.microsoft.com/office/drawing/2014/main" id="{DF63411B-A7A3-AE6D-1E39-6D35C739A6C4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3" name="Rectangle 864">
            <a:extLst>
              <a:ext uri="{FF2B5EF4-FFF2-40B4-BE49-F238E27FC236}">
                <a16:creationId xmlns:a16="http://schemas.microsoft.com/office/drawing/2014/main" id="{76C386B5-6E32-0A88-8C61-A45AD4BF424F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4" name="Rectangle 865">
            <a:extLst>
              <a:ext uri="{FF2B5EF4-FFF2-40B4-BE49-F238E27FC236}">
                <a16:creationId xmlns:a16="http://schemas.microsoft.com/office/drawing/2014/main" id="{05EC3C54-852D-38BC-66AD-AF634A56251E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5" name="Rectangle 866">
            <a:extLst>
              <a:ext uri="{FF2B5EF4-FFF2-40B4-BE49-F238E27FC236}">
                <a16:creationId xmlns:a16="http://schemas.microsoft.com/office/drawing/2014/main" id="{168AC8BB-8430-6AB4-8EBA-F93F56F23EF3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6" name="Rectangle 867">
            <a:extLst>
              <a:ext uri="{FF2B5EF4-FFF2-40B4-BE49-F238E27FC236}">
                <a16:creationId xmlns:a16="http://schemas.microsoft.com/office/drawing/2014/main" id="{143B10FF-38F9-A2D4-53E5-4D5F8766D346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" name="Rectangle 868">
            <a:extLst>
              <a:ext uri="{FF2B5EF4-FFF2-40B4-BE49-F238E27FC236}">
                <a16:creationId xmlns:a16="http://schemas.microsoft.com/office/drawing/2014/main" id="{B2586EF1-9168-D0D6-F874-80FEA25B9B04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8" name="Rectangle 869">
            <a:extLst>
              <a:ext uri="{FF2B5EF4-FFF2-40B4-BE49-F238E27FC236}">
                <a16:creationId xmlns:a16="http://schemas.microsoft.com/office/drawing/2014/main" id="{01BD72FF-252C-79CE-FB96-EF413D901295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9" name="Rectangle 870">
            <a:extLst>
              <a:ext uri="{FF2B5EF4-FFF2-40B4-BE49-F238E27FC236}">
                <a16:creationId xmlns:a16="http://schemas.microsoft.com/office/drawing/2014/main" id="{9AB633C7-506E-5E03-99B6-B5EA31312ECE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0" name="Oval 871">
            <a:extLst>
              <a:ext uri="{FF2B5EF4-FFF2-40B4-BE49-F238E27FC236}">
                <a16:creationId xmlns:a16="http://schemas.microsoft.com/office/drawing/2014/main" id="{48141DEA-F147-61F0-D20F-8686E193A4C5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" name="Oval 872">
            <a:extLst>
              <a:ext uri="{FF2B5EF4-FFF2-40B4-BE49-F238E27FC236}">
                <a16:creationId xmlns:a16="http://schemas.microsoft.com/office/drawing/2014/main" id="{8EAA59DC-D452-C048-1E64-9F63B5600787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2" name="Oval 873">
            <a:extLst>
              <a:ext uri="{FF2B5EF4-FFF2-40B4-BE49-F238E27FC236}">
                <a16:creationId xmlns:a16="http://schemas.microsoft.com/office/drawing/2014/main" id="{BA82F6BC-8BBC-5233-E6DD-9EE0D8BD8554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3" name="Oval 874">
            <a:extLst>
              <a:ext uri="{FF2B5EF4-FFF2-40B4-BE49-F238E27FC236}">
                <a16:creationId xmlns:a16="http://schemas.microsoft.com/office/drawing/2014/main" id="{E30D2BEE-3D50-BB52-EFFC-5A3CE6EA183C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AutoShape 875">
            <a:extLst>
              <a:ext uri="{FF2B5EF4-FFF2-40B4-BE49-F238E27FC236}">
                <a16:creationId xmlns:a16="http://schemas.microsoft.com/office/drawing/2014/main" id="{FF561155-7F14-6550-97B0-DD14761F655D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5" name="AutoShape 876">
            <a:extLst>
              <a:ext uri="{FF2B5EF4-FFF2-40B4-BE49-F238E27FC236}">
                <a16:creationId xmlns:a16="http://schemas.microsoft.com/office/drawing/2014/main" id="{2241787B-1EF7-1177-781C-7732FF6159C2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 editAs="oneCell">
    <xdr:from>
      <xdr:col>12</xdr:col>
      <xdr:colOff>472268</xdr:colOff>
      <xdr:row>19</xdr:row>
      <xdr:rowOff>76604</xdr:rowOff>
    </xdr:from>
    <xdr:to>
      <xdr:col>17</xdr:col>
      <xdr:colOff>42186</xdr:colOff>
      <xdr:row>35</xdr:row>
      <xdr:rowOff>83819</xdr:rowOff>
    </xdr:to>
    <xdr:pic>
      <xdr:nvPicPr>
        <xdr:cNvPr id="26" name="Imagen 25" descr="Puertas de vidrio templado para exterior - Blog Cosmos Glass">
          <a:extLst>
            <a:ext uri="{FF2B5EF4-FFF2-40B4-BE49-F238E27FC236}">
              <a16:creationId xmlns:a16="http://schemas.microsoft.com/office/drawing/2014/main" id="{366AD55C-DDE8-4B4E-8CE9-46EA24D14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6268" y="4994044"/>
          <a:ext cx="3481518" cy="31974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640917</xdr:colOff>
      <xdr:row>6</xdr:row>
      <xdr:rowOff>60776</xdr:rowOff>
    </xdr:from>
    <xdr:to>
      <xdr:col>21</xdr:col>
      <xdr:colOff>460659</xdr:colOff>
      <xdr:row>18</xdr:row>
      <xdr:rowOff>131822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986C6706-3393-409E-942A-959561F72E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166" b="22536"/>
        <a:stretch/>
      </xdr:blipFill>
      <xdr:spPr bwMode="auto">
        <a:xfrm>
          <a:off x="13696517" y="2336616"/>
          <a:ext cx="2949022" cy="25094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426720</xdr:colOff>
      <xdr:row>6</xdr:row>
      <xdr:rowOff>132558</xdr:rowOff>
    </xdr:from>
    <xdr:to>
      <xdr:col>17</xdr:col>
      <xdr:colOff>25199</xdr:colOff>
      <xdr:row>18</xdr:row>
      <xdr:rowOff>174155</xdr:rowOff>
    </xdr:to>
    <xdr:pic>
      <xdr:nvPicPr>
        <xdr:cNvPr id="28" name="Imagen 27" descr="Ventana Blindex de 4 hojas!... - VMC vidrios templados | Facebook">
          <a:extLst>
            <a:ext uri="{FF2B5EF4-FFF2-40B4-BE49-F238E27FC236}">
              <a16:creationId xmlns:a16="http://schemas.microsoft.com/office/drawing/2014/main" id="{9ABFC4E0-4EBE-4854-AB14-AD4B30920A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6876"/>
        <a:stretch/>
      </xdr:blipFill>
      <xdr:spPr bwMode="auto">
        <a:xfrm>
          <a:off x="9570720" y="2408398"/>
          <a:ext cx="3510079" cy="24799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589794</xdr:colOff>
      <xdr:row>19</xdr:row>
      <xdr:rowOff>86176</xdr:rowOff>
    </xdr:from>
    <xdr:to>
      <xdr:col>21</xdr:col>
      <xdr:colOff>459187</xdr:colOff>
      <xdr:row>35</xdr:row>
      <xdr:rowOff>51057</xdr:rowOff>
    </xdr:to>
    <xdr:pic>
      <xdr:nvPicPr>
        <xdr:cNvPr id="29" name="Imagen 28" descr="Puerta corrediza en vidrio templado y un fijo Set 10 – instalada - Open  Glass System SAS">
          <a:extLst>
            <a:ext uri="{FF2B5EF4-FFF2-40B4-BE49-F238E27FC236}">
              <a16:creationId xmlns:a16="http://schemas.microsoft.com/office/drawing/2014/main" id="{6220BA78-65DB-40B7-AC15-D8B73AA79BC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40" t="9675" r="50428"/>
        <a:stretch/>
      </xdr:blipFill>
      <xdr:spPr bwMode="auto">
        <a:xfrm>
          <a:off x="13645394" y="5003616"/>
          <a:ext cx="2998673" cy="31551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781" name="Group 65">
          <a:extLst>
            <a:ext uri="{FF2B5EF4-FFF2-40B4-BE49-F238E27FC236}">
              <a16:creationId xmlns:a16="http://schemas.microsoft.com/office/drawing/2014/main" id="{00000000-0008-0000-0400-0000CD711200}"/>
            </a:ext>
          </a:extLst>
        </xdr:cNvPr>
        <xdr:cNvGrpSpPr>
          <a:grpSpLocks/>
        </xdr:cNvGrpSpPr>
      </xdr:nvGrpSpPr>
      <xdr:grpSpPr bwMode="auto">
        <a:xfrm>
          <a:off x="9622971" y="1320800"/>
          <a:ext cx="0" cy="780143"/>
          <a:chOff x="632" y="220"/>
          <a:chExt cx="195" cy="136"/>
        </a:xfrm>
      </xdr:grpSpPr>
      <xdr:sp macro="" textlink="">
        <xdr:nvSpPr>
          <xdr:cNvPr id="1215325" name="Rectangle 66">
            <a:extLst>
              <a:ext uri="{FF2B5EF4-FFF2-40B4-BE49-F238E27FC236}">
                <a16:creationId xmlns:a16="http://schemas.microsoft.com/office/drawing/2014/main" id="{00000000-0008-0000-0400-00005D8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26" name="Rectangle 67">
            <a:extLst>
              <a:ext uri="{FF2B5EF4-FFF2-40B4-BE49-F238E27FC236}">
                <a16:creationId xmlns:a16="http://schemas.microsoft.com/office/drawing/2014/main" id="{00000000-0008-0000-0400-00005E8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27" name="Rectangle 68">
            <a:extLst>
              <a:ext uri="{FF2B5EF4-FFF2-40B4-BE49-F238E27FC236}">
                <a16:creationId xmlns:a16="http://schemas.microsoft.com/office/drawing/2014/main" id="{00000000-0008-0000-0400-00005F8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28" name="Rectangle 69">
            <a:extLst>
              <a:ext uri="{FF2B5EF4-FFF2-40B4-BE49-F238E27FC236}">
                <a16:creationId xmlns:a16="http://schemas.microsoft.com/office/drawing/2014/main" id="{00000000-0008-0000-0400-0000608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29" name="Line 70">
            <a:extLst>
              <a:ext uri="{FF2B5EF4-FFF2-40B4-BE49-F238E27FC236}">
                <a16:creationId xmlns:a16="http://schemas.microsoft.com/office/drawing/2014/main" id="{00000000-0008-0000-0400-0000618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30" name="Line 71">
            <a:extLst>
              <a:ext uri="{FF2B5EF4-FFF2-40B4-BE49-F238E27FC236}">
                <a16:creationId xmlns:a16="http://schemas.microsoft.com/office/drawing/2014/main" id="{00000000-0008-0000-0400-0000628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31" name="Line 72">
            <a:extLst>
              <a:ext uri="{FF2B5EF4-FFF2-40B4-BE49-F238E27FC236}">
                <a16:creationId xmlns:a16="http://schemas.microsoft.com/office/drawing/2014/main" id="{00000000-0008-0000-0400-0000638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782" name="Group 73">
          <a:extLst>
            <a:ext uri="{FF2B5EF4-FFF2-40B4-BE49-F238E27FC236}">
              <a16:creationId xmlns:a16="http://schemas.microsoft.com/office/drawing/2014/main" id="{00000000-0008-0000-0400-0000CE711200}"/>
            </a:ext>
          </a:extLst>
        </xdr:cNvPr>
        <xdr:cNvGrpSpPr>
          <a:grpSpLocks/>
        </xdr:cNvGrpSpPr>
      </xdr:nvGrpSpPr>
      <xdr:grpSpPr bwMode="auto">
        <a:xfrm>
          <a:off x="9622971" y="1320800"/>
          <a:ext cx="0" cy="780143"/>
          <a:chOff x="632" y="220"/>
          <a:chExt cx="195" cy="136"/>
        </a:xfrm>
      </xdr:grpSpPr>
      <xdr:sp macro="" textlink="">
        <xdr:nvSpPr>
          <xdr:cNvPr id="1215318" name="Rectangle 74">
            <a:extLst>
              <a:ext uri="{FF2B5EF4-FFF2-40B4-BE49-F238E27FC236}">
                <a16:creationId xmlns:a16="http://schemas.microsoft.com/office/drawing/2014/main" id="{00000000-0008-0000-0400-0000568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19" name="Rectangle 75">
            <a:extLst>
              <a:ext uri="{FF2B5EF4-FFF2-40B4-BE49-F238E27FC236}">
                <a16:creationId xmlns:a16="http://schemas.microsoft.com/office/drawing/2014/main" id="{00000000-0008-0000-0400-0000578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20" name="Rectangle 76">
            <a:extLst>
              <a:ext uri="{FF2B5EF4-FFF2-40B4-BE49-F238E27FC236}">
                <a16:creationId xmlns:a16="http://schemas.microsoft.com/office/drawing/2014/main" id="{00000000-0008-0000-0400-0000588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21" name="Rectangle 77">
            <a:extLst>
              <a:ext uri="{FF2B5EF4-FFF2-40B4-BE49-F238E27FC236}">
                <a16:creationId xmlns:a16="http://schemas.microsoft.com/office/drawing/2014/main" id="{00000000-0008-0000-0400-0000598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22" name="Line 78">
            <a:extLst>
              <a:ext uri="{FF2B5EF4-FFF2-40B4-BE49-F238E27FC236}">
                <a16:creationId xmlns:a16="http://schemas.microsoft.com/office/drawing/2014/main" id="{00000000-0008-0000-0400-00005A8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23" name="Line 79">
            <a:extLst>
              <a:ext uri="{FF2B5EF4-FFF2-40B4-BE49-F238E27FC236}">
                <a16:creationId xmlns:a16="http://schemas.microsoft.com/office/drawing/2014/main" id="{00000000-0008-0000-0400-00005B8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24" name="Line 80">
            <a:extLst>
              <a:ext uri="{FF2B5EF4-FFF2-40B4-BE49-F238E27FC236}">
                <a16:creationId xmlns:a16="http://schemas.microsoft.com/office/drawing/2014/main" id="{00000000-0008-0000-0400-00005C8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190500</xdr:rowOff>
    </xdr:from>
    <xdr:to>
      <xdr:col>13</xdr:col>
      <xdr:colOff>0</xdr:colOff>
      <xdr:row>3</xdr:row>
      <xdr:rowOff>0</xdr:rowOff>
    </xdr:to>
    <xdr:grpSp>
      <xdr:nvGrpSpPr>
        <xdr:cNvPr id="1208783" name="Group 81">
          <a:extLst>
            <a:ext uri="{FF2B5EF4-FFF2-40B4-BE49-F238E27FC236}">
              <a16:creationId xmlns:a16="http://schemas.microsoft.com/office/drawing/2014/main" id="{00000000-0008-0000-0400-0000CF711200}"/>
            </a:ext>
          </a:extLst>
        </xdr:cNvPr>
        <xdr:cNvGrpSpPr>
          <a:grpSpLocks/>
        </xdr:cNvGrpSpPr>
      </xdr:nvGrpSpPr>
      <xdr:grpSpPr bwMode="auto">
        <a:xfrm>
          <a:off x="9622971" y="1333500"/>
          <a:ext cx="0" cy="767443"/>
          <a:chOff x="570" y="224"/>
          <a:chExt cx="377" cy="136"/>
        </a:xfrm>
      </xdr:grpSpPr>
      <xdr:sp macro="" textlink="">
        <xdr:nvSpPr>
          <xdr:cNvPr id="1215305" name="Rectangle 82">
            <a:extLst>
              <a:ext uri="{FF2B5EF4-FFF2-40B4-BE49-F238E27FC236}">
                <a16:creationId xmlns:a16="http://schemas.microsoft.com/office/drawing/2014/main" id="{00000000-0008-0000-0400-0000498B1200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06" name="Rectangle 83">
            <a:extLst>
              <a:ext uri="{FF2B5EF4-FFF2-40B4-BE49-F238E27FC236}">
                <a16:creationId xmlns:a16="http://schemas.microsoft.com/office/drawing/2014/main" id="{00000000-0008-0000-0400-00004A8B1200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07" name="Rectangle 84">
            <a:extLst>
              <a:ext uri="{FF2B5EF4-FFF2-40B4-BE49-F238E27FC236}">
                <a16:creationId xmlns:a16="http://schemas.microsoft.com/office/drawing/2014/main" id="{00000000-0008-0000-0400-00004B8B1200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08" name="Rectangle 85">
            <a:extLst>
              <a:ext uri="{FF2B5EF4-FFF2-40B4-BE49-F238E27FC236}">
                <a16:creationId xmlns:a16="http://schemas.microsoft.com/office/drawing/2014/main" id="{00000000-0008-0000-0400-00004C8B1200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09" name="Line 86">
            <a:extLst>
              <a:ext uri="{FF2B5EF4-FFF2-40B4-BE49-F238E27FC236}">
                <a16:creationId xmlns:a16="http://schemas.microsoft.com/office/drawing/2014/main" id="{00000000-0008-0000-0400-00004D8B1200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10" name="Line 87">
            <a:extLst>
              <a:ext uri="{FF2B5EF4-FFF2-40B4-BE49-F238E27FC236}">
                <a16:creationId xmlns:a16="http://schemas.microsoft.com/office/drawing/2014/main" id="{00000000-0008-0000-0400-00004E8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11" name="Line 88">
            <a:extLst>
              <a:ext uri="{FF2B5EF4-FFF2-40B4-BE49-F238E27FC236}">
                <a16:creationId xmlns:a16="http://schemas.microsoft.com/office/drawing/2014/main" id="{00000000-0008-0000-0400-00004F8B1200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12" name="Rectangle 89">
            <a:extLst>
              <a:ext uri="{FF2B5EF4-FFF2-40B4-BE49-F238E27FC236}">
                <a16:creationId xmlns:a16="http://schemas.microsoft.com/office/drawing/2014/main" id="{00000000-0008-0000-0400-0000508B1200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13" name="Line 90">
            <a:extLst>
              <a:ext uri="{FF2B5EF4-FFF2-40B4-BE49-F238E27FC236}">
                <a16:creationId xmlns:a16="http://schemas.microsoft.com/office/drawing/2014/main" id="{00000000-0008-0000-0400-0000518B1200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14" name="Rectangle 91">
            <a:extLst>
              <a:ext uri="{FF2B5EF4-FFF2-40B4-BE49-F238E27FC236}">
                <a16:creationId xmlns:a16="http://schemas.microsoft.com/office/drawing/2014/main" id="{00000000-0008-0000-0400-0000528B1200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15" name="Line 92">
            <a:extLst>
              <a:ext uri="{FF2B5EF4-FFF2-40B4-BE49-F238E27FC236}">
                <a16:creationId xmlns:a16="http://schemas.microsoft.com/office/drawing/2014/main" id="{00000000-0008-0000-0400-0000538B1200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16" name="Line 93">
            <a:extLst>
              <a:ext uri="{FF2B5EF4-FFF2-40B4-BE49-F238E27FC236}">
                <a16:creationId xmlns:a16="http://schemas.microsoft.com/office/drawing/2014/main" id="{00000000-0008-0000-0400-0000548B12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17" name="Line 94">
            <a:extLst>
              <a:ext uri="{FF2B5EF4-FFF2-40B4-BE49-F238E27FC236}">
                <a16:creationId xmlns:a16="http://schemas.microsoft.com/office/drawing/2014/main" id="{00000000-0008-0000-0400-0000558B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190500</xdr:rowOff>
    </xdr:from>
    <xdr:to>
      <xdr:col>13</xdr:col>
      <xdr:colOff>0</xdr:colOff>
      <xdr:row>3</xdr:row>
      <xdr:rowOff>0</xdr:rowOff>
    </xdr:to>
    <xdr:grpSp>
      <xdr:nvGrpSpPr>
        <xdr:cNvPr id="1208784" name="Group 95">
          <a:extLst>
            <a:ext uri="{FF2B5EF4-FFF2-40B4-BE49-F238E27FC236}">
              <a16:creationId xmlns:a16="http://schemas.microsoft.com/office/drawing/2014/main" id="{00000000-0008-0000-0400-0000D0711200}"/>
            </a:ext>
          </a:extLst>
        </xdr:cNvPr>
        <xdr:cNvGrpSpPr>
          <a:grpSpLocks/>
        </xdr:cNvGrpSpPr>
      </xdr:nvGrpSpPr>
      <xdr:grpSpPr bwMode="auto">
        <a:xfrm>
          <a:off x="9622971" y="1333500"/>
          <a:ext cx="0" cy="767443"/>
          <a:chOff x="570" y="224"/>
          <a:chExt cx="377" cy="136"/>
        </a:xfrm>
      </xdr:grpSpPr>
      <xdr:sp macro="" textlink="">
        <xdr:nvSpPr>
          <xdr:cNvPr id="1215292" name="Rectangle 96">
            <a:extLst>
              <a:ext uri="{FF2B5EF4-FFF2-40B4-BE49-F238E27FC236}">
                <a16:creationId xmlns:a16="http://schemas.microsoft.com/office/drawing/2014/main" id="{00000000-0008-0000-0400-00003C8B1200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93" name="Rectangle 97">
            <a:extLst>
              <a:ext uri="{FF2B5EF4-FFF2-40B4-BE49-F238E27FC236}">
                <a16:creationId xmlns:a16="http://schemas.microsoft.com/office/drawing/2014/main" id="{00000000-0008-0000-0400-00003D8B1200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94" name="Rectangle 98">
            <a:extLst>
              <a:ext uri="{FF2B5EF4-FFF2-40B4-BE49-F238E27FC236}">
                <a16:creationId xmlns:a16="http://schemas.microsoft.com/office/drawing/2014/main" id="{00000000-0008-0000-0400-00003E8B1200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95" name="Rectangle 99">
            <a:extLst>
              <a:ext uri="{FF2B5EF4-FFF2-40B4-BE49-F238E27FC236}">
                <a16:creationId xmlns:a16="http://schemas.microsoft.com/office/drawing/2014/main" id="{00000000-0008-0000-0400-00003F8B1200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96" name="Line 100">
            <a:extLst>
              <a:ext uri="{FF2B5EF4-FFF2-40B4-BE49-F238E27FC236}">
                <a16:creationId xmlns:a16="http://schemas.microsoft.com/office/drawing/2014/main" id="{00000000-0008-0000-0400-0000408B1200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97" name="Line 101">
            <a:extLst>
              <a:ext uri="{FF2B5EF4-FFF2-40B4-BE49-F238E27FC236}">
                <a16:creationId xmlns:a16="http://schemas.microsoft.com/office/drawing/2014/main" id="{00000000-0008-0000-0400-0000418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98" name="Line 102">
            <a:extLst>
              <a:ext uri="{FF2B5EF4-FFF2-40B4-BE49-F238E27FC236}">
                <a16:creationId xmlns:a16="http://schemas.microsoft.com/office/drawing/2014/main" id="{00000000-0008-0000-0400-0000428B1200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99" name="Rectangle 103">
            <a:extLst>
              <a:ext uri="{FF2B5EF4-FFF2-40B4-BE49-F238E27FC236}">
                <a16:creationId xmlns:a16="http://schemas.microsoft.com/office/drawing/2014/main" id="{00000000-0008-0000-0400-0000438B1200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00" name="Line 104">
            <a:extLst>
              <a:ext uri="{FF2B5EF4-FFF2-40B4-BE49-F238E27FC236}">
                <a16:creationId xmlns:a16="http://schemas.microsoft.com/office/drawing/2014/main" id="{00000000-0008-0000-0400-0000448B1200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01" name="Rectangle 105">
            <a:extLst>
              <a:ext uri="{FF2B5EF4-FFF2-40B4-BE49-F238E27FC236}">
                <a16:creationId xmlns:a16="http://schemas.microsoft.com/office/drawing/2014/main" id="{00000000-0008-0000-0400-0000458B1200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02" name="Line 106">
            <a:extLst>
              <a:ext uri="{FF2B5EF4-FFF2-40B4-BE49-F238E27FC236}">
                <a16:creationId xmlns:a16="http://schemas.microsoft.com/office/drawing/2014/main" id="{00000000-0008-0000-0400-0000468B1200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03" name="Line 107">
            <a:extLst>
              <a:ext uri="{FF2B5EF4-FFF2-40B4-BE49-F238E27FC236}">
                <a16:creationId xmlns:a16="http://schemas.microsoft.com/office/drawing/2014/main" id="{00000000-0008-0000-0400-0000478B12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04" name="Line 108">
            <a:extLst>
              <a:ext uri="{FF2B5EF4-FFF2-40B4-BE49-F238E27FC236}">
                <a16:creationId xmlns:a16="http://schemas.microsoft.com/office/drawing/2014/main" id="{00000000-0008-0000-0400-0000488B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190500</xdr:rowOff>
    </xdr:from>
    <xdr:to>
      <xdr:col>13</xdr:col>
      <xdr:colOff>0</xdr:colOff>
      <xdr:row>3</xdr:row>
      <xdr:rowOff>0</xdr:rowOff>
    </xdr:to>
    <xdr:grpSp>
      <xdr:nvGrpSpPr>
        <xdr:cNvPr id="1208785" name="Group 109">
          <a:extLst>
            <a:ext uri="{FF2B5EF4-FFF2-40B4-BE49-F238E27FC236}">
              <a16:creationId xmlns:a16="http://schemas.microsoft.com/office/drawing/2014/main" id="{00000000-0008-0000-0400-0000D1711200}"/>
            </a:ext>
          </a:extLst>
        </xdr:cNvPr>
        <xdr:cNvGrpSpPr>
          <a:grpSpLocks/>
        </xdr:cNvGrpSpPr>
      </xdr:nvGrpSpPr>
      <xdr:grpSpPr bwMode="auto">
        <a:xfrm>
          <a:off x="9622971" y="1333500"/>
          <a:ext cx="0" cy="767443"/>
          <a:chOff x="570" y="224"/>
          <a:chExt cx="377" cy="136"/>
        </a:xfrm>
      </xdr:grpSpPr>
      <xdr:sp macro="" textlink="">
        <xdr:nvSpPr>
          <xdr:cNvPr id="1215279" name="Rectangle 110">
            <a:extLst>
              <a:ext uri="{FF2B5EF4-FFF2-40B4-BE49-F238E27FC236}">
                <a16:creationId xmlns:a16="http://schemas.microsoft.com/office/drawing/2014/main" id="{00000000-0008-0000-0400-00002F8B1200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80" name="Rectangle 111">
            <a:extLst>
              <a:ext uri="{FF2B5EF4-FFF2-40B4-BE49-F238E27FC236}">
                <a16:creationId xmlns:a16="http://schemas.microsoft.com/office/drawing/2014/main" id="{00000000-0008-0000-0400-0000308B1200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81" name="Rectangle 112">
            <a:extLst>
              <a:ext uri="{FF2B5EF4-FFF2-40B4-BE49-F238E27FC236}">
                <a16:creationId xmlns:a16="http://schemas.microsoft.com/office/drawing/2014/main" id="{00000000-0008-0000-0400-0000318B1200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82" name="Rectangle 113">
            <a:extLst>
              <a:ext uri="{FF2B5EF4-FFF2-40B4-BE49-F238E27FC236}">
                <a16:creationId xmlns:a16="http://schemas.microsoft.com/office/drawing/2014/main" id="{00000000-0008-0000-0400-0000328B1200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83" name="Line 114">
            <a:extLst>
              <a:ext uri="{FF2B5EF4-FFF2-40B4-BE49-F238E27FC236}">
                <a16:creationId xmlns:a16="http://schemas.microsoft.com/office/drawing/2014/main" id="{00000000-0008-0000-0400-0000338B1200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84" name="Line 115">
            <a:extLst>
              <a:ext uri="{FF2B5EF4-FFF2-40B4-BE49-F238E27FC236}">
                <a16:creationId xmlns:a16="http://schemas.microsoft.com/office/drawing/2014/main" id="{00000000-0008-0000-0400-0000348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85" name="Line 116">
            <a:extLst>
              <a:ext uri="{FF2B5EF4-FFF2-40B4-BE49-F238E27FC236}">
                <a16:creationId xmlns:a16="http://schemas.microsoft.com/office/drawing/2014/main" id="{00000000-0008-0000-0400-0000358B1200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86" name="Rectangle 117">
            <a:extLst>
              <a:ext uri="{FF2B5EF4-FFF2-40B4-BE49-F238E27FC236}">
                <a16:creationId xmlns:a16="http://schemas.microsoft.com/office/drawing/2014/main" id="{00000000-0008-0000-0400-0000368B1200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87" name="Line 118">
            <a:extLst>
              <a:ext uri="{FF2B5EF4-FFF2-40B4-BE49-F238E27FC236}">
                <a16:creationId xmlns:a16="http://schemas.microsoft.com/office/drawing/2014/main" id="{00000000-0008-0000-0400-0000378B1200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88" name="Rectangle 119">
            <a:extLst>
              <a:ext uri="{FF2B5EF4-FFF2-40B4-BE49-F238E27FC236}">
                <a16:creationId xmlns:a16="http://schemas.microsoft.com/office/drawing/2014/main" id="{00000000-0008-0000-0400-0000388B1200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89" name="Line 120">
            <a:extLst>
              <a:ext uri="{FF2B5EF4-FFF2-40B4-BE49-F238E27FC236}">
                <a16:creationId xmlns:a16="http://schemas.microsoft.com/office/drawing/2014/main" id="{00000000-0008-0000-0400-0000398B1200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90" name="Line 121">
            <a:extLst>
              <a:ext uri="{FF2B5EF4-FFF2-40B4-BE49-F238E27FC236}">
                <a16:creationId xmlns:a16="http://schemas.microsoft.com/office/drawing/2014/main" id="{00000000-0008-0000-0400-00003A8B12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91" name="Line 122">
            <a:extLst>
              <a:ext uri="{FF2B5EF4-FFF2-40B4-BE49-F238E27FC236}">
                <a16:creationId xmlns:a16="http://schemas.microsoft.com/office/drawing/2014/main" id="{00000000-0008-0000-0400-00003B8B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190500</xdr:rowOff>
    </xdr:from>
    <xdr:to>
      <xdr:col>13</xdr:col>
      <xdr:colOff>0</xdr:colOff>
      <xdr:row>3</xdr:row>
      <xdr:rowOff>0</xdr:rowOff>
    </xdr:to>
    <xdr:grpSp>
      <xdr:nvGrpSpPr>
        <xdr:cNvPr id="1208786" name="Group 123">
          <a:extLst>
            <a:ext uri="{FF2B5EF4-FFF2-40B4-BE49-F238E27FC236}">
              <a16:creationId xmlns:a16="http://schemas.microsoft.com/office/drawing/2014/main" id="{00000000-0008-0000-0400-0000D2711200}"/>
            </a:ext>
          </a:extLst>
        </xdr:cNvPr>
        <xdr:cNvGrpSpPr>
          <a:grpSpLocks/>
        </xdr:cNvGrpSpPr>
      </xdr:nvGrpSpPr>
      <xdr:grpSpPr bwMode="auto">
        <a:xfrm>
          <a:off x="9622971" y="1333500"/>
          <a:ext cx="0" cy="767443"/>
          <a:chOff x="570" y="224"/>
          <a:chExt cx="377" cy="136"/>
        </a:xfrm>
      </xdr:grpSpPr>
      <xdr:sp macro="" textlink="">
        <xdr:nvSpPr>
          <xdr:cNvPr id="1215266" name="Rectangle 124">
            <a:extLst>
              <a:ext uri="{FF2B5EF4-FFF2-40B4-BE49-F238E27FC236}">
                <a16:creationId xmlns:a16="http://schemas.microsoft.com/office/drawing/2014/main" id="{00000000-0008-0000-0400-0000228B1200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67" name="Rectangle 125">
            <a:extLst>
              <a:ext uri="{FF2B5EF4-FFF2-40B4-BE49-F238E27FC236}">
                <a16:creationId xmlns:a16="http://schemas.microsoft.com/office/drawing/2014/main" id="{00000000-0008-0000-0400-0000238B1200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68" name="Rectangle 126">
            <a:extLst>
              <a:ext uri="{FF2B5EF4-FFF2-40B4-BE49-F238E27FC236}">
                <a16:creationId xmlns:a16="http://schemas.microsoft.com/office/drawing/2014/main" id="{00000000-0008-0000-0400-0000248B1200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69" name="Rectangle 127">
            <a:extLst>
              <a:ext uri="{FF2B5EF4-FFF2-40B4-BE49-F238E27FC236}">
                <a16:creationId xmlns:a16="http://schemas.microsoft.com/office/drawing/2014/main" id="{00000000-0008-0000-0400-0000258B1200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70" name="Line 128">
            <a:extLst>
              <a:ext uri="{FF2B5EF4-FFF2-40B4-BE49-F238E27FC236}">
                <a16:creationId xmlns:a16="http://schemas.microsoft.com/office/drawing/2014/main" id="{00000000-0008-0000-0400-0000268B1200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71" name="Line 129">
            <a:extLst>
              <a:ext uri="{FF2B5EF4-FFF2-40B4-BE49-F238E27FC236}">
                <a16:creationId xmlns:a16="http://schemas.microsoft.com/office/drawing/2014/main" id="{00000000-0008-0000-0400-0000278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72" name="Line 130">
            <a:extLst>
              <a:ext uri="{FF2B5EF4-FFF2-40B4-BE49-F238E27FC236}">
                <a16:creationId xmlns:a16="http://schemas.microsoft.com/office/drawing/2014/main" id="{00000000-0008-0000-0400-0000288B1200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73" name="Rectangle 131">
            <a:extLst>
              <a:ext uri="{FF2B5EF4-FFF2-40B4-BE49-F238E27FC236}">
                <a16:creationId xmlns:a16="http://schemas.microsoft.com/office/drawing/2014/main" id="{00000000-0008-0000-0400-0000298B1200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74" name="Line 132">
            <a:extLst>
              <a:ext uri="{FF2B5EF4-FFF2-40B4-BE49-F238E27FC236}">
                <a16:creationId xmlns:a16="http://schemas.microsoft.com/office/drawing/2014/main" id="{00000000-0008-0000-0400-00002A8B1200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75" name="Rectangle 133">
            <a:extLst>
              <a:ext uri="{FF2B5EF4-FFF2-40B4-BE49-F238E27FC236}">
                <a16:creationId xmlns:a16="http://schemas.microsoft.com/office/drawing/2014/main" id="{00000000-0008-0000-0400-00002B8B1200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76" name="Line 134">
            <a:extLst>
              <a:ext uri="{FF2B5EF4-FFF2-40B4-BE49-F238E27FC236}">
                <a16:creationId xmlns:a16="http://schemas.microsoft.com/office/drawing/2014/main" id="{00000000-0008-0000-0400-00002C8B1200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77" name="Line 135">
            <a:extLst>
              <a:ext uri="{FF2B5EF4-FFF2-40B4-BE49-F238E27FC236}">
                <a16:creationId xmlns:a16="http://schemas.microsoft.com/office/drawing/2014/main" id="{00000000-0008-0000-0400-00002D8B12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78" name="Line 136">
            <a:extLst>
              <a:ext uri="{FF2B5EF4-FFF2-40B4-BE49-F238E27FC236}">
                <a16:creationId xmlns:a16="http://schemas.microsoft.com/office/drawing/2014/main" id="{00000000-0008-0000-0400-00002E8B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787" name="Group 137">
          <a:extLst>
            <a:ext uri="{FF2B5EF4-FFF2-40B4-BE49-F238E27FC236}">
              <a16:creationId xmlns:a16="http://schemas.microsoft.com/office/drawing/2014/main" id="{00000000-0008-0000-0400-0000D3711200}"/>
            </a:ext>
          </a:extLst>
        </xdr:cNvPr>
        <xdr:cNvGrpSpPr>
          <a:grpSpLocks/>
        </xdr:cNvGrpSpPr>
      </xdr:nvGrpSpPr>
      <xdr:grpSpPr bwMode="auto">
        <a:xfrm>
          <a:off x="9622971" y="1320800"/>
          <a:ext cx="0" cy="780143"/>
          <a:chOff x="632" y="220"/>
          <a:chExt cx="195" cy="136"/>
        </a:xfrm>
      </xdr:grpSpPr>
      <xdr:sp macro="" textlink="">
        <xdr:nvSpPr>
          <xdr:cNvPr id="1215259" name="Rectangle 138">
            <a:extLst>
              <a:ext uri="{FF2B5EF4-FFF2-40B4-BE49-F238E27FC236}">
                <a16:creationId xmlns:a16="http://schemas.microsoft.com/office/drawing/2014/main" id="{00000000-0008-0000-0400-00001B8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60" name="Rectangle 139">
            <a:extLst>
              <a:ext uri="{FF2B5EF4-FFF2-40B4-BE49-F238E27FC236}">
                <a16:creationId xmlns:a16="http://schemas.microsoft.com/office/drawing/2014/main" id="{00000000-0008-0000-0400-00001C8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61" name="Rectangle 140">
            <a:extLst>
              <a:ext uri="{FF2B5EF4-FFF2-40B4-BE49-F238E27FC236}">
                <a16:creationId xmlns:a16="http://schemas.microsoft.com/office/drawing/2014/main" id="{00000000-0008-0000-0400-00001D8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62" name="Rectangle 141">
            <a:extLst>
              <a:ext uri="{FF2B5EF4-FFF2-40B4-BE49-F238E27FC236}">
                <a16:creationId xmlns:a16="http://schemas.microsoft.com/office/drawing/2014/main" id="{00000000-0008-0000-0400-00001E8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63" name="Line 142">
            <a:extLst>
              <a:ext uri="{FF2B5EF4-FFF2-40B4-BE49-F238E27FC236}">
                <a16:creationId xmlns:a16="http://schemas.microsoft.com/office/drawing/2014/main" id="{00000000-0008-0000-0400-00001F8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64" name="Line 143">
            <a:extLst>
              <a:ext uri="{FF2B5EF4-FFF2-40B4-BE49-F238E27FC236}">
                <a16:creationId xmlns:a16="http://schemas.microsoft.com/office/drawing/2014/main" id="{00000000-0008-0000-0400-0000208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65" name="Line 144">
            <a:extLst>
              <a:ext uri="{FF2B5EF4-FFF2-40B4-BE49-F238E27FC236}">
                <a16:creationId xmlns:a16="http://schemas.microsoft.com/office/drawing/2014/main" id="{00000000-0008-0000-0400-0000218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788" name="Group 145">
          <a:extLst>
            <a:ext uri="{FF2B5EF4-FFF2-40B4-BE49-F238E27FC236}">
              <a16:creationId xmlns:a16="http://schemas.microsoft.com/office/drawing/2014/main" id="{00000000-0008-0000-0400-0000D4711200}"/>
            </a:ext>
          </a:extLst>
        </xdr:cNvPr>
        <xdr:cNvGrpSpPr>
          <a:grpSpLocks/>
        </xdr:cNvGrpSpPr>
      </xdr:nvGrpSpPr>
      <xdr:grpSpPr bwMode="auto">
        <a:xfrm>
          <a:off x="9622971" y="1320800"/>
          <a:ext cx="0" cy="780143"/>
          <a:chOff x="632" y="220"/>
          <a:chExt cx="195" cy="136"/>
        </a:xfrm>
      </xdr:grpSpPr>
      <xdr:sp macro="" textlink="">
        <xdr:nvSpPr>
          <xdr:cNvPr id="1215252" name="Rectangle 146">
            <a:extLst>
              <a:ext uri="{FF2B5EF4-FFF2-40B4-BE49-F238E27FC236}">
                <a16:creationId xmlns:a16="http://schemas.microsoft.com/office/drawing/2014/main" id="{00000000-0008-0000-0400-0000148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53" name="Rectangle 147">
            <a:extLst>
              <a:ext uri="{FF2B5EF4-FFF2-40B4-BE49-F238E27FC236}">
                <a16:creationId xmlns:a16="http://schemas.microsoft.com/office/drawing/2014/main" id="{00000000-0008-0000-0400-0000158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54" name="Rectangle 148">
            <a:extLst>
              <a:ext uri="{FF2B5EF4-FFF2-40B4-BE49-F238E27FC236}">
                <a16:creationId xmlns:a16="http://schemas.microsoft.com/office/drawing/2014/main" id="{00000000-0008-0000-0400-0000168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55" name="Rectangle 149">
            <a:extLst>
              <a:ext uri="{FF2B5EF4-FFF2-40B4-BE49-F238E27FC236}">
                <a16:creationId xmlns:a16="http://schemas.microsoft.com/office/drawing/2014/main" id="{00000000-0008-0000-0400-0000178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56" name="Line 150">
            <a:extLst>
              <a:ext uri="{FF2B5EF4-FFF2-40B4-BE49-F238E27FC236}">
                <a16:creationId xmlns:a16="http://schemas.microsoft.com/office/drawing/2014/main" id="{00000000-0008-0000-0400-0000188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57" name="Line 151">
            <a:extLst>
              <a:ext uri="{FF2B5EF4-FFF2-40B4-BE49-F238E27FC236}">
                <a16:creationId xmlns:a16="http://schemas.microsoft.com/office/drawing/2014/main" id="{00000000-0008-0000-0400-0000198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58" name="Line 152">
            <a:extLst>
              <a:ext uri="{FF2B5EF4-FFF2-40B4-BE49-F238E27FC236}">
                <a16:creationId xmlns:a16="http://schemas.microsoft.com/office/drawing/2014/main" id="{00000000-0008-0000-0400-00001A8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789" name="Group 153">
          <a:extLst>
            <a:ext uri="{FF2B5EF4-FFF2-40B4-BE49-F238E27FC236}">
              <a16:creationId xmlns:a16="http://schemas.microsoft.com/office/drawing/2014/main" id="{00000000-0008-0000-0400-0000D5711200}"/>
            </a:ext>
          </a:extLst>
        </xdr:cNvPr>
        <xdr:cNvGrpSpPr>
          <a:grpSpLocks/>
        </xdr:cNvGrpSpPr>
      </xdr:nvGrpSpPr>
      <xdr:grpSpPr bwMode="auto">
        <a:xfrm>
          <a:off x="9622971" y="1320800"/>
          <a:ext cx="0" cy="780143"/>
          <a:chOff x="632" y="220"/>
          <a:chExt cx="195" cy="136"/>
        </a:xfrm>
      </xdr:grpSpPr>
      <xdr:sp macro="" textlink="">
        <xdr:nvSpPr>
          <xdr:cNvPr id="1215245" name="Rectangle 154">
            <a:extLst>
              <a:ext uri="{FF2B5EF4-FFF2-40B4-BE49-F238E27FC236}">
                <a16:creationId xmlns:a16="http://schemas.microsoft.com/office/drawing/2014/main" id="{00000000-0008-0000-0400-00000D8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46" name="Rectangle 155">
            <a:extLst>
              <a:ext uri="{FF2B5EF4-FFF2-40B4-BE49-F238E27FC236}">
                <a16:creationId xmlns:a16="http://schemas.microsoft.com/office/drawing/2014/main" id="{00000000-0008-0000-0400-00000E8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47" name="Rectangle 156">
            <a:extLst>
              <a:ext uri="{FF2B5EF4-FFF2-40B4-BE49-F238E27FC236}">
                <a16:creationId xmlns:a16="http://schemas.microsoft.com/office/drawing/2014/main" id="{00000000-0008-0000-0400-00000F8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48" name="Rectangle 157">
            <a:extLst>
              <a:ext uri="{FF2B5EF4-FFF2-40B4-BE49-F238E27FC236}">
                <a16:creationId xmlns:a16="http://schemas.microsoft.com/office/drawing/2014/main" id="{00000000-0008-0000-0400-0000108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49" name="Line 158">
            <a:extLst>
              <a:ext uri="{FF2B5EF4-FFF2-40B4-BE49-F238E27FC236}">
                <a16:creationId xmlns:a16="http://schemas.microsoft.com/office/drawing/2014/main" id="{00000000-0008-0000-0400-0000118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50" name="Line 159">
            <a:extLst>
              <a:ext uri="{FF2B5EF4-FFF2-40B4-BE49-F238E27FC236}">
                <a16:creationId xmlns:a16="http://schemas.microsoft.com/office/drawing/2014/main" id="{00000000-0008-0000-0400-0000128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51" name="Line 160">
            <a:extLst>
              <a:ext uri="{FF2B5EF4-FFF2-40B4-BE49-F238E27FC236}">
                <a16:creationId xmlns:a16="http://schemas.microsoft.com/office/drawing/2014/main" id="{00000000-0008-0000-0400-0000138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790" name="Group 161">
          <a:extLst>
            <a:ext uri="{FF2B5EF4-FFF2-40B4-BE49-F238E27FC236}">
              <a16:creationId xmlns:a16="http://schemas.microsoft.com/office/drawing/2014/main" id="{00000000-0008-0000-0400-0000D6711200}"/>
            </a:ext>
          </a:extLst>
        </xdr:cNvPr>
        <xdr:cNvGrpSpPr>
          <a:grpSpLocks/>
        </xdr:cNvGrpSpPr>
      </xdr:nvGrpSpPr>
      <xdr:grpSpPr bwMode="auto">
        <a:xfrm>
          <a:off x="9622971" y="1320800"/>
          <a:ext cx="0" cy="780143"/>
          <a:chOff x="632" y="220"/>
          <a:chExt cx="195" cy="136"/>
        </a:xfrm>
      </xdr:grpSpPr>
      <xdr:sp macro="" textlink="">
        <xdr:nvSpPr>
          <xdr:cNvPr id="1215238" name="Rectangle 162">
            <a:extLst>
              <a:ext uri="{FF2B5EF4-FFF2-40B4-BE49-F238E27FC236}">
                <a16:creationId xmlns:a16="http://schemas.microsoft.com/office/drawing/2014/main" id="{00000000-0008-0000-0400-0000068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39" name="Rectangle 163">
            <a:extLst>
              <a:ext uri="{FF2B5EF4-FFF2-40B4-BE49-F238E27FC236}">
                <a16:creationId xmlns:a16="http://schemas.microsoft.com/office/drawing/2014/main" id="{00000000-0008-0000-0400-0000078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40" name="Rectangle 164">
            <a:extLst>
              <a:ext uri="{FF2B5EF4-FFF2-40B4-BE49-F238E27FC236}">
                <a16:creationId xmlns:a16="http://schemas.microsoft.com/office/drawing/2014/main" id="{00000000-0008-0000-0400-0000088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41" name="Rectangle 165">
            <a:extLst>
              <a:ext uri="{FF2B5EF4-FFF2-40B4-BE49-F238E27FC236}">
                <a16:creationId xmlns:a16="http://schemas.microsoft.com/office/drawing/2014/main" id="{00000000-0008-0000-0400-0000098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42" name="Line 166">
            <a:extLst>
              <a:ext uri="{FF2B5EF4-FFF2-40B4-BE49-F238E27FC236}">
                <a16:creationId xmlns:a16="http://schemas.microsoft.com/office/drawing/2014/main" id="{00000000-0008-0000-0400-00000A8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43" name="Line 167">
            <a:extLst>
              <a:ext uri="{FF2B5EF4-FFF2-40B4-BE49-F238E27FC236}">
                <a16:creationId xmlns:a16="http://schemas.microsoft.com/office/drawing/2014/main" id="{00000000-0008-0000-0400-00000B8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44" name="Line 168">
            <a:extLst>
              <a:ext uri="{FF2B5EF4-FFF2-40B4-BE49-F238E27FC236}">
                <a16:creationId xmlns:a16="http://schemas.microsoft.com/office/drawing/2014/main" id="{00000000-0008-0000-0400-00000C8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791" name="Group 169">
          <a:extLst>
            <a:ext uri="{FF2B5EF4-FFF2-40B4-BE49-F238E27FC236}">
              <a16:creationId xmlns:a16="http://schemas.microsoft.com/office/drawing/2014/main" id="{00000000-0008-0000-0400-0000D7711200}"/>
            </a:ext>
          </a:extLst>
        </xdr:cNvPr>
        <xdr:cNvGrpSpPr>
          <a:grpSpLocks/>
        </xdr:cNvGrpSpPr>
      </xdr:nvGrpSpPr>
      <xdr:grpSpPr bwMode="auto">
        <a:xfrm>
          <a:off x="9622971" y="1320800"/>
          <a:ext cx="0" cy="780143"/>
          <a:chOff x="632" y="220"/>
          <a:chExt cx="195" cy="136"/>
        </a:xfrm>
      </xdr:grpSpPr>
      <xdr:sp macro="" textlink="">
        <xdr:nvSpPr>
          <xdr:cNvPr id="1215231" name="Rectangle 170">
            <a:extLst>
              <a:ext uri="{FF2B5EF4-FFF2-40B4-BE49-F238E27FC236}">
                <a16:creationId xmlns:a16="http://schemas.microsoft.com/office/drawing/2014/main" id="{00000000-0008-0000-0400-0000FF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32" name="Rectangle 171">
            <a:extLst>
              <a:ext uri="{FF2B5EF4-FFF2-40B4-BE49-F238E27FC236}">
                <a16:creationId xmlns:a16="http://schemas.microsoft.com/office/drawing/2014/main" id="{00000000-0008-0000-0400-0000008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33" name="Rectangle 172">
            <a:extLst>
              <a:ext uri="{FF2B5EF4-FFF2-40B4-BE49-F238E27FC236}">
                <a16:creationId xmlns:a16="http://schemas.microsoft.com/office/drawing/2014/main" id="{00000000-0008-0000-0400-0000018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34" name="Rectangle 173">
            <a:extLst>
              <a:ext uri="{FF2B5EF4-FFF2-40B4-BE49-F238E27FC236}">
                <a16:creationId xmlns:a16="http://schemas.microsoft.com/office/drawing/2014/main" id="{00000000-0008-0000-0400-0000028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35" name="Line 174">
            <a:extLst>
              <a:ext uri="{FF2B5EF4-FFF2-40B4-BE49-F238E27FC236}">
                <a16:creationId xmlns:a16="http://schemas.microsoft.com/office/drawing/2014/main" id="{00000000-0008-0000-0400-0000038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36" name="Line 175">
            <a:extLst>
              <a:ext uri="{FF2B5EF4-FFF2-40B4-BE49-F238E27FC236}">
                <a16:creationId xmlns:a16="http://schemas.microsoft.com/office/drawing/2014/main" id="{00000000-0008-0000-0400-0000048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37" name="Line 176">
            <a:extLst>
              <a:ext uri="{FF2B5EF4-FFF2-40B4-BE49-F238E27FC236}">
                <a16:creationId xmlns:a16="http://schemas.microsoft.com/office/drawing/2014/main" id="{00000000-0008-0000-0400-0000058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792" name="Group 177">
          <a:extLst>
            <a:ext uri="{FF2B5EF4-FFF2-40B4-BE49-F238E27FC236}">
              <a16:creationId xmlns:a16="http://schemas.microsoft.com/office/drawing/2014/main" id="{00000000-0008-0000-0400-0000D8711200}"/>
            </a:ext>
          </a:extLst>
        </xdr:cNvPr>
        <xdr:cNvGrpSpPr>
          <a:grpSpLocks/>
        </xdr:cNvGrpSpPr>
      </xdr:nvGrpSpPr>
      <xdr:grpSpPr bwMode="auto">
        <a:xfrm>
          <a:off x="9622971" y="1320800"/>
          <a:ext cx="0" cy="780143"/>
          <a:chOff x="632" y="220"/>
          <a:chExt cx="195" cy="136"/>
        </a:xfrm>
      </xdr:grpSpPr>
      <xdr:sp macro="" textlink="">
        <xdr:nvSpPr>
          <xdr:cNvPr id="1215224" name="Rectangle 178">
            <a:extLst>
              <a:ext uri="{FF2B5EF4-FFF2-40B4-BE49-F238E27FC236}">
                <a16:creationId xmlns:a16="http://schemas.microsoft.com/office/drawing/2014/main" id="{00000000-0008-0000-0400-0000F8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25" name="Rectangle 179">
            <a:extLst>
              <a:ext uri="{FF2B5EF4-FFF2-40B4-BE49-F238E27FC236}">
                <a16:creationId xmlns:a16="http://schemas.microsoft.com/office/drawing/2014/main" id="{00000000-0008-0000-0400-0000F9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26" name="Rectangle 180">
            <a:extLst>
              <a:ext uri="{FF2B5EF4-FFF2-40B4-BE49-F238E27FC236}">
                <a16:creationId xmlns:a16="http://schemas.microsoft.com/office/drawing/2014/main" id="{00000000-0008-0000-0400-0000FA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27" name="Rectangle 181">
            <a:extLst>
              <a:ext uri="{FF2B5EF4-FFF2-40B4-BE49-F238E27FC236}">
                <a16:creationId xmlns:a16="http://schemas.microsoft.com/office/drawing/2014/main" id="{00000000-0008-0000-0400-0000FB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28" name="Line 182">
            <a:extLst>
              <a:ext uri="{FF2B5EF4-FFF2-40B4-BE49-F238E27FC236}">
                <a16:creationId xmlns:a16="http://schemas.microsoft.com/office/drawing/2014/main" id="{00000000-0008-0000-0400-0000FC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29" name="Line 183">
            <a:extLst>
              <a:ext uri="{FF2B5EF4-FFF2-40B4-BE49-F238E27FC236}">
                <a16:creationId xmlns:a16="http://schemas.microsoft.com/office/drawing/2014/main" id="{00000000-0008-0000-0400-0000FD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30" name="Line 184">
            <a:extLst>
              <a:ext uri="{FF2B5EF4-FFF2-40B4-BE49-F238E27FC236}">
                <a16:creationId xmlns:a16="http://schemas.microsoft.com/office/drawing/2014/main" id="{00000000-0008-0000-0400-0000FE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793" name="Group 185">
          <a:extLst>
            <a:ext uri="{FF2B5EF4-FFF2-40B4-BE49-F238E27FC236}">
              <a16:creationId xmlns:a16="http://schemas.microsoft.com/office/drawing/2014/main" id="{00000000-0008-0000-0400-0000D9711200}"/>
            </a:ext>
          </a:extLst>
        </xdr:cNvPr>
        <xdr:cNvGrpSpPr>
          <a:grpSpLocks/>
        </xdr:cNvGrpSpPr>
      </xdr:nvGrpSpPr>
      <xdr:grpSpPr bwMode="auto">
        <a:xfrm>
          <a:off x="9622971" y="1320800"/>
          <a:ext cx="0" cy="780143"/>
          <a:chOff x="632" y="220"/>
          <a:chExt cx="195" cy="136"/>
        </a:xfrm>
      </xdr:grpSpPr>
      <xdr:sp macro="" textlink="">
        <xdr:nvSpPr>
          <xdr:cNvPr id="1215217" name="Rectangle 186">
            <a:extLst>
              <a:ext uri="{FF2B5EF4-FFF2-40B4-BE49-F238E27FC236}">
                <a16:creationId xmlns:a16="http://schemas.microsoft.com/office/drawing/2014/main" id="{00000000-0008-0000-0400-0000F1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18" name="Rectangle 187">
            <a:extLst>
              <a:ext uri="{FF2B5EF4-FFF2-40B4-BE49-F238E27FC236}">
                <a16:creationId xmlns:a16="http://schemas.microsoft.com/office/drawing/2014/main" id="{00000000-0008-0000-0400-0000F2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19" name="Rectangle 188">
            <a:extLst>
              <a:ext uri="{FF2B5EF4-FFF2-40B4-BE49-F238E27FC236}">
                <a16:creationId xmlns:a16="http://schemas.microsoft.com/office/drawing/2014/main" id="{00000000-0008-0000-0400-0000F3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20" name="Rectangle 189">
            <a:extLst>
              <a:ext uri="{FF2B5EF4-FFF2-40B4-BE49-F238E27FC236}">
                <a16:creationId xmlns:a16="http://schemas.microsoft.com/office/drawing/2014/main" id="{00000000-0008-0000-0400-0000F4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21" name="Line 190">
            <a:extLst>
              <a:ext uri="{FF2B5EF4-FFF2-40B4-BE49-F238E27FC236}">
                <a16:creationId xmlns:a16="http://schemas.microsoft.com/office/drawing/2014/main" id="{00000000-0008-0000-0400-0000F5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22" name="Line 191">
            <a:extLst>
              <a:ext uri="{FF2B5EF4-FFF2-40B4-BE49-F238E27FC236}">
                <a16:creationId xmlns:a16="http://schemas.microsoft.com/office/drawing/2014/main" id="{00000000-0008-0000-0400-0000F6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23" name="Line 192">
            <a:extLst>
              <a:ext uri="{FF2B5EF4-FFF2-40B4-BE49-F238E27FC236}">
                <a16:creationId xmlns:a16="http://schemas.microsoft.com/office/drawing/2014/main" id="{00000000-0008-0000-0400-0000F7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794" name="Group 193">
          <a:extLst>
            <a:ext uri="{FF2B5EF4-FFF2-40B4-BE49-F238E27FC236}">
              <a16:creationId xmlns:a16="http://schemas.microsoft.com/office/drawing/2014/main" id="{00000000-0008-0000-0400-0000DA711200}"/>
            </a:ext>
          </a:extLst>
        </xdr:cNvPr>
        <xdr:cNvGrpSpPr>
          <a:grpSpLocks/>
        </xdr:cNvGrpSpPr>
      </xdr:nvGrpSpPr>
      <xdr:grpSpPr bwMode="auto">
        <a:xfrm>
          <a:off x="9622971" y="1320800"/>
          <a:ext cx="0" cy="780143"/>
          <a:chOff x="632" y="220"/>
          <a:chExt cx="195" cy="136"/>
        </a:xfrm>
      </xdr:grpSpPr>
      <xdr:sp macro="" textlink="">
        <xdr:nvSpPr>
          <xdr:cNvPr id="1215210" name="Rectangle 194">
            <a:extLst>
              <a:ext uri="{FF2B5EF4-FFF2-40B4-BE49-F238E27FC236}">
                <a16:creationId xmlns:a16="http://schemas.microsoft.com/office/drawing/2014/main" id="{00000000-0008-0000-0400-0000EA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11" name="Rectangle 195">
            <a:extLst>
              <a:ext uri="{FF2B5EF4-FFF2-40B4-BE49-F238E27FC236}">
                <a16:creationId xmlns:a16="http://schemas.microsoft.com/office/drawing/2014/main" id="{00000000-0008-0000-0400-0000EB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12" name="Rectangle 196">
            <a:extLst>
              <a:ext uri="{FF2B5EF4-FFF2-40B4-BE49-F238E27FC236}">
                <a16:creationId xmlns:a16="http://schemas.microsoft.com/office/drawing/2014/main" id="{00000000-0008-0000-0400-0000EC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13" name="Rectangle 197">
            <a:extLst>
              <a:ext uri="{FF2B5EF4-FFF2-40B4-BE49-F238E27FC236}">
                <a16:creationId xmlns:a16="http://schemas.microsoft.com/office/drawing/2014/main" id="{00000000-0008-0000-0400-0000ED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14" name="Line 198">
            <a:extLst>
              <a:ext uri="{FF2B5EF4-FFF2-40B4-BE49-F238E27FC236}">
                <a16:creationId xmlns:a16="http://schemas.microsoft.com/office/drawing/2014/main" id="{00000000-0008-0000-0400-0000EE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15" name="Line 199">
            <a:extLst>
              <a:ext uri="{FF2B5EF4-FFF2-40B4-BE49-F238E27FC236}">
                <a16:creationId xmlns:a16="http://schemas.microsoft.com/office/drawing/2014/main" id="{00000000-0008-0000-0400-0000EF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16" name="Line 200">
            <a:extLst>
              <a:ext uri="{FF2B5EF4-FFF2-40B4-BE49-F238E27FC236}">
                <a16:creationId xmlns:a16="http://schemas.microsoft.com/office/drawing/2014/main" id="{00000000-0008-0000-0400-0000F0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795" name="Group 201">
          <a:extLst>
            <a:ext uri="{FF2B5EF4-FFF2-40B4-BE49-F238E27FC236}">
              <a16:creationId xmlns:a16="http://schemas.microsoft.com/office/drawing/2014/main" id="{00000000-0008-0000-0400-0000DB711200}"/>
            </a:ext>
          </a:extLst>
        </xdr:cNvPr>
        <xdr:cNvGrpSpPr>
          <a:grpSpLocks/>
        </xdr:cNvGrpSpPr>
      </xdr:nvGrpSpPr>
      <xdr:grpSpPr bwMode="auto">
        <a:xfrm>
          <a:off x="9622971" y="1320800"/>
          <a:ext cx="0" cy="780143"/>
          <a:chOff x="632" y="220"/>
          <a:chExt cx="195" cy="136"/>
        </a:xfrm>
      </xdr:grpSpPr>
      <xdr:sp macro="" textlink="">
        <xdr:nvSpPr>
          <xdr:cNvPr id="1215203" name="Rectangle 202">
            <a:extLst>
              <a:ext uri="{FF2B5EF4-FFF2-40B4-BE49-F238E27FC236}">
                <a16:creationId xmlns:a16="http://schemas.microsoft.com/office/drawing/2014/main" id="{00000000-0008-0000-0400-0000E3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04" name="Rectangle 203">
            <a:extLst>
              <a:ext uri="{FF2B5EF4-FFF2-40B4-BE49-F238E27FC236}">
                <a16:creationId xmlns:a16="http://schemas.microsoft.com/office/drawing/2014/main" id="{00000000-0008-0000-0400-0000E4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05" name="Rectangle 204">
            <a:extLst>
              <a:ext uri="{FF2B5EF4-FFF2-40B4-BE49-F238E27FC236}">
                <a16:creationId xmlns:a16="http://schemas.microsoft.com/office/drawing/2014/main" id="{00000000-0008-0000-0400-0000E5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06" name="Rectangle 205">
            <a:extLst>
              <a:ext uri="{FF2B5EF4-FFF2-40B4-BE49-F238E27FC236}">
                <a16:creationId xmlns:a16="http://schemas.microsoft.com/office/drawing/2014/main" id="{00000000-0008-0000-0400-0000E6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07" name="Line 206">
            <a:extLst>
              <a:ext uri="{FF2B5EF4-FFF2-40B4-BE49-F238E27FC236}">
                <a16:creationId xmlns:a16="http://schemas.microsoft.com/office/drawing/2014/main" id="{00000000-0008-0000-0400-0000E7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08" name="Line 207">
            <a:extLst>
              <a:ext uri="{FF2B5EF4-FFF2-40B4-BE49-F238E27FC236}">
                <a16:creationId xmlns:a16="http://schemas.microsoft.com/office/drawing/2014/main" id="{00000000-0008-0000-0400-0000E8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09" name="Line 208">
            <a:extLst>
              <a:ext uri="{FF2B5EF4-FFF2-40B4-BE49-F238E27FC236}">
                <a16:creationId xmlns:a16="http://schemas.microsoft.com/office/drawing/2014/main" id="{00000000-0008-0000-0400-0000E9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796" name="Group 209">
          <a:extLst>
            <a:ext uri="{FF2B5EF4-FFF2-40B4-BE49-F238E27FC236}">
              <a16:creationId xmlns:a16="http://schemas.microsoft.com/office/drawing/2014/main" id="{00000000-0008-0000-0400-0000DC711200}"/>
            </a:ext>
          </a:extLst>
        </xdr:cNvPr>
        <xdr:cNvGrpSpPr>
          <a:grpSpLocks/>
        </xdr:cNvGrpSpPr>
      </xdr:nvGrpSpPr>
      <xdr:grpSpPr bwMode="auto">
        <a:xfrm>
          <a:off x="9622971" y="1320800"/>
          <a:ext cx="0" cy="780143"/>
          <a:chOff x="632" y="220"/>
          <a:chExt cx="195" cy="136"/>
        </a:xfrm>
      </xdr:grpSpPr>
      <xdr:sp macro="" textlink="">
        <xdr:nvSpPr>
          <xdr:cNvPr id="1215196" name="Rectangle 210">
            <a:extLst>
              <a:ext uri="{FF2B5EF4-FFF2-40B4-BE49-F238E27FC236}">
                <a16:creationId xmlns:a16="http://schemas.microsoft.com/office/drawing/2014/main" id="{00000000-0008-0000-0400-0000DC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97" name="Rectangle 211">
            <a:extLst>
              <a:ext uri="{FF2B5EF4-FFF2-40B4-BE49-F238E27FC236}">
                <a16:creationId xmlns:a16="http://schemas.microsoft.com/office/drawing/2014/main" id="{00000000-0008-0000-0400-0000DD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98" name="Rectangle 212">
            <a:extLst>
              <a:ext uri="{FF2B5EF4-FFF2-40B4-BE49-F238E27FC236}">
                <a16:creationId xmlns:a16="http://schemas.microsoft.com/office/drawing/2014/main" id="{00000000-0008-0000-0400-0000DE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99" name="Rectangle 213">
            <a:extLst>
              <a:ext uri="{FF2B5EF4-FFF2-40B4-BE49-F238E27FC236}">
                <a16:creationId xmlns:a16="http://schemas.microsoft.com/office/drawing/2014/main" id="{00000000-0008-0000-0400-0000DF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00" name="Line 214">
            <a:extLst>
              <a:ext uri="{FF2B5EF4-FFF2-40B4-BE49-F238E27FC236}">
                <a16:creationId xmlns:a16="http://schemas.microsoft.com/office/drawing/2014/main" id="{00000000-0008-0000-0400-0000E0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01" name="Line 215">
            <a:extLst>
              <a:ext uri="{FF2B5EF4-FFF2-40B4-BE49-F238E27FC236}">
                <a16:creationId xmlns:a16="http://schemas.microsoft.com/office/drawing/2014/main" id="{00000000-0008-0000-0400-0000E1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02" name="Line 216">
            <a:extLst>
              <a:ext uri="{FF2B5EF4-FFF2-40B4-BE49-F238E27FC236}">
                <a16:creationId xmlns:a16="http://schemas.microsoft.com/office/drawing/2014/main" id="{00000000-0008-0000-0400-0000E2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797" name="Group 217">
          <a:extLst>
            <a:ext uri="{FF2B5EF4-FFF2-40B4-BE49-F238E27FC236}">
              <a16:creationId xmlns:a16="http://schemas.microsoft.com/office/drawing/2014/main" id="{00000000-0008-0000-0400-0000DD711200}"/>
            </a:ext>
          </a:extLst>
        </xdr:cNvPr>
        <xdr:cNvGrpSpPr>
          <a:grpSpLocks/>
        </xdr:cNvGrpSpPr>
      </xdr:nvGrpSpPr>
      <xdr:grpSpPr bwMode="auto">
        <a:xfrm>
          <a:off x="9622971" y="1320800"/>
          <a:ext cx="0" cy="780143"/>
          <a:chOff x="632" y="220"/>
          <a:chExt cx="195" cy="136"/>
        </a:xfrm>
      </xdr:grpSpPr>
      <xdr:sp macro="" textlink="">
        <xdr:nvSpPr>
          <xdr:cNvPr id="1215189" name="Rectangle 218">
            <a:extLst>
              <a:ext uri="{FF2B5EF4-FFF2-40B4-BE49-F238E27FC236}">
                <a16:creationId xmlns:a16="http://schemas.microsoft.com/office/drawing/2014/main" id="{00000000-0008-0000-0400-0000D5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90" name="Rectangle 219">
            <a:extLst>
              <a:ext uri="{FF2B5EF4-FFF2-40B4-BE49-F238E27FC236}">
                <a16:creationId xmlns:a16="http://schemas.microsoft.com/office/drawing/2014/main" id="{00000000-0008-0000-0400-0000D6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91" name="Rectangle 220">
            <a:extLst>
              <a:ext uri="{FF2B5EF4-FFF2-40B4-BE49-F238E27FC236}">
                <a16:creationId xmlns:a16="http://schemas.microsoft.com/office/drawing/2014/main" id="{00000000-0008-0000-0400-0000D7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92" name="Rectangle 221">
            <a:extLst>
              <a:ext uri="{FF2B5EF4-FFF2-40B4-BE49-F238E27FC236}">
                <a16:creationId xmlns:a16="http://schemas.microsoft.com/office/drawing/2014/main" id="{00000000-0008-0000-0400-0000D8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93" name="Line 222">
            <a:extLst>
              <a:ext uri="{FF2B5EF4-FFF2-40B4-BE49-F238E27FC236}">
                <a16:creationId xmlns:a16="http://schemas.microsoft.com/office/drawing/2014/main" id="{00000000-0008-0000-0400-0000D9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94" name="Line 223">
            <a:extLst>
              <a:ext uri="{FF2B5EF4-FFF2-40B4-BE49-F238E27FC236}">
                <a16:creationId xmlns:a16="http://schemas.microsoft.com/office/drawing/2014/main" id="{00000000-0008-0000-0400-0000DA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95" name="Line 224">
            <a:extLst>
              <a:ext uri="{FF2B5EF4-FFF2-40B4-BE49-F238E27FC236}">
                <a16:creationId xmlns:a16="http://schemas.microsoft.com/office/drawing/2014/main" id="{00000000-0008-0000-0400-0000DB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798" name="Group 225">
          <a:extLst>
            <a:ext uri="{FF2B5EF4-FFF2-40B4-BE49-F238E27FC236}">
              <a16:creationId xmlns:a16="http://schemas.microsoft.com/office/drawing/2014/main" id="{00000000-0008-0000-0400-0000DE711200}"/>
            </a:ext>
          </a:extLst>
        </xdr:cNvPr>
        <xdr:cNvGrpSpPr>
          <a:grpSpLocks/>
        </xdr:cNvGrpSpPr>
      </xdr:nvGrpSpPr>
      <xdr:grpSpPr bwMode="auto">
        <a:xfrm>
          <a:off x="9622971" y="1320800"/>
          <a:ext cx="0" cy="780143"/>
          <a:chOff x="632" y="220"/>
          <a:chExt cx="195" cy="136"/>
        </a:xfrm>
      </xdr:grpSpPr>
      <xdr:sp macro="" textlink="">
        <xdr:nvSpPr>
          <xdr:cNvPr id="1215182" name="Rectangle 226">
            <a:extLst>
              <a:ext uri="{FF2B5EF4-FFF2-40B4-BE49-F238E27FC236}">
                <a16:creationId xmlns:a16="http://schemas.microsoft.com/office/drawing/2014/main" id="{00000000-0008-0000-0400-0000CE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83" name="Rectangle 227">
            <a:extLst>
              <a:ext uri="{FF2B5EF4-FFF2-40B4-BE49-F238E27FC236}">
                <a16:creationId xmlns:a16="http://schemas.microsoft.com/office/drawing/2014/main" id="{00000000-0008-0000-0400-0000CF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84" name="Rectangle 228">
            <a:extLst>
              <a:ext uri="{FF2B5EF4-FFF2-40B4-BE49-F238E27FC236}">
                <a16:creationId xmlns:a16="http://schemas.microsoft.com/office/drawing/2014/main" id="{00000000-0008-0000-0400-0000D0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85" name="Rectangle 229">
            <a:extLst>
              <a:ext uri="{FF2B5EF4-FFF2-40B4-BE49-F238E27FC236}">
                <a16:creationId xmlns:a16="http://schemas.microsoft.com/office/drawing/2014/main" id="{00000000-0008-0000-0400-0000D1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86" name="Line 230">
            <a:extLst>
              <a:ext uri="{FF2B5EF4-FFF2-40B4-BE49-F238E27FC236}">
                <a16:creationId xmlns:a16="http://schemas.microsoft.com/office/drawing/2014/main" id="{00000000-0008-0000-0400-0000D2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87" name="Line 231">
            <a:extLst>
              <a:ext uri="{FF2B5EF4-FFF2-40B4-BE49-F238E27FC236}">
                <a16:creationId xmlns:a16="http://schemas.microsoft.com/office/drawing/2014/main" id="{00000000-0008-0000-0400-0000D3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88" name="Line 232">
            <a:extLst>
              <a:ext uri="{FF2B5EF4-FFF2-40B4-BE49-F238E27FC236}">
                <a16:creationId xmlns:a16="http://schemas.microsoft.com/office/drawing/2014/main" id="{00000000-0008-0000-0400-0000D4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799" name="Group 233">
          <a:extLst>
            <a:ext uri="{FF2B5EF4-FFF2-40B4-BE49-F238E27FC236}">
              <a16:creationId xmlns:a16="http://schemas.microsoft.com/office/drawing/2014/main" id="{00000000-0008-0000-0400-0000DF711200}"/>
            </a:ext>
          </a:extLst>
        </xdr:cNvPr>
        <xdr:cNvGrpSpPr>
          <a:grpSpLocks/>
        </xdr:cNvGrpSpPr>
      </xdr:nvGrpSpPr>
      <xdr:grpSpPr bwMode="auto">
        <a:xfrm>
          <a:off x="9622971" y="1320800"/>
          <a:ext cx="0" cy="780143"/>
          <a:chOff x="632" y="220"/>
          <a:chExt cx="195" cy="136"/>
        </a:xfrm>
      </xdr:grpSpPr>
      <xdr:sp macro="" textlink="">
        <xdr:nvSpPr>
          <xdr:cNvPr id="1215175" name="Rectangle 234">
            <a:extLst>
              <a:ext uri="{FF2B5EF4-FFF2-40B4-BE49-F238E27FC236}">
                <a16:creationId xmlns:a16="http://schemas.microsoft.com/office/drawing/2014/main" id="{00000000-0008-0000-0400-0000C7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76" name="Rectangle 235">
            <a:extLst>
              <a:ext uri="{FF2B5EF4-FFF2-40B4-BE49-F238E27FC236}">
                <a16:creationId xmlns:a16="http://schemas.microsoft.com/office/drawing/2014/main" id="{00000000-0008-0000-0400-0000C8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77" name="Rectangle 236">
            <a:extLst>
              <a:ext uri="{FF2B5EF4-FFF2-40B4-BE49-F238E27FC236}">
                <a16:creationId xmlns:a16="http://schemas.microsoft.com/office/drawing/2014/main" id="{00000000-0008-0000-0400-0000C9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78" name="Rectangle 237">
            <a:extLst>
              <a:ext uri="{FF2B5EF4-FFF2-40B4-BE49-F238E27FC236}">
                <a16:creationId xmlns:a16="http://schemas.microsoft.com/office/drawing/2014/main" id="{00000000-0008-0000-0400-0000CA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79" name="Line 238">
            <a:extLst>
              <a:ext uri="{FF2B5EF4-FFF2-40B4-BE49-F238E27FC236}">
                <a16:creationId xmlns:a16="http://schemas.microsoft.com/office/drawing/2014/main" id="{00000000-0008-0000-0400-0000CB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80" name="Line 239">
            <a:extLst>
              <a:ext uri="{FF2B5EF4-FFF2-40B4-BE49-F238E27FC236}">
                <a16:creationId xmlns:a16="http://schemas.microsoft.com/office/drawing/2014/main" id="{00000000-0008-0000-0400-0000CC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81" name="Line 240">
            <a:extLst>
              <a:ext uri="{FF2B5EF4-FFF2-40B4-BE49-F238E27FC236}">
                <a16:creationId xmlns:a16="http://schemas.microsoft.com/office/drawing/2014/main" id="{00000000-0008-0000-0400-0000CD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800" name="Group 241">
          <a:extLst>
            <a:ext uri="{FF2B5EF4-FFF2-40B4-BE49-F238E27FC236}">
              <a16:creationId xmlns:a16="http://schemas.microsoft.com/office/drawing/2014/main" id="{00000000-0008-0000-0400-0000E0711200}"/>
            </a:ext>
          </a:extLst>
        </xdr:cNvPr>
        <xdr:cNvGrpSpPr>
          <a:grpSpLocks/>
        </xdr:cNvGrpSpPr>
      </xdr:nvGrpSpPr>
      <xdr:grpSpPr bwMode="auto">
        <a:xfrm>
          <a:off x="9622971" y="1320800"/>
          <a:ext cx="0" cy="780143"/>
          <a:chOff x="632" y="220"/>
          <a:chExt cx="195" cy="136"/>
        </a:xfrm>
      </xdr:grpSpPr>
      <xdr:sp macro="" textlink="">
        <xdr:nvSpPr>
          <xdr:cNvPr id="1215168" name="Rectangle 242">
            <a:extLst>
              <a:ext uri="{FF2B5EF4-FFF2-40B4-BE49-F238E27FC236}">
                <a16:creationId xmlns:a16="http://schemas.microsoft.com/office/drawing/2014/main" id="{00000000-0008-0000-0400-0000C0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69" name="Rectangle 243">
            <a:extLst>
              <a:ext uri="{FF2B5EF4-FFF2-40B4-BE49-F238E27FC236}">
                <a16:creationId xmlns:a16="http://schemas.microsoft.com/office/drawing/2014/main" id="{00000000-0008-0000-0400-0000C1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70" name="Rectangle 244">
            <a:extLst>
              <a:ext uri="{FF2B5EF4-FFF2-40B4-BE49-F238E27FC236}">
                <a16:creationId xmlns:a16="http://schemas.microsoft.com/office/drawing/2014/main" id="{00000000-0008-0000-0400-0000C2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71" name="Rectangle 245">
            <a:extLst>
              <a:ext uri="{FF2B5EF4-FFF2-40B4-BE49-F238E27FC236}">
                <a16:creationId xmlns:a16="http://schemas.microsoft.com/office/drawing/2014/main" id="{00000000-0008-0000-0400-0000C3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72" name="Line 246">
            <a:extLst>
              <a:ext uri="{FF2B5EF4-FFF2-40B4-BE49-F238E27FC236}">
                <a16:creationId xmlns:a16="http://schemas.microsoft.com/office/drawing/2014/main" id="{00000000-0008-0000-0400-0000C4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73" name="Line 247">
            <a:extLst>
              <a:ext uri="{FF2B5EF4-FFF2-40B4-BE49-F238E27FC236}">
                <a16:creationId xmlns:a16="http://schemas.microsoft.com/office/drawing/2014/main" id="{00000000-0008-0000-0400-0000C5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74" name="Line 248">
            <a:extLst>
              <a:ext uri="{FF2B5EF4-FFF2-40B4-BE49-F238E27FC236}">
                <a16:creationId xmlns:a16="http://schemas.microsoft.com/office/drawing/2014/main" id="{00000000-0008-0000-0400-0000C6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801" name="Group 249">
          <a:extLst>
            <a:ext uri="{FF2B5EF4-FFF2-40B4-BE49-F238E27FC236}">
              <a16:creationId xmlns:a16="http://schemas.microsoft.com/office/drawing/2014/main" id="{00000000-0008-0000-0400-0000E1711200}"/>
            </a:ext>
          </a:extLst>
        </xdr:cNvPr>
        <xdr:cNvGrpSpPr>
          <a:grpSpLocks/>
        </xdr:cNvGrpSpPr>
      </xdr:nvGrpSpPr>
      <xdr:grpSpPr bwMode="auto">
        <a:xfrm>
          <a:off x="9622971" y="1320800"/>
          <a:ext cx="0" cy="780143"/>
          <a:chOff x="632" y="220"/>
          <a:chExt cx="195" cy="136"/>
        </a:xfrm>
      </xdr:grpSpPr>
      <xdr:sp macro="" textlink="">
        <xdr:nvSpPr>
          <xdr:cNvPr id="1215161" name="Rectangle 250">
            <a:extLst>
              <a:ext uri="{FF2B5EF4-FFF2-40B4-BE49-F238E27FC236}">
                <a16:creationId xmlns:a16="http://schemas.microsoft.com/office/drawing/2014/main" id="{00000000-0008-0000-0400-0000B9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62" name="Rectangle 251">
            <a:extLst>
              <a:ext uri="{FF2B5EF4-FFF2-40B4-BE49-F238E27FC236}">
                <a16:creationId xmlns:a16="http://schemas.microsoft.com/office/drawing/2014/main" id="{00000000-0008-0000-0400-0000BA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63" name="Rectangle 252">
            <a:extLst>
              <a:ext uri="{FF2B5EF4-FFF2-40B4-BE49-F238E27FC236}">
                <a16:creationId xmlns:a16="http://schemas.microsoft.com/office/drawing/2014/main" id="{00000000-0008-0000-0400-0000BB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64" name="Rectangle 253">
            <a:extLst>
              <a:ext uri="{FF2B5EF4-FFF2-40B4-BE49-F238E27FC236}">
                <a16:creationId xmlns:a16="http://schemas.microsoft.com/office/drawing/2014/main" id="{00000000-0008-0000-0400-0000BC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65" name="Line 254">
            <a:extLst>
              <a:ext uri="{FF2B5EF4-FFF2-40B4-BE49-F238E27FC236}">
                <a16:creationId xmlns:a16="http://schemas.microsoft.com/office/drawing/2014/main" id="{00000000-0008-0000-0400-0000BD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66" name="Line 255">
            <a:extLst>
              <a:ext uri="{FF2B5EF4-FFF2-40B4-BE49-F238E27FC236}">
                <a16:creationId xmlns:a16="http://schemas.microsoft.com/office/drawing/2014/main" id="{00000000-0008-0000-0400-0000BE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67" name="Line 256">
            <a:extLst>
              <a:ext uri="{FF2B5EF4-FFF2-40B4-BE49-F238E27FC236}">
                <a16:creationId xmlns:a16="http://schemas.microsoft.com/office/drawing/2014/main" id="{00000000-0008-0000-0400-0000BF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802" name="Group 257">
          <a:extLst>
            <a:ext uri="{FF2B5EF4-FFF2-40B4-BE49-F238E27FC236}">
              <a16:creationId xmlns:a16="http://schemas.microsoft.com/office/drawing/2014/main" id="{00000000-0008-0000-0400-0000E2711200}"/>
            </a:ext>
          </a:extLst>
        </xdr:cNvPr>
        <xdr:cNvGrpSpPr>
          <a:grpSpLocks/>
        </xdr:cNvGrpSpPr>
      </xdr:nvGrpSpPr>
      <xdr:grpSpPr bwMode="auto">
        <a:xfrm>
          <a:off x="9622971" y="1320800"/>
          <a:ext cx="0" cy="780143"/>
          <a:chOff x="632" y="220"/>
          <a:chExt cx="195" cy="136"/>
        </a:xfrm>
      </xdr:grpSpPr>
      <xdr:sp macro="" textlink="">
        <xdr:nvSpPr>
          <xdr:cNvPr id="1215154" name="Rectangle 258">
            <a:extLst>
              <a:ext uri="{FF2B5EF4-FFF2-40B4-BE49-F238E27FC236}">
                <a16:creationId xmlns:a16="http://schemas.microsoft.com/office/drawing/2014/main" id="{00000000-0008-0000-0400-0000B2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55" name="Rectangle 259">
            <a:extLst>
              <a:ext uri="{FF2B5EF4-FFF2-40B4-BE49-F238E27FC236}">
                <a16:creationId xmlns:a16="http://schemas.microsoft.com/office/drawing/2014/main" id="{00000000-0008-0000-0400-0000B3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56" name="Rectangle 260">
            <a:extLst>
              <a:ext uri="{FF2B5EF4-FFF2-40B4-BE49-F238E27FC236}">
                <a16:creationId xmlns:a16="http://schemas.microsoft.com/office/drawing/2014/main" id="{00000000-0008-0000-0400-0000B4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57" name="Rectangle 261">
            <a:extLst>
              <a:ext uri="{FF2B5EF4-FFF2-40B4-BE49-F238E27FC236}">
                <a16:creationId xmlns:a16="http://schemas.microsoft.com/office/drawing/2014/main" id="{00000000-0008-0000-0400-0000B5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58" name="Line 262">
            <a:extLst>
              <a:ext uri="{FF2B5EF4-FFF2-40B4-BE49-F238E27FC236}">
                <a16:creationId xmlns:a16="http://schemas.microsoft.com/office/drawing/2014/main" id="{00000000-0008-0000-0400-0000B6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59" name="Line 263">
            <a:extLst>
              <a:ext uri="{FF2B5EF4-FFF2-40B4-BE49-F238E27FC236}">
                <a16:creationId xmlns:a16="http://schemas.microsoft.com/office/drawing/2014/main" id="{00000000-0008-0000-0400-0000B7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60" name="Line 264">
            <a:extLst>
              <a:ext uri="{FF2B5EF4-FFF2-40B4-BE49-F238E27FC236}">
                <a16:creationId xmlns:a16="http://schemas.microsoft.com/office/drawing/2014/main" id="{00000000-0008-0000-0400-0000B8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803" name="Group 265">
          <a:extLst>
            <a:ext uri="{FF2B5EF4-FFF2-40B4-BE49-F238E27FC236}">
              <a16:creationId xmlns:a16="http://schemas.microsoft.com/office/drawing/2014/main" id="{00000000-0008-0000-0400-0000E3711200}"/>
            </a:ext>
          </a:extLst>
        </xdr:cNvPr>
        <xdr:cNvGrpSpPr>
          <a:grpSpLocks/>
        </xdr:cNvGrpSpPr>
      </xdr:nvGrpSpPr>
      <xdr:grpSpPr bwMode="auto">
        <a:xfrm>
          <a:off x="9622971" y="1320800"/>
          <a:ext cx="0" cy="780143"/>
          <a:chOff x="632" y="220"/>
          <a:chExt cx="195" cy="136"/>
        </a:xfrm>
      </xdr:grpSpPr>
      <xdr:sp macro="" textlink="">
        <xdr:nvSpPr>
          <xdr:cNvPr id="1215147" name="Rectangle 266">
            <a:extLst>
              <a:ext uri="{FF2B5EF4-FFF2-40B4-BE49-F238E27FC236}">
                <a16:creationId xmlns:a16="http://schemas.microsoft.com/office/drawing/2014/main" id="{00000000-0008-0000-0400-0000AB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48" name="Rectangle 267">
            <a:extLst>
              <a:ext uri="{FF2B5EF4-FFF2-40B4-BE49-F238E27FC236}">
                <a16:creationId xmlns:a16="http://schemas.microsoft.com/office/drawing/2014/main" id="{00000000-0008-0000-0400-0000AC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49" name="Rectangle 268">
            <a:extLst>
              <a:ext uri="{FF2B5EF4-FFF2-40B4-BE49-F238E27FC236}">
                <a16:creationId xmlns:a16="http://schemas.microsoft.com/office/drawing/2014/main" id="{00000000-0008-0000-0400-0000AD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50" name="Rectangle 269">
            <a:extLst>
              <a:ext uri="{FF2B5EF4-FFF2-40B4-BE49-F238E27FC236}">
                <a16:creationId xmlns:a16="http://schemas.microsoft.com/office/drawing/2014/main" id="{00000000-0008-0000-0400-0000AE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51" name="Line 270">
            <a:extLst>
              <a:ext uri="{FF2B5EF4-FFF2-40B4-BE49-F238E27FC236}">
                <a16:creationId xmlns:a16="http://schemas.microsoft.com/office/drawing/2014/main" id="{00000000-0008-0000-0400-0000AF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52" name="Line 271">
            <a:extLst>
              <a:ext uri="{FF2B5EF4-FFF2-40B4-BE49-F238E27FC236}">
                <a16:creationId xmlns:a16="http://schemas.microsoft.com/office/drawing/2014/main" id="{00000000-0008-0000-0400-0000B0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53" name="Line 272">
            <a:extLst>
              <a:ext uri="{FF2B5EF4-FFF2-40B4-BE49-F238E27FC236}">
                <a16:creationId xmlns:a16="http://schemas.microsoft.com/office/drawing/2014/main" id="{00000000-0008-0000-0400-0000B1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804" name="Group 273">
          <a:extLst>
            <a:ext uri="{FF2B5EF4-FFF2-40B4-BE49-F238E27FC236}">
              <a16:creationId xmlns:a16="http://schemas.microsoft.com/office/drawing/2014/main" id="{00000000-0008-0000-0400-0000E4711200}"/>
            </a:ext>
          </a:extLst>
        </xdr:cNvPr>
        <xdr:cNvGrpSpPr>
          <a:grpSpLocks/>
        </xdr:cNvGrpSpPr>
      </xdr:nvGrpSpPr>
      <xdr:grpSpPr bwMode="auto">
        <a:xfrm>
          <a:off x="9622971" y="1320800"/>
          <a:ext cx="0" cy="780143"/>
          <a:chOff x="632" y="220"/>
          <a:chExt cx="195" cy="136"/>
        </a:xfrm>
      </xdr:grpSpPr>
      <xdr:sp macro="" textlink="">
        <xdr:nvSpPr>
          <xdr:cNvPr id="1215140" name="Rectangle 274">
            <a:extLst>
              <a:ext uri="{FF2B5EF4-FFF2-40B4-BE49-F238E27FC236}">
                <a16:creationId xmlns:a16="http://schemas.microsoft.com/office/drawing/2014/main" id="{00000000-0008-0000-0400-0000A4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41" name="Rectangle 275">
            <a:extLst>
              <a:ext uri="{FF2B5EF4-FFF2-40B4-BE49-F238E27FC236}">
                <a16:creationId xmlns:a16="http://schemas.microsoft.com/office/drawing/2014/main" id="{00000000-0008-0000-0400-0000A5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42" name="Rectangle 276">
            <a:extLst>
              <a:ext uri="{FF2B5EF4-FFF2-40B4-BE49-F238E27FC236}">
                <a16:creationId xmlns:a16="http://schemas.microsoft.com/office/drawing/2014/main" id="{00000000-0008-0000-0400-0000A6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43" name="Rectangle 277">
            <a:extLst>
              <a:ext uri="{FF2B5EF4-FFF2-40B4-BE49-F238E27FC236}">
                <a16:creationId xmlns:a16="http://schemas.microsoft.com/office/drawing/2014/main" id="{00000000-0008-0000-0400-0000A7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44" name="Line 278">
            <a:extLst>
              <a:ext uri="{FF2B5EF4-FFF2-40B4-BE49-F238E27FC236}">
                <a16:creationId xmlns:a16="http://schemas.microsoft.com/office/drawing/2014/main" id="{00000000-0008-0000-0400-0000A8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45" name="Line 279">
            <a:extLst>
              <a:ext uri="{FF2B5EF4-FFF2-40B4-BE49-F238E27FC236}">
                <a16:creationId xmlns:a16="http://schemas.microsoft.com/office/drawing/2014/main" id="{00000000-0008-0000-0400-0000A9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46" name="Line 280">
            <a:extLst>
              <a:ext uri="{FF2B5EF4-FFF2-40B4-BE49-F238E27FC236}">
                <a16:creationId xmlns:a16="http://schemas.microsoft.com/office/drawing/2014/main" id="{00000000-0008-0000-0400-0000AA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805" name="Group 281">
          <a:extLst>
            <a:ext uri="{FF2B5EF4-FFF2-40B4-BE49-F238E27FC236}">
              <a16:creationId xmlns:a16="http://schemas.microsoft.com/office/drawing/2014/main" id="{00000000-0008-0000-0400-0000E5711200}"/>
            </a:ext>
          </a:extLst>
        </xdr:cNvPr>
        <xdr:cNvGrpSpPr>
          <a:grpSpLocks/>
        </xdr:cNvGrpSpPr>
      </xdr:nvGrpSpPr>
      <xdr:grpSpPr bwMode="auto">
        <a:xfrm>
          <a:off x="9622971" y="1320800"/>
          <a:ext cx="0" cy="780143"/>
          <a:chOff x="632" y="220"/>
          <a:chExt cx="195" cy="136"/>
        </a:xfrm>
      </xdr:grpSpPr>
      <xdr:sp macro="" textlink="">
        <xdr:nvSpPr>
          <xdr:cNvPr id="1215133" name="Rectangle 282">
            <a:extLst>
              <a:ext uri="{FF2B5EF4-FFF2-40B4-BE49-F238E27FC236}">
                <a16:creationId xmlns:a16="http://schemas.microsoft.com/office/drawing/2014/main" id="{00000000-0008-0000-0400-00009D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34" name="Rectangle 283">
            <a:extLst>
              <a:ext uri="{FF2B5EF4-FFF2-40B4-BE49-F238E27FC236}">
                <a16:creationId xmlns:a16="http://schemas.microsoft.com/office/drawing/2014/main" id="{00000000-0008-0000-0400-00009E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35" name="Rectangle 284">
            <a:extLst>
              <a:ext uri="{FF2B5EF4-FFF2-40B4-BE49-F238E27FC236}">
                <a16:creationId xmlns:a16="http://schemas.microsoft.com/office/drawing/2014/main" id="{00000000-0008-0000-0400-00009F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36" name="Rectangle 285">
            <a:extLst>
              <a:ext uri="{FF2B5EF4-FFF2-40B4-BE49-F238E27FC236}">
                <a16:creationId xmlns:a16="http://schemas.microsoft.com/office/drawing/2014/main" id="{00000000-0008-0000-0400-0000A0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37" name="Line 286">
            <a:extLst>
              <a:ext uri="{FF2B5EF4-FFF2-40B4-BE49-F238E27FC236}">
                <a16:creationId xmlns:a16="http://schemas.microsoft.com/office/drawing/2014/main" id="{00000000-0008-0000-0400-0000A1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38" name="Line 287">
            <a:extLst>
              <a:ext uri="{FF2B5EF4-FFF2-40B4-BE49-F238E27FC236}">
                <a16:creationId xmlns:a16="http://schemas.microsoft.com/office/drawing/2014/main" id="{00000000-0008-0000-0400-0000A2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39" name="Line 288">
            <a:extLst>
              <a:ext uri="{FF2B5EF4-FFF2-40B4-BE49-F238E27FC236}">
                <a16:creationId xmlns:a16="http://schemas.microsoft.com/office/drawing/2014/main" id="{00000000-0008-0000-0400-0000A3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806" name="Group 289">
          <a:extLst>
            <a:ext uri="{FF2B5EF4-FFF2-40B4-BE49-F238E27FC236}">
              <a16:creationId xmlns:a16="http://schemas.microsoft.com/office/drawing/2014/main" id="{00000000-0008-0000-0400-0000E6711200}"/>
            </a:ext>
          </a:extLst>
        </xdr:cNvPr>
        <xdr:cNvGrpSpPr>
          <a:grpSpLocks/>
        </xdr:cNvGrpSpPr>
      </xdr:nvGrpSpPr>
      <xdr:grpSpPr bwMode="auto">
        <a:xfrm>
          <a:off x="9622971" y="1320800"/>
          <a:ext cx="0" cy="780143"/>
          <a:chOff x="632" y="220"/>
          <a:chExt cx="195" cy="136"/>
        </a:xfrm>
      </xdr:grpSpPr>
      <xdr:sp macro="" textlink="">
        <xdr:nvSpPr>
          <xdr:cNvPr id="1215126" name="Rectangle 290">
            <a:extLst>
              <a:ext uri="{FF2B5EF4-FFF2-40B4-BE49-F238E27FC236}">
                <a16:creationId xmlns:a16="http://schemas.microsoft.com/office/drawing/2014/main" id="{00000000-0008-0000-0400-000096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27" name="Rectangle 291">
            <a:extLst>
              <a:ext uri="{FF2B5EF4-FFF2-40B4-BE49-F238E27FC236}">
                <a16:creationId xmlns:a16="http://schemas.microsoft.com/office/drawing/2014/main" id="{00000000-0008-0000-0400-000097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28" name="Rectangle 292">
            <a:extLst>
              <a:ext uri="{FF2B5EF4-FFF2-40B4-BE49-F238E27FC236}">
                <a16:creationId xmlns:a16="http://schemas.microsoft.com/office/drawing/2014/main" id="{00000000-0008-0000-0400-000098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29" name="Rectangle 293">
            <a:extLst>
              <a:ext uri="{FF2B5EF4-FFF2-40B4-BE49-F238E27FC236}">
                <a16:creationId xmlns:a16="http://schemas.microsoft.com/office/drawing/2014/main" id="{00000000-0008-0000-0400-000099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30" name="Line 294">
            <a:extLst>
              <a:ext uri="{FF2B5EF4-FFF2-40B4-BE49-F238E27FC236}">
                <a16:creationId xmlns:a16="http://schemas.microsoft.com/office/drawing/2014/main" id="{00000000-0008-0000-0400-00009A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31" name="Line 295">
            <a:extLst>
              <a:ext uri="{FF2B5EF4-FFF2-40B4-BE49-F238E27FC236}">
                <a16:creationId xmlns:a16="http://schemas.microsoft.com/office/drawing/2014/main" id="{00000000-0008-0000-0400-00009B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32" name="Line 296">
            <a:extLst>
              <a:ext uri="{FF2B5EF4-FFF2-40B4-BE49-F238E27FC236}">
                <a16:creationId xmlns:a16="http://schemas.microsoft.com/office/drawing/2014/main" id="{00000000-0008-0000-0400-00009C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807" name="Group 297">
          <a:extLst>
            <a:ext uri="{FF2B5EF4-FFF2-40B4-BE49-F238E27FC236}">
              <a16:creationId xmlns:a16="http://schemas.microsoft.com/office/drawing/2014/main" id="{00000000-0008-0000-0400-0000E7711200}"/>
            </a:ext>
          </a:extLst>
        </xdr:cNvPr>
        <xdr:cNvGrpSpPr>
          <a:grpSpLocks/>
        </xdr:cNvGrpSpPr>
      </xdr:nvGrpSpPr>
      <xdr:grpSpPr bwMode="auto">
        <a:xfrm>
          <a:off x="9622971" y="1320800"/>
          <a:ext cx="0" cy="780143"/>
          <a:chOff x="632" y="220"/>
          <a:chExt cx="195" cy="136"/>
        </a:xfrm>
      </xdr:grpSpPr>
      <xdr:sp macro="" textlink="">
        <xdr:nvSpPr>
          <xdr:cNvPr id="1215119" name="Rectangle 298">
            <a:extLst>
              <a:ext uri="{FF2B5EF4-FFF2-40B4-BE49-F238E27FC236}">
                <a16:creationId xmlns:a16="http://schemas.microsoft.com/office/drawing/2014/main" id="{00000000-0008-0000-0400-00008F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20" name="Rectangle 299">
            <a:extLst>
              <a:ext uri="{FF2B5EF4-FFF2-40B4-BE49-F238E27FC236}">
                <a16:creationId xmlns:a16="http://schemas.microsoft.com/office/drawing/2014/main" id="{00000000-0008-0000-0400-000090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21" name="Rectangle 300">
            <a:extLst>
              <a:ext uri="{FF2B5EF4-FFF2-40B4-BE49-F238E27FC236}">
                <a16:creationId xmlns:a16="http://schemas.microsoft.com/office/drawing/2014/main" id="{00000000-0008-0000-0400-000091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22" name="Rectangle 301">
            <a:extLst>
              <a:ext uri="{FF2B5EF4-FFF2-40B4-BE49-F238E27FC236}">
                <a16:creationId xmlns:a16="http://schemas.microsoft.com/office/drawing/2014/main" id="{00000000-0008-0000-0400-000092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23" name="Line 302">
            <a:extLst>
              <a:ext uri="{FF2B5EF4-FFF2-40B4-BE49-F238E27FC236}">
                <a16:creationId xmlns:a16="http://schemas.microsoft.com/office/drawing/2014/main" id="{00000000-0008-0000-0400-000093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24" name="Line 303">
            <a:extLst>
              <a:ext uri="{FF2B5EF4-FFF2-40B4-BE49-F238E27FC236}">
                <a16:creationId xmlns:a16="http://schemas.microsoft.com/office/drawing/2014/main" id="{00000000-0008-0000-0400-000094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25" name="Line 304">
            <a:extLst>
              <a:ext uri="{FF2B5EF4-FFF2-40B4-BE49-F238E27FC236}">
                <a16:creationId xmlns:a16="http://schemas.microsoft.com/office/drawing/2014/main" id="{00000000-0008-0000-0400-000095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808" name="Group 305">
          <a:extLst>
            <a:ext uri="{FF2B5EF4-FFF2-40B4-BE49-F238E27FC236}">
              <a16:creationId xmlns:a16="http://schemas.microsoft.com/office/drawing/2014/main" id="{00000000-0008-0000-0400-0000E8711200}"/>
            </a:ext>
          </a:extLst>
        </xdr:cNvPr>
        <xdr:cNvGrpSpPr>
          <a:grpSpLocks/>
        </xdr:cNvGrpSpPr>
      </xdr:nvGrpSpPr>
      <xdr:grpSpPr bwMode="auto">
        <a:xfrm>
          <a:off x="9622971" y="1320800"/>
          <a:ext cx="0" cy="780143"/>
          <a:chOff x="632" y="220"/>
          <a:chExt cx="195" cy="136"/>
        </a:xfrm>
      </xdr:grpSpPr>
      <xdr:sp macro="" textlink="">
        <xdr:nvSpPr>
          <xdr:cNvPr id="1215112" name="Rectangle 306">
            <a:extLst>
              <a:ext uri="{FF2B5EF4-FFF2-40B4-BE49-F238E27FC236}">
                <a16:creationId xmlns:a16="http://schemas.microsoft.com/office/drawing/2014/main" id="{00000000-0008-0000-0400-000088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13" name="Rectangle 307">
            <a:extLst>
              <a:ext uri="{FF2B5EF4-FFF2-40B4-BE49-F238E27FC236}">
                <a16:creationId xmlns:a16="http://schemas.microsoft.com/office/drawing/2014/main" id="{00000000-0008-0000-0400-000089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14" name="Rectangle 308">
            <a:extLst>
              <a:ext uri="{FF2B5EF4-FFF2-40B4-BE49-F238E27FC236}">
                <a16:creationId xmlns:a16="http://schemas.microsoft.com/office/drawing/2014/main" id="{00000000-0008-0000-0400-00008A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15" name="Rectangle 309">
            <a:extLst>
              <a:ext uri="{FF2B5EF4-FFF2-40B4-BE49-F238E27FC236}">
                <a16:creationId xmlns:a16="http://schemas.microsoft.com/office/drawing/2014/main" id="{00000000-0008-0000-0400-00008B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16" name="Line 310">
            <a:extLst>
              <a:ext uri="{FF2B5EF4-FFF2-40B4-BE49-F238E27FC236}">
                <a16:creationId xmlns:a16="http://schemas.microsoft.com/office/drawing/2014/main" id="{00000000-0008-0000-0400-00008C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17" name="Line 311">
            <a:extLst>
              <a:ext uri="{FF2B5EF4-FFF2-40B4-BE49-F238E27FC236}">
                <a16:creationId xmlns:a16="http://schemas.microsoft.com/office/drawing/2014/main" id="{00000000-0008-0000-0400-00008D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18" name="Line 312">
            <a:extLst>
              <a:ext uri="{FF2B5EF4-FFF2-40B4-BE49-F238E27FC236}">
                <a16:creationId xmlns:a16="http://schemas.microsoft.com/office/drawing/2014/main" id="{00000000-0008-0000-0400-00008E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809" name="Group 313">
          <a:extLst>
            <a:ext uri="{FF2B5EF4-FFF2-40B4-BE49-F238E27FC236}">
              <a16:creationId xmlns:a16="http://schemas.microsoft.com/office/drawing/2014/main" id="{00000000-0008-0000-0400-0000E9711200}"/>
            </a:ext>
          </a:extLst>
        </xdr:cNvPr>
        <xdr:cNvGrpSpPr>
          <a:grpSpLocks/>
        </xdr:cNvGrpSpPr>
      </xdr:nvGrpSpPr>
      <xdr:grpSpPr bwMode="auto">
        <a:xfrm>
          <a:off x="9622971" y="1320800"/>
          <a:ext cx="0" cy="780143"/>
          <a:chOff x="632" y="220"/>
          <a:chExt cx="195" cy="136"/>
        </a:xfrm>
      </xdr:grpSpPr>
      <xdr:sp macro="" textlink="">
        <xdr:nvSpPr>
          <xdr:cNvPr id="1215105" name="Rectangle 314">
            <a:extLst>
              <a:ext uri="{FF2B5EF4-FFF2-40B4-BE49-F238E27FC236}">
                <a16:creationId xmlns:a16="http://schemas.microsoft.com/office/drawing/2014/main" id="{00000000-0008-0000-0400-000081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06" name="Rectangle 315">
            <a:extLst>
              <a:ext uri="{FF2B5EF4-FFF2-40B4-BE49-F238E27FC236}">
                <a16:creationId xmlns:a16="http://schemas.microsoft.com/office/drawing/2014/main" id="{00000000-0008-0000-0400-000082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07" name="Rectangle 316">
            <a:extLst>
              <a:ext uri="{FF2B5EF4-FFF2-40B4-BE49-F238E27FC236}">
                <a16:creationId xmlns:a16="http://schemas.microsoft.com/office/drawing/2014/main" id="{00000000-0008-0000-0400-000083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08" name="Rectangle 317">
            <a:extLst>
              <a:ext uri="{FF2B5EF4-FFF2-40B4-BE49-F238E27FC236}">
                <a16:creationId xmlns:a16="http://schemas.microsoft.com/office/drawing/2014/main" id="{00000000-0008-0000-0400-000084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09" name="Line 318">
            <a:extLst>
              <a:ext uri="{FF2B5EF4-FFF2-40B4-BE49-F238E27FC236}">
                <a16:creationId xmlns:a16="http://schemas.microsoft.com/office/drawing/2014/main" id="{00000000-0008-0000-0400-000085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10" name="Line 319">
            <a:extLst>
              <a:ext uri="{FF2B5EF4-FFF2-40B4-BE49-F238E27FC236}">
                <a16:creationId xmlns:a16="http://schemas.microsoft.com/office/drawing/2014/main" id="{00000000-0008-0000-0400-000086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11" name="Line 320">
            <a:extLst>
              <a:ext uri="{FF2B5EF4-FFF2-40B4-BE49-F238E27FC236}">
                <a16:creationId xmlns:a16="http://schemas.microsoft.com/office/drawing/2014/main" id="{00000000-0008-0000-0400-000087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810" name="Group 321">
          <a:extLst>
            <a:ext uri="{FF2B5EF4-FFF2-40B4-BE49-F238E27FC236}">
              <a16:creationId xmlns:a16="http://schemas.microsoft.com/office/drawing/2014/main" id="{00000000-0008-0000-0400-0000EA711200}"/>
            </a:ext>
          </a:extLst>
        </xdr:cNvPr>
        <xdr:cNvGrpSpPr>
          <a:grpSpLocks/>
        </xdr:cNvGrpSpPr>
      </xdr:nvGrpSpPr>
      <xdr:grpSpPr bwMode="auto">
        <a:xfrm>
          <a:off x="9622971" y="1320800"/>
          <a:ext cx="0" cy="780143"/>
          <a:chOff x="632" y="220"/>
          <a:chExt cx="195" cy="136"/>
        </a:xfrm>
      </xdr:grpSpPr>
      <xdr:sp macro="" textlink="">
        <xdr:nvSpPr>
          <xdr:cNvPr id="1215098" name="Rectangle 322">
            <a:extLst>
              <a:ext uri="{FF2B5EF4-FFF2-40B4-BE49-F238E27FC236}">
                <a16:creationId xmlns:a16="http://schemas.microsoft.com/office/drawing/2014/main" id="{00000000-0008-0000-0400-00007A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99" name="Rectangle 323">
            <a:extLst>
              <a:ext uri="{FF2B5EF4-FFF2-40B4-BE49-F238E27FC236}">
                <a16:creationId xmlns:a16="http://schemas.microsoft.com/office/drawing/2014/main" id="{00000000-0008-0000-0400-00007B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00" name="Rectangle 324">
            <a:extLst>
              <a:ext uri="{FF2B5EF4-FFF2-40B4-BE49-F238E27FC236}">
                <a16:creationId xmlns:a16="http://schemas.microsoft.com/office/drawing/2014/main" id="{00000000-0008-0000-0400-00007C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01" name="Rectangle 325">
            <a:extLst>
              <a:ext uri="{FF2B5EF4-FFF2-40B4-BE49-F238E27FC236}">
                <a16:creationId xmlns:a16="http://schemas.microsoft.com/office/drawing/2014/main" id="{00000000-0008-0000-0400-00007D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02" name="Line 326">
            <a:extLst>
              <a:ext uri="{FF2B5EF4-FFF2-40B4-BE49-F238E27FC236}">
                <a16:creationId xmlns:a16="http://schemas.microsoft.com/office/drawing/2014/main" id="{00000000-0008-0000-0400-00007E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03" name="Line 327">
            <a:extLst>
              <a:ext uri="{FF2B5EF4-FFF2-40B4-BE49-F238E27FC236}">
                <a16:creationId xmlns:a16="http://schemas.microsoft.com/office/drawing/2014/main" id="{00000000-0008-0000-0400-00007F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04" name="Line 328">
            <a:extLst>
              <a:ext uri="{FF2B5EF4-FFF2-40B4-BE49-F238E27FC236}">
                <a16:creationId xmlns:a16="http://schemas.microsoft.com/office/drawing/2014/main" id="{00000000-0008-0000-0400-000080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811" name="Group 329">
          <a:extLst>
            <a:ext uri="{FF2B5EF4-FFF2-40B4-BE49-F238E27FC236}">
              <a16:creationId xmlns:a16="http://schemas.microsoft.com/office/drawing/2014/main" id="{00000000-0008-0000-0400-0000EB711200}"/>
            </a:ext>
          </a:extLst>
        </xdr:cNvPr>
        <xdr:cNvGrpSpPr>
          <a:grpSpLocks/>
        </xdr:cNvGrpSpPr>
      </xdr:nvGrpSpPr>
      <xdr:grpSpPr bwMode="auto">
        <a:xfrm>
          <a:off x="9622971" y="1320800"/>
          <a:ext cx="0" cy="780143"/>
          <a:chOff x="632" y="220"/>
          <a:chExt cx="195" cy="136"/>
        </a:xfrm>
      </xdr:grpSpPr>
      <xdr:sp macro="" textlink="">
        <xdr:nvSpPr>
          <xdr:cNvPr id="1215091" name="Rectangle 330">
            <a:extLst>
              <a:ext uri="{FF2B5EF4-FFF2-40B4-BE49-F238E27FC236}">
                <a16:creationId xmlns:a16="http://schemas.microsoft.com/office/drawing/2014/main" id="{00000000-0008-0000-0400-000073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92" name="Rectangle 331">
            <a:extLst>
              <a:ext uri="{FF2B5EF4-FFF2-40B4-BE49-F238E27FC236}">
                <a16:creationId xmlns:a16="http://schemas.microsoft.com/office/drawing/2014/main" id="{00000000-0008-0000-0400-000074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93" name="Rectangle 332">
            <a:extLst>
              <a:ext uri="{FF2B5EF4-FFF2-40B4-BE49-F238E27FC236}">
                <a16:creationId xmlns:a16="http://schemas.microsoft.com/office/drawing/2014/main" id="{00000000-0008-0000-0400-000075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94" name="Rectangle 333">
            <a:extLst>
              <a:ext uri="{FF2B5EF4-FFF2-40B4-BE49-F238E27FC236}">
                <a16:creationId xmlns:a16="http://schemas.microsoft.com/office/drawing/2014/main" id="{00000000-0008-0000-0400-000076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95" name="Line 334">
            <a:extLst>
              <a:ext uri="{FF2B5EF4-FFF2-40B4-BE49-F238E27FC236}">
                <a16:creationId xmlns:a16="http://schemas.microsoft.com/office/drawing/2014/main" id="{00000000-0008-0000-0400-000077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96" name="Line 335">
            <a:extLst>
              <a:ext uri="{FF2B5EF4-FFF2-40B4-BE49-F238E27FC236}">
                <a16:creationId xmlns:a16="http://schemas.microsoft.com/office/drawing/2014/main" id="{00000000-0008-0000-0400-000078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97" name="Line 336">
            <a:extLst>
              <a:ext uri="{FF2B5EF4-FFF2-40B4-BE49-F238E27FC236}">
                <a16:creationId xmlns:a16="http://schemas.microsoft.com/office/drawing/2014/main" id="{00000000-0008-0000-0400-000079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812" name="Group 337">
          <a:extLst>
            <a:ext uri="{FF2B5EF4-FFF2-40B4-BE49-F238E27FC236}">
              <a16:creationId xmlns:a16="http://schemas.microsoft.com/office/drawing/2014/main" id="{00000000-0008-0000-0400-0000EC711200}"/>
            </a:ext>
          </a:extLst>
        </xdr:cNvPr>
        <xdr:cNvGrpSpPr>
          <a:grpSpLocks/>
        </xdr:cNvGrpSpPr>
      </xdr:nvGrpSpPr>
      <xdr:grpSpPr bwMode="auto">
        <a:xfrm>
          <a:off x="9622971" y="1320800"/>
          <a:ext cx="0" cy="780143"/>
          <a:chOff x="632" y="220"/>
          <a:chExt cx="195" cy="136"/>
        </a:xfrm>
      </xdr:grpSpPr>
      <xdr:sp macro="" textlink="">
        <xdr:nvSpPr>
          <xdr:cNvPr id="1215084" name="Rectangle 338">
            <a:extLst>
              <a:ext uri="{FF2B5EF4-FFF2-40B4-BE49-F238E27FC236}">
                <a16:creationId xmlns:a16="http://schemas.microsoft.com/office/drawing/2014/main" id="{00000000-0008-0000-0400-00006C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85" name="Rectangle 339">
            <a:extLst>
              <a:ext uri="{FF2B5EF4-FFF2-40B4-BE49-F238E27FC236}">
                <a16:creationId xmlns:a16="http://schemas.microsoft.com/office/drawing/2014/main" id="{00000000-0008-0000-0400-00006D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86" name="Rectangle 340">
            <a:extLst>
              <a:ext uri="{FF2B5EF4-FFF2-40B4-BE49-F238E27FC236}">
                <a16:creationId xmlns:a16="http://schemas.microsoft.com/office/drawing/2014/main" id="{00000000-0008-0000-0400-00006E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87" name="Rectangle 341">
            <a:extLst>
              <a:ext uri="{FF2B5EF4-FFF2-40B4-BE49-F238E27FC236}">
                <a16:creationId xmlns:a16="http://schemas.microsoft.com/office/drawing/2014/main" id="{00000000-0008-0000-0400-00006F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88" name="Line 342">
            <a:extLst>
              <a:ext uri="{FF2B5EF4-FFF2-40B4-BE49-F238E27FC236}">
                <a16:creationId xmlns:a16="http://schemas.microsoft.com/office/drawing/2014/main" id="{00000000-0008-0000-0400-000070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89" name="Line 343">
            <a:extLst>
              <a:ext uri="{FF2B5EF4-FFF2-40B4-BE49-F238E27FC236}">
                <a16:creationId xmlns:a16="http://schemas.microsoft.com/office/drawing/2014/main" id="{00000000-0008-0000-0400-000071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90" name="Line 344">
            <a:extLst>
              <a:ext uri="{FF2B5EF4-FFF2-40B4-BE49-F238E27FC236}">
                <a16:creationId xmlns:a16="http://schemas.microsoft.com/office/drawing/2014/main" id="{00000000-0008-0000-0400-000072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813" name="Group 345">
          <a:extLst>
            <a:ext uri="{FF2B5EF4-FFF2-40B4-BE49-F238E27FC236}">
              <a16:creationId xmlns:a16="http://schemas.microsoft.com/office/drawing/2014/main" id="{00000000-0008-0000-0400-0000ED711200}"/>
            </a:ext>
          </a:extLst>
        </xdr:cNvPr>
        <xdr:cNvGrpSpPr>
          <a:grpSpLocks/>
        </xdr:cNvGrpSpPr>
      </xdr:nvGrpSpPr>
      <xdr:grpSpPr bwMode="auto">
        <a:xfrm>
          <a:off x="9622971" y="1320800"/>
          <a:ext cx="0" cy="780143"/>
          <a:chOff x="632" y="220"/>
          <a:chExt cx="195" cy="136"/>
        </a:xfrm>
      </xdr:grpSpPr>
      <xdr:sp macro="" textlink="">
        <xdr:nvSpPr>
          <xdr:cNvPr id="1215077" name="Rectangle 346">
            <a:extLst>
              <a:ext uri="{FF2B5EF4-FFF2-40B4-BE49-F238E27FC236}">
                <a16:creationId xmlns:a16="http://schemas.microsoft.com/office/drawing/2014/main" id="{00000000-0008-0000-0400-000065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78" name="Rectangle 347">
            <a:extLst>
              <a:ext uri="{FF2B5EF4-FFF2-40B4-BE49-F238E27FC236}">
                <a16:creationId xmlns:a16="http://schemas.microsoft.com/office/drawing/2014/main" id="{00000000-0008-0000-0400-000066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79" name="Rectangle 348">
            <a:extLst>
              <a:ext uri="{FF2B5EF4-FFF2-40B4-BE49-F238E27FC236}">
                <a16:creationId xmlns:a16="http://schemas.microsoft.com/office/drawing/2014/main" id="{00000000-0008-0000-0400-000067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80" name="Rectangle 349">
            <a:extLst>
              <a:ext uri="{FF2B5EF4-FFF2-40B4-BE49-F238E27FC236}">
                <a16:creationId xmlns:a16="http://schemas.microsoft.com/office/drawing/2014/main" id="{00000000-0008-0000-0400-000068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81" name="Line 350">
            <a:extLst>
              <a:ext uri="{FF2B5EF4-FFF2-40B4-BE49-F238E27FC236}">
                <a16:creationId xmlns:a16="http://schemas.microsoft.com/office/drawing/2014/main" id="{00000000-0008-0000-0400-000069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82" name="Line 351">
            <a:extLst>
              <a:ext uri="{FF2B5EF4-FFF2-40B4-BE49-F238E27FC236}">
                <a16:creationId xmlns:a16="http://schemas.microsoft.com/office/drawing/2014/main" id="{00000000-0008-0000-0400-00006A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83" name="Line 352">
            <a:extLst>
              <a:ext uri="{FF2B5EF4-FFF2-40B4-BE49-F238E27FC236}">
                <a16:creationId xmlns:a16="http://schemas.microsoft.com/office/drawing/2014/main" id="{00000000-0008-0000-0400-00006B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3</xdr:col>
      <xdr:colOff>215900</xdr:colOff>
      <xdr:row>2</xdr:row>
      <xdr:rowOff>342900</xdr:rowOff>
    </xdr:from>
    <xdr:to>
      <xdr:col>3</xdr:col>
      <xdr:colOff>431800</xdr:colOff>
      <xdr:row>2</xdr:row>
      <xdr:rowOff>762000</xdr:rowOff>
    </xdr:to>
    <xdr:grpSp>
      <xdr:nvGrpSpPr>
        <xdr:cNvPr id="1208814" name="Group 365">
          <a:extLst>
            <a:ext uri="{FF2B5EF4-FFF2-40B4-BE49-F238E27FC236}">
              <a16:creationId xmlns:a16="http://schemas.microsoft.com/office/drawing/2014/main" id="{00000000-0008-0000-0400-0000EE711200}"/>
            </a:ext>
          </a:extLst>
        </xdr:cNvPr>
        <xdr:cNvGrpSpPr>
          <a:grpSpLocks/>
        </xdr:cNvGrpSpPr>
      </xdr:nvGrpSpPr>
      <xdr:grpSpPr bwMode="auto">
        <a:xfrm>
          <a:off x="3394529" y="1485900"/>
          <a:ext cx="215900" cy="419100"/>
          <a:chOff x="333" y="153"/>
          <a:chExt cx="219" cy="333"/>
        </a:xfrm>
      </xdr:grpSpPr>
      <xdr:sp macro="" textlink="">
        <xdr:nvSpPr>
          <xdr:cNvPr id="1215067" name="Rectangle 3">
            <a:extLst>
              <a:ext uri="{FF2B5EF4-FFF2-40B4-BE49-F238E27FC236}">
                <a16:creationId xmlns:a16="http://schemas.microsoft.com/office/drawing/2014/main" id="{00000000-0008-0000-0400-00005B8A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68" name="Line 355">
            <a:extLst>
              <a:ext uri="{FF2B5EF4-FFF2-40B4-BE49-F238E27FC236}">
                <a16:creationId xmlns:a16="http://schemas.microsoft.com/office/drawing/2014/main" id="{00000000-0008-0000-0400-00005C8A1200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69" name="Line 356">
            <a:extLst>
              <a:ext uri="{FF2B5EF4-FFF2-40B4-BE49-F238E27FC236}">
                <a16:creationId xmlns:a16="http://schemas.microsoft.com/office/drawing/2014/main" id="{00000000-0008-0000-0400-00005D8A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70" name="Rectangle 358">
            <a:extLst>
              <a:ext uri="{FF2B5EF4-FFF2-40B4-BE49-F238E27FC236}">
                <a16:creationId xmlns:a16="http://schemas.microsoft.com/office/drawing/2014/main" id="{00000000-0008-0000-0400-00005E8A1200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71" name="Oval 359">
            <a:extLst>
              <a:ext uri="{FF2B5EF4-FFF2-40B4-BE49-F238E27FC236}">
                <a16:creationId xmlns:a16="http://schemas.microsoft.com/office/drawing/2014/main" id="{00000000-0008-0000-0400-00005F8A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72" name="Oval 360">
            <a:extLst>
              <a:ext uri="{FF2B5EF4-FFF2-40B4-BE49-F238E27FC236}">
                <a16:creationId xmlns:a16="http://schemas.microsoft.com/office/drawing/2014/main" id="{00000000-0008-0000-0400-0000608A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73" name="Rectangle 361">
            <a:extLst>
              <a:ext uri="{FF2B5EF4-FFF2-40B4-BE49-F238E27FC236}">
                <a16:creationId xmlns:a16="http://schemas.microsoft.com/office/drawing/2014/main" id="{00000000-0008-0000-0400-0000618A1200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74" name="Rectangle 362">
            <a:extLst>
              <a:ext uri="{FF2B5EF4-FFF2-40B4-BE49-F238E27FC236}">
                <a16:creationId xmlns:a16="http://schemas.microsoft.com/office/drawing/2014/main" id="{00000000-0008-0000-0400-0000628A1200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75" name="Rectangle 363">
            <a:extLst>
              <a:ext uri="{FF2B5EF4-FFF2-40B4-BE49-F238E27FC236}">
                <a16:creationId xmlns:a16="http://schemas.microsoft.com/office/drawing/2014/main" id="{00000000-0008-0000-0400-0000638A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76" name="Rectangle 364">
            <a:extLst>
              <a:ext uri="{FF2B5EF4-FFF2-40B4-BE49-F238E27FC236}">
                <a16:creationId xmlns:a16="http://schemas.microsoft.com/office/drawing/2014/main" id="{00000000-0008-0000-0400-0000648A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4</xdr:col>
      <xdr:colOff>114300</xdr:colOff>
      <xdr:row>2</xdr:row>
      <xdr:rowOff>342900</xdr:rowOff>
    </xdr:from>
    <xdr:to>
      <xdr:col>4</xdr:col>
      <xdr:colOff>584200</xdr:colOff>
      <xdr:row>2</xdr:row>
      <xdr:rowOff>723900</xdr:rowOff>
    </xdr:to>
    <xdr:grpSp>
      <xdr:nvGrpSpPr>
        <xdr:cNvPr id="1208815" name="Group 388">
          <a:extLst>
            <a:ext uri="{FF2B5EF4-FFF2-40B4-BE49-F238E27FC236}">
              <a16:creationId xmlns:a16="http://schemas.microsoft.com/office/drawing/2014/main" id="{00000000-0008-0000-0400-0000EF711200}"/>
            </a:ext>
          </a:extLst>
        </xdr:cNvPr>
        <xdr:cNvGrpSpPr>
          <a:grpSpLocks/>
        </xdr:cNvGrpSpPr>
      </xdr:nvGrpSpPr>
      <xdr:grpSpPr bwMode="auto">
        <a:xfrm>
          <a:off x="3946071" y="1485900"/>
          <a:ext cx="469900" cy="381000"/>
          <a:chOff x="335" y="195"/>
          <a:chExt cx="352" cy="282"/>
        </a:xfrm>
      </xdr:grpSpPr>
      <xdr:grpSp>
        <xdr:nvGrpSpPr>
          <xdr:cNvPr id="1215045" name="Group 366">
            <a:extLst>
              <a:ext uri="{FF2B5EF4-FFF2-40B4-BE49-F238E27FC236}">
                <a16:creationId xmlns:a16="http://schemas.microsoft.com/office/drawing/2014/main" id="{00000000-0008-0000-0400-0000458A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5057" name="Rectangle 367">
              <a:extLst>
                <a:ext uri="{FF2B5EF4-FFF2-40B4-BE49-F238E27FC236}">
                  <a16:creationId xmlns:a16="http://schemas.microsoft.com/office/drawing/2014/main" id="{00000000-0008-0000-0400-000051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58" name="Line 368">
              <a:extLst>
                <a:ext uri="{FF2B5EF4-FFF2-40B4-BE49-F238E27FC236}">
                  <a16:creationId xmlns:a16="http://schemas.microsoft.com/office/drawing/2014/main" id="{00000000-0008-0000-0400-0000528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59" name="Line 369">
              <a:extLst>
                <a:ext uri="{FF2B5EF4-FFF2-40B4-BE49-F238E27FC236}">
                  <a16:creationId xmlns:a16="http://schemas.microsoft.com/office/drawing/2014/main" id="{00000000-0008-0000-0400-0000538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60" name="Rectangle 370">
              <a:extLst>
                <a:ext uri="{FF2B5EF4-FFF2-40B4-BE49-F238E27FC236}">
                  <a16:creationId xmlns:a16="http://schemas.microsoft.com/office/drawing/2014/main" id="{00000000-0008-0000-0400-000054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61" name="Oval 371">
              <a:extLst>
                <a:ext uri="{FF2B5EF4-FFF2-40B4-BE49-F238E27FC236}">
                  <a16:creationId xmlns:a16="http://schemas.microsoft.com/office/drawing/2014/main" id="{00000000-0008-0000-0400-000055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62" name="Oval 372">
              <a:extLst>
                <a:ext uri="{FF2B5EF4-FFF2-40B4-BE49-F238E27FC236}">
                  <a16:creationId xmlns:a16="http://schemas.microsoft.com/office/drawing/2014/main" id="{00000000-0008-0000-0400-000056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63" name="Rectangle 373">
              <a:extLst>
                <a:ext uri="{FF2B5EF4-FFF2-40B4-BE49-F238E27FC236}">
                  <a16:creationId xmlns:a16="http://schemas.microsoft.com/office/drawing/2014/main" id="{00000000-0008-0000-0400-000057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64" name="Rectangle 374">
              <a:extLst>
                <a:ext uri="{FF2B5EF4-FFF2-40B4-BE49-F238E27FC236}">
                  <a16:creationId xmlns:a16="http://schemas.microsoft.com/office/drawing/2014/main" id="{00000000-0008-0000-0400-000058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65" name="Rectangle 375">
              <a:extLst>
                <a:ext uri="{FF2B5EF4-FFF2-40B4-BE49-F238E27FC236}">
                  <a16:creationId xmlns:a16="http://schemas.microsoft.com/office/drawing/2014/main" id="{00000000-0008-0000-0400-000059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66" name="Rectangle 376">
              <a:extLst>
                <a:ext uri="{FF2B5EF4-FFF2-40B4-BE49-F238E27FC236}">
                  <a16:creationId xmlns:a16="http://schemas.microsoft.com/office/drawing/2014/main" id="{00000000-0008-0000-0400-00005A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5046" name="Group 377">
            <a:extLst>
              <a:ext uri="{FF2B5EF4-FFF2-40B4-BE49-F238E27FC236}">
                <a16:creationId xmlns:a16="http://schemas.microsoft.com/office/drawing/2014/main" id="{00000000-0008-0000-0400-0000468A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5047" name="Rectangle 378">
              <a:extLst>
                <a:ext uri="{FF2B5EF4-FFF2-40B4-BE49-F238E27FC236}">
                  <a16:creationId xmlns:a16="http://schemas.microsoft.com/office/drawing/2014/main" id="{00000000-0008-0000-0400-000047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48" name="Line 379">
              <a:extLst>
                <a:ext uri="{FF2B5EF4-FFF2-40B4-BE49-F238E27FC236}">
                  <a16:creationId xmlns:a16="http://schemas.microsoft.com/office/drawing/2014/main" id="{00000000-0008-0000-0400-0000488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49" name="Line 380">
              <a:extLst>
                <a:ext uri="{FF2B5EF4-FFF2-40B4-BE49-F238E27FC236}">
                  <a16:creationId xmlns:a16="http://schemas.microsoft.com/office/drawing/2014/main" id="{00000000-0008-0000-0400-0000498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50" name="Rectangle 381">
              <a:extLst>
                <a:ext uri="{FF2B5EF4-FFF2-40B4-BE49-F238E27FC236}">
                  <a16:creationId xmlns:a16="http://schemas.microsoft.com/office/drawing/2014/main" id="{00000000-0008-0000-0400-00004A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51" name="Oval 382">
              <a:extLst>
                <a:ext uri="{FF2B5EF4-FFF2-40B4-BE49-F238E27FC236}">
                  <a16:creationId xmlns:a16="http://schemas.microsoft.com/office/drawing/2014/main" id="{00000000-0008-0000-0400-00004B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52" name="Oval 383">
              <a:extLst>
                <a:ext uri="{FF2B5EF4-FFF2-40B4-BE49-F238E27FC236}">
                  <a16:creationId xmlns:a16="http://schemas.microsoft.com/office/drawing/2014/main" id="{00000000-0008-0000-0400-00004C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53" name="Rectangle 384">
              <a:extLst>
                <a:ext uri="{FF2B5EF4-FFF2-40B4-BE49-F238E27FC236}">
                  <a16:creationId xmlns:a16="http://schemas.microsoft.com/office/drawing/2014/main" id="{00000000-0008-0000-0400-00004D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54" name="Rectangle 385">
              <a:extLst>
                <a:ext uri="{FF2B5EF4-FFF2-40B4-BE49-F238E27FC236}">
                  <a16:creationId xmlns:a16="http://schemas.microsoft.com/office/drawing/2014/main" id="{00000000-0008-0000-0400-00004E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55" name="Rectangle 386">
              <a:extLst>
                <a:ext uri="{FF2B5EF4-FFF2-40B4-BE49-F238E27FC236}">
                  <a16:creationId xmlns:a16="http://schemas.microsoft.com/office/drawing/2014/main" id="{00000000-0008-0000-0400-00004F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56" name="Rectangle 387">
              <a:extLst>
                <a:ext uri="{FF2B5EF4-FFF2-40B4-BE49-F238E27FC236}">
                  <a16:creationId xmlns:a16="http://schemas.microsoft.com/office/drawing/2014/main" id="{00000000-0008-0000-0400-000050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11</xdr:col>
      <xdr:colOff>266700</xdr:colOff>
      <xdr:row>2</xdr:row>
      <xdr:rowOff>76200</xdr:rowOff>
    </xdr:from>
    <xdr:to>
      <xdr:col>11</xdr:col>
      <xdr:colOff>558800</xdr:colOff>
      <xdr:row>2</xdr:row>
      <xdr:rowOff>495300</xdr:rowOff>
    </xdr:to>
    <xdr:grpSp>
      <xdr:nvGrpSpPr>
        <xdr:cNvPr id="1208816" name="Group 449">
          <a:extLst>
            <a:ext uri="{FF2B5EF4-FFF2-40B4-BE49-F238E27FC236}">
              <a16:creationId xmlns:a16="http://schemas.microsoft.com/office/drawing/2014/main" id="{00000000-0008-0000-0400-0000F0711200}"/>
            </a:ext>
          </a:extLst>
        </xdr:cNvPr>
        <xdr:cNvGrpSpPr>
          <a:grpSpLocks/>
        </xdr:cNvGrpSpPr>
      </xdr:nvGrpSpPr>
      <xdr:grpSpPr bwMode="auto">
        <a:xfrm>
          <a:off x="8387443" y="1219200"/>
          <a:ext cx="292100" cy="419100"/>
          <a:chOff x="333" y="153"/>
          <a:chExt cx="219" cy="333"/>
        </a:xfrm>
      </xdr:grpSpPr>
      <xdr:sp macro="" textlink="">
        <xdr:nvSpPr>
          <xdr:cNvPr id="1215035" name="Rectangle 450">
            <a:extLst>
              <a:ext uri="{FF2B5EF4-FFF2-40B4-BE49-F238E27FC236}">
                <a16:creationId xmlns:a16="http://schemas.microsoft.com/office/drawing/2014/main" id="{00000000-0008-0000-0400-00003B8A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36" name="Line 451">
            <a:extLst>
              <a:ext uri="{FF2B5EF4-FFF2-40B4-BE49-F238E27FC236}">
                <a16:creationId xmlns:a16="http://schemas.microsoft.com/office/drawing/2014/main" id="{00000000-0008-0000-0400-00003C8A1200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37" name="Line 452">
            <a:extLst>
              <a:ext uri="{FF2B5EF4-FFF2-40B4-BE49-F238E27FC236}">
                <a16:creationId xmlns:a16="http://schemas.microsoft.com/office/drawing/2014/main" id="{00000000-0008-0000-0400-00003D8A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38" name="Rectangle 453">
            <a:extLst>
              <a:ext uri="{FF2B5EF4-FFF2-40B4-BE49-F238E27FC236}">
                <a16:creationId xmlns:a16="http://schemas.microsoft.com/office/drawing/2014/main" id="{00000000-0008-0000-0400-00003E8A1200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39" name="Oval 454">
            <a:extLst>
              <a:ext uri="{FF2B5EF4-FFF2-40B4-BE49-F238E27FC236}">
                <a16:creationId xmlns:a16="http://schemas.microsoft.com/office/drawing/2014/main" id="{00000000-0008-0000-0400-00003F8A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40" name="Oval 455">
            <a:extLst>
              <a:ext uri="{FF2B5EF4-FFF2-40B4-BE49-F238E27FC236}">
                <a16:creationId xmlns:a16="http://schemas.microsoft.com/office/drawing/2014/main" id="{00000000-0008-0000-0400-0000408A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41" name="Rectangle 456">
            <a:extLst>
              <a:ext uri="{FF2B5EF4-FFF2-40B4-BE49-F238E27FC236}">
                <a16:creationId xmlns:a16="http://schemas.microsoft.com/office/drawing/2014/main" id="{00000000-0008-0000-0400-0000418A1200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42" name="Rectangle 457">
            <a:extLst>
              <a:ext uri="{FF2B5EF4-FFF2-40B4-BE49-F238E27FC236}">
                <a16:creationId xmlns:a16="http://schemas.microsoft.com/office/drawing/2014/main" id="{00000000-0008-0000-0400-0000428A1200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43" name="Rectangle 458">
            <a:extLst>
              <a:ext uri="{FF2B5EF4-FFF2-40B4-BE49-F238E27FC236}">
                <a16:creationId xmlns:a16="http://schemas.microsoft.com/office/drawing/2014/main" id="{00000000-0008-0000-0400-0000438A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44" name="Rectangle 459">
            <a:extLst>
              <a:ext uri="{FF2B5EF4-FFF2-40B4-BE49-F238E27FC236}">
                <a16:creationId xmlns:a16="http://schemas.microsoft.com/office/drawing/2014/main" id="{00000000-0008-0000-0400-0000448A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11</xdr:col>
      <xdr:colOff>876300</xdr:colOff>
      <xdr:row>2</xdr:row>
      <xdr:rowOff>88900</xdr:rowOff>
    </xdr:from>
    <xdr:to>
      <xdr:col>12</xdr:col>
      <xdr:colOff>431800</xdr:colOff>
      <xdr:row>2</xdr:row>
      <xdr:rowOff>469900</xdr:rowOff>
    </xdr:to>
    <xdr:grpSp>
      <xdr:nvGrpSpPr>
        <xdr:cNvPr id="1208817" name="Group 460">
          <a:extLst>
            <a:ext uri="{FF2B5EF4-FFF2-40B4-BE49-F238E27FC236}">
              <a16:creationId xmlns:a16="http://schemas.microsoft.com/office/drawing/2014/main" id="{00000000-0008-0000-0400-0000F1711200}"/>
            </a:ext>
          </a:extLst>
        </xdr:cNvPr>
        <xdr:cNvGrpSpPr>
          <a:grpSpLocks/>
        </xdr:cNvGrpSpPr>
      </xdr:nvGrpSpPr>
      <xdr:grpSpPr bwMode="auto">
        <a:xfrm>
          <a:off x="8943703" y="1231900"/>
          <a:ext cx="436154" cy="381000"/>
          <a:chOff x="335" y="195"/>
          <a:chExt cx="352" cy="282"/>
        </a:xfrm>
      </xdr:grpSpPr>
      <xdr:grpSp>
        <xdr:nvGrpSpPr>
          <xdr:cNvPr id="1215013" name="Group 461">
            <a:extLst>
              <a:ext uri="{FF2B5EF4-FFF2-40B4-BE49-F238E27FC236}">
                <a16:creationId xmlns:a16="http://schemas.microsoft.com/office/drawing/2014/main" id="{00000000-0008-0000-0400-0000258A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5025" name="Rectangle 462">
              <a:extLst>
                <a:ext uri="{FF2B5EF4-FFF2-40B4-BE49-F238E27FC236}">
                  <a16:creationId xmlns:a16="http://schemas.microsoft.com/office/drawing/2014/main" id="{00000000-0008-0000-0400-000031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26" name="Line 463">
              <a:extLst>
                <a:ext uri="{FF2B5EF4-FFF2-40B4-BE49-F238E27FC236}">
                  <a16:creationId xmlns:a16="http://schemas.microsoft.com/office/drawing/2014/main" id="{00000000-0008-0000-0400-0000328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27" name="Line 464">
              <a:extLst>
                <a:ext uri="{FF2B5EF4-FFF2-40B4-BE49-F238E27FC236}">
                  <a16:creationId xmlns:a16="http://schemas.microsoft.com/office/drawing/2014/main" id="{00000000-0008-0000-0400-0000338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28" name="Rectangle 465">
              <a:extLst>
                <a:ext uri="{FF2B5EF4-FFF2-40B4-BE49-F238E27FC236}">
                  <a16:creationId xmlns:a16="http://schemas.microsoft.com/office/drawing/2014/main" id="{00000000-0008-0000-0400-000034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29" name="Oval 466">
              <a:extLst>
                <a:ext uri="{FF2B5EF4-FFF2-40B4-BE49-F238E27FC236}">
                  <a16:creationId xmlns:a16="http://schemas.microsoft.com/office/drawing/2014/main" id="{00000000-0008-0000-0400-000035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30" name="Oval 467">
              <a:extLst>
                <a:ext uri="{FF2B5EF4-FFF2-40B4-BE49-F238E27FC236}">
                  <a16:creationId xmlns:a16="http://schemas.microsoft.com/office/drawing/2014/main" id="{00000000-0008-0000-0400-000036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31" name="Rectangle 468">
              <a:extLst>
                <a:ext uri="{FF2B5EF4-FFF2-40B4-BE49-F238E27FC236}">
                  <a16:creationId xmlns:a16="http://schemas.microsoft.com/office/drawing/2014/main" id="{00000000-0008-0000-0400-000037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32" name="Rectangle 469">
              <a:extLst>
                <a:ext uri="{FF2B5EF4-FFF2-40B4-BE49-F238E27FC236}">
                  <a16:creationId xmlns:a16="http://schemas.microsoft.com/office/drawing/2014/main" id="{00000000-0008-0000-0400-000038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33" name="Rectangle 470">
              <a:extLst>
                <a:ext uri="{FF2B5EF4-FFF2-40B4-BE49-F238E27FC236}">
                  <a16:creationId xmlns:a16="http://schemas.microsoft.com/office/drawing/2014/main" id="{00000000-0008-0000-0400-000039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34" name="Rectangle 471">
              <a:extLst>
                <a:ext uri="{FF2B5EF4-FFF2-40B4-BE49-F238E27FC236}">
                  <a16:creationId xmlns:a16="http://schemas.microsoft.com/office/drawing/2014/main" id="{00000000-0008-0000-0400-00003A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5014" name="Group 472">
            <a:extLst>
              <a:ext uri="{FF2B5EF4-FFF2-40B4-BE49-F238E27FC236}">
                <a16:creationId xmlns:a16="http://schemas.microsoft.com/office/drawing/2014/main" id="{00000000-0008-0000-0400-0000268A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5015" name="Rectangle 473">
              <a:extLst>
                <a:ext uri="{FF2B5EF4-FFF2-40B4-BE49-F238E27FC236}">
                  <a16:creationId xmlns:a16="http://schemas.microsoft.com/office/drawing/2014/main" id="{00000000-0008-0000-0400-000027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16" name="Line 474">
              <a:extLst>
                <a:ext uri="{FF2B5EF4-FFF2-40B4-BE49-F238E27FC236}">
                  <a16:creationId xmlns:a16="http://schemas.microsoft.com/office/drawing/2014/main" id="{00000000-0008-0000-0400-0000288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17" name="Line 475">
              <a:extLst>
                <a:ext uri="{FF2B5EF4-FFF2-40B4-BE49-F238E27FC236}">
                  <a16:creationId xmlns:a16="http://schemas.microsoft.com/office/drawing/2014/main" id="{00000000-0008-0000-0400-0000298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18" name="Rectangle 476">
              <a:extLst>
                <a:ext uri="{FF2B5EF4-FFF2-40B4-BE49-F238E27FC236}">
                  <a16:creationId xmlns:a16="http://schemas.microsoft.com/office/drawing/2014/main" id="{00000000-0008-0000-0400-00002A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19" name="Oval 477">
              <a:extLst>
                <a:ext uri="{FF2B5EF4-FFF2-40B4-BE49-F238E27FC236}">
                  <a16:creationId xmlns:a16="http://schemas.microsoft.com/office/drawing/2014/main" id="{00000000-0008-0000-0400-00002B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20" name="Oval 478">
              <a:extLst>
                <a:ext uri="{FF2B5EF4-FFF2-40B4-BE49-F238E27FC236}">
                  <a16:creationId xmlns:a16="http://schemas.microsoft.com/office/drawing/2014/main" id="{00000000-0008-0000-0400-00002C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21" name="Rectangle 479">
              <a:extLst>
                <a:ext uri="{FF2B5EF4-FFF2-40B4-BE49-F238E27FC236}">
                  <a16:creationId xmlns:a16="http://schemas.microsoft.com/office/drawing/2014/main" id="{00000000-0008-0000-0400-00002D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22" name="Rectangle 480">
              <a:extLst>
                <a:ext uri="{FF2B5EF4-FFF2-40B4-BE49-F238E27FC236}">
                  <a16:creationId xmlns:a16="http://schemas.microsoft.com/office/drawing/2014/main" id="{00000000-0008-0000-0400-00002E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23" name="Rectangle 481">
              <a:extLst>
                <a:ext uri="{FF2B5EF4-FFF2-40B4-BE49-F238E27FC236}">
                  <a16:creationId xmlns:a16="http://schemas.microsoft.com/office/drawing/2014/main" id="{00000000-0008-0000-0400-00002F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24" name="Rectangle 482">
              <a:extLst>
                <a:ext uri="{FF2B5EF4-FFF2-40B4-BE49-F238E27FC236}">
                  <a16:creationId xmlns:a16="http://schemas.microsoft.com/office/drawing/2014/main" id="{00000000-0008-0000-0400-000030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11</xdr:col>
      <xdr:colOff>342900</xdr:colOff>
      <xdr:row>3</xdr:row>
      <xdr:rowOff>38100</xdr:rowOff>
    </xdr:from>
    <xdr:to>
      <xdr:col>12</xdr:col>
      <xdr:colOff>406400</xdr:colOff>
      <xdr:row>5</xdr:row>
      <xdr:rowOff>76200</xdr:rowOff>
    </xdr:to>
    <xdr:grpSp>
      <xdr:nvGrpSpPr>
        <xdr:cNvPr id="1208818" name="Group 483">
          <a:extLst>
            <a:ext uri="{FF2B5EF4-FFF2-40B4-BE49-F238E27FC236}">
              <a16:creationId xmlns:a16="http://schemas.microsoft.com/office/drawing/2014/main" id="{00000000-0008-0000-0400-0000F2711200}"/>
            </a:ext>
          </a:extLst>
        </xdr:cNvPr>
        <xdr:cNvGrpSpPr>
          <a:grpSpLocks/>
        </xdr:cNvGrpSpPr>
      </xdr:nvGrpSpPr>
      <xdr:grpSpPr bwMode="auto">
        <a:xfrm>
          <a:off x="8463643" y="2139043"/>
          <a:ext cx="890814" cy="408214"/>
          <a:chOff x="220" y="176"/>
          <a:chExt cx="556" cy="247"/>
        </a:xfrm>
      </xdr:grpSpPr>
      <xdr:sp macro="" textlink="">
        <xdr:nvSpPr>
          <xdr:cNvPr id="1214990" name="Rectangle 484">
            <a:extLst>
              <a:ext uri="{FF2B5EF4-FFF2-40B4-BE49-F238E27FC236}">
                <a16:creationId xmlns:a16="http://schemas.microsoft.com/office/drawing/2014/main" id="{00000000-0008-0000-0400-00000E8A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91" name="Line 485">
            <a:extLst>
              <a:ext uri="{FF2B5EF4-FFF2-40B4-BE49-F238E27FC236}">
                <a16:creationId xmlns:a16="http://schemas.microsoft.com/office/drawing/2014/main" id="{00000000-0008-0000-0400-00000F8A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92" name="Line 486">
            <a:extLst>
              <a:ext uri="{FF2B5EF4-FFF2-40B4-BE49-F238E27FC236}">
                <a16:creationId xmlns:a16="http://schemas.microsoft.com/office/drawing/2014/main" id="{00000000-0008-0000-0400-0000108A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93" name="Rectangle 487">
            <a:extLst>
              <a:ext uri="{FF2B5EF4-FFF2-40B4-BE49-F238E27FC236}">
                <a16:creationId xmlns:a16="http://schemas.microsoft.com/office/drawing/2014/main" id="{00000000-0008-0000-0400-0000118A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94" name="Oval 488">
            <a:extLst>
              <a:ext uri="{FF2B5EF4-FFF2-40B4-BE49-F238E27FC236}">
                <a16:creationId xmlns:a16="http://schemas.microsoft.com/office/drawing/2014/main" id="{00000000-0008-0000-0400-0000128A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95" name="Oval 489">
            <a:extLst>
              <a:ext uri="{FF2B5EF4-FFF2-40B4-BE49-F238E27FC236}">
                <a16:creationId xmlns:a16="http://schemas.microsoft.com/office/drawing/2014/main" id="{00000000-0008-0000-0400-0000138A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96" name="Rectangle 490">
            <a:extLst>
              <a:ext uri="{FF2B5EF4-FFF2-40B4-BE49-F238E27FC236}">
                <a16:creationId xmlns:a16="http://schemas.microsoft.com/office/drawing/2014/main" id="{00000000-0008-0000-0400-0000148A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97" name="Rectangle 491">
            <a:extLst>
              <a:ext uri="{FF2B5EF4-FFF2-40B4-BE49-F238E27FC236}">
                <a16:creationId xmlns:a16="http://schemas.microsoft.com/office/drawing/2014/main" id="{00000000-0008-0000-0400-0000158A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98" name="Rectangle 492">
            <a:extLst>
              <a:ext uri="{FF2B5EF4-FFF2-40B4-BE49-F238E27FC236}">
                <a16:creationId xmlns:a16="http://schemas.microsoft.com/office/drawing/2014/main" id="{00000000-0008-0000-0400-0000168A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99" name="Rectangle 493">
            <a:extLst>
              <a:ext uri="{FF2B5EF4-FFF2-40B4-BE49-F238E27FC236}">
                <a16:creationId xmlns:a16="http://schemas.microsoft.com/office/drawing/2014/main" id="{00000000-0008-0000-0400-0000178A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5000" name="Group 494">
            <a:extLst>
              <a:ext uri="{FF2B5EF4-FFF2-40B4-BE49-F238E27FC236}">
                <a16:creationId xmlns:a16="http://schemas.microsoft.com/office/drawing/2014/main" id="{00000000-0008-0000-0400-0000188A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5003" name="Rectangle 495">
              <a:extLst>
                <a:ext uri="{FF2B5EF4-FFF2-40B4-BE49-F238E27FC236}">
                  <a16:creationId xmlns:a16="http://schemas.microsoft.com/office/drawing/2014/main" id="{00000000-0008-0000-0400-00001B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04" name="Line 496">
              <a:extLst>
                <a:ext uri="{FF2B5EF4-FFF2-40B4-BE49-F238E27FC236}">
                  <a16:creationId xmlns:a16="http://schemas.microsoft.com/office/drawing/2014/main" id="{00000000-0008-0000-0400-00001C8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05" name="Line 497">
              <a:extLst>
                <a:ext uri="{FF2B5EF4-FFF2-40B4-BE49-F238E27FC236}">
                  <a16:creationId xmlns:a16="http://schemas.microsoft.com/office/drawing/2014/main" id="{00000000-0008-0000-0400-00001D8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06" name="Rectangle 498">
              <a:extLst>
                <a:ext uri="{FF2B5EF4-FFF2-40B4-BE49-F238E27FC236}">
                  <a16:creationId xmlns:a16="http://schemas.microsoft.com/office/drawing/2014/main" id="{00000000-0008-0000-0400-00001E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07" name="Oval 499">
              <a:extLst>
                <a:ext uri="{FF2B5EF4-FFF2-40B4-BE49-F238E27FC236}">
                  <a16:creationId xmlns:a16="http://schemas.microsoft.com/office/drawing/2014/main" id="{00000000-0008-0000-0400-00001F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08" name="Oval 500">
              <a:extLst>
                <a:ext uri="{FF2B5EF4-FFF2-40B4-BE49-F238E27FC236}">
                  <a16:creationId xmlns:a16="http://schemas.microsoft.com/office/drawing/2014/main" id="{00000000-0008-0000-0400-000020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09" name="Rectangle 501">
              <a:extLst>
                <a:ext uri="{FF2B5EF4-FFF2-40B4-BE49-F238E27FC236}">
                  <a16:creationId xmlns:a16="http://schemas.microsoft.com/office/drawing/2014/main" id="{00000000-0008-0000-0400-000021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10" name="Rectangle 502">
              <a:extLst>
                <a:ext uri="{FF2B5EF4-FFF2-40B4-BE49-F238E27FC236}">
                  <a16:creationId xmlns:a16="http://schemas.microsoft.com/office/drawing/2014/main" id="{00000000-0008-0000-0400-000022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11" name="Rectangle 503">
              <a:extLst>
                <a:ext uri="{FF2B5EF4-FFF2-40B4-BE49-F238E27FC236}">
                  <a16:creationId xmlns:a16="http://schemas.microsoft.com/office/drawing/2014/main" id="{00000000-0008-0000-0400-000023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12" name="Rectangle 504">
              <a:extLst>
                <a:ext uri="{FF2B5EF4-FFF2-40B4-BE49-F238E27FC236}">
                  <a16:creationId xmlns:a16="http://schemas.microsoft.com/office/drawing/2014/main" id="{00000000-0008-0000-0400-000024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5001" name="Rectangle 505">
            <a:extLst>
              <a:ext uri="{FF2B5EF4-FFF2-40B4-BE49-F238E27FC236}">
                <a16:creationId xmlns:a16="http://schemas.microsoft.com/office/drawing/2014/main" id="{00000000-0008-0000-0400-0000198A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02" name="Rectangle 506">
            <a:extLst>
              <a:ext uri="{FF2B5EF4-FFF2-40B4-BE49-F238E27FC236}">
                <a16:creationId xmlns:a16="http://schemas.microsoft.com/office/drawing/2014/main" id="{00000000-0008-0000-0400-00001A8A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19" name="Group 531">
          <a:extLst>
            <a:ext uri="{FF2B5EF4-FFF2-40B4-BE49-F238E27FC236}">
              <a16:creationId xmlns:a16="http://schemas.microsoft.com/office/drawing/2014/main" id="{00000000-0008-0000-0400-0000F3711200}"/>
            </a:ext>
          </a:extLst>
        </xdr:cNvPr>
        <xdr:cNvGrpSpPr>
          <a:grpSpLocks/>
        </xdr:cNvGrpSpPr>
      </xdr:nvGrpSpPr>
      <xdr:grpSpPr bwMode="auto">
        <a:xfrm>
          <a:off x="9622971" y="1308100"/>
          <a:ext cx="0" cy="792843"/>
          <a:chOff x="220" y="176"/>
          <a:chExt cx="556" cy="247"/>
        </a:xfrm>
      </xdr:grpSpPr>
      <xdr:sp macro="" textlink="">
        <xdr:nvSpPr>
          <xdr:cNvPr id="1214967" name="Rectangle 532">
            <a:extLst>
              <a:ext uri="{FF2B5EF4-FFF2-40B4-BE49-F238E27FC236}">
                <a16:creationId xmlns:a16="http://schemas.microsoft.com/office/drawing/2014/main" id="{00000000-0008-0000-0400-0000F78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68" name="Line 533">
            <a:extLst>
              <a:ext uri="{FF2B5EF4-FFF2-40B4-BE49-F238E27FC236}">
                <a16:creationId xmlns:a16="http://schemas.microsoft.com/office/drawing/2014/main" id="{00000000-0008-0000-0400-0000F889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69" name="Line 534">
            <a:extLst>
              <a:ext uri="{FF2B5EF4-FFF2-40B4-BE49-F238E27FC236}">
                <a16:creationId xmlns:a16="http://schemas.microsoft.com/office/drawing/2014/main" id="{00000000-0008-0000-0400-0000F989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70" name="Rectangle 535">
            <a:extLst>
              <a:ext uri="{FF2B5EF4-FFF2-40B4-BE49-F238E27FC236}">
                <a16:creationId xmlns:a16="http://schemas.microsoft.com/office/drawing/2014/main" id="{00000000-0008-0000-0400-0000FA89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71" name="Oval 536">
            <a:extLst>
              <a:ext uri="{FF2B5EF4-FFF2-40B4-BE49-F238E27FC236}">
                <a16:creationId xmlns:a16="http://schemas.microsoft.com/office/drawing/2014/main" id="{00000000-0008-0000-0400-0000FB89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72" name="Oval 537">
            <a:extLst>
              <a:ext uri="{FF2B5EF4-FFF2-40B4-BE49-F238E27FC236}">
                <a16:creationId xmlns:a16="http://schemas.microsoft.com/office/drawing/2014/main" id="{00000000-0008-0000-0400-0000FC89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73" name="Rectangle 538">
            <a:extLst>
              <a:ext uri="{FF2B5EF4-FFF2-40B4-BE49-F238E27FC236}">
                <a16:creationId xmlns:a16="http://schemas.microsoft.com/office/drawing/2014/main" id="{00000000-0008-0000-0400-0000FD89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74" name="Rectangle 539">
            <a:extLst>
              <a:ext uri="{FF2B5EF4-FFF2-40B4-BE49-F238E27FC236}">
                <a16:creationId xmlns:a16="http://schemas.microsoft.com/office/drawing/2014/main" id="{00000000-0008-0000-0400-0000FE89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75" name="Rectangle 540">
            <a:extLst>
              <a:ext uri="{FF2B5EF4-FFF2-40B4-BE49-F238E27FC236}">
                <a16:creationId xmlns:a16="http://schemas.microsoft.com/office/drawing/2014/main" id="{00000000-0008-0000-0400-0000FF8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76" name="Rectangle 541">
            <a:extLst>
              <a:ext uri="{FF2B5EF4-FFF2-40B4-BE49-F238E27FC236}">
                <a16:creationId xmlns:a16="http://schemas.microsoft.com/office/drawing/2014/main" id="{00000000-0008-0000-0400-0000008A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4977" name="Group 542">
            <a:extLst>
              <a:ext uri="{FF2B5EF4-FFF2-40B4-BE49-F238E27FC236}">
                <a16:creationId xmlns:a16="http://schemas.microsoft.com/office/drawing/2014/main" id="{00000000-0008-0000-0400-0000018A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4980" name="Rectangle 543">
              <a:extLst>
                <a:ext uri="{FF2B5EF4-FFF2-40B4-BE49-F238E27FC236}">
                  <a16:creationId xmlns:a16="http://schemas.microsoft.com/office/drawing/2014/main" id="{00000000-0008-0000-0400-000004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81" name="Line 544">
              <a:extLst>
                <a:ext uri="{FF2B5EF4-FFF2-40B4-BE49-F238E27FC236}">
                  <a16:creationId xmlns:a16="http://schemas.microsoft.com/office/drawing/2014/main" id="{00000000-0008-0000-0400-0000058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82" name="Line 545">
              <a:extLst>
                <a:ext uri="{FF2B5EF4-FFF2-40B4-BE49-F238E27FC236}">
                  <a16:creationId xmlns:a16="http://schemas.microsoft.com/office/drawing/2014/main" id="{00000000-0008-0000-0400-0000068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83" name="Rectangle 546">
              <a:extLst>
                <a:ext uri="{FF2B5EF4-FFF2-40B4-BE49-F238E27FC236}">
                  <a16:creationId xmlns:a16="http://schemas.microsoft.com/office/drawing/2014/main" id="{00000000-0008-0000-0400-000007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84" name="Oval 547">
              <a:extLst>
                <a:ext uri="{FF2B5EF4-FFF2-40B4-BE49-F238E27FC236}">
                  <a16:creationId xmlns:a16="http://schemas.microsoft.com/office/drawing/2014/main" id="{00000000-0008-0000-0400-000008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85" name="Oval 548">
              <a:extLst>
                <a:ext uri="{FF2B5EF4-FFF2-40B4-BE49-F238E27FC236}">
                  <a16:creationId xmlns:a16="http://schemas.microsoft.com/office/drawing/2014/main" id="{00000000-0008-0000-0400-000009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86" name="Rectangle 549">
              <a:extLst>
                <a:ext uri="{FF2B5EF4-FFF2-40B4-BE49-F238E27FC236}">
                  <a16:creationId xmlns:a16="http://schemas.microsoft.com/office/drawing/2014/main" id="{00000000-0008-0000-0400-00000A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87" name="Rectangle 550">
              <a:extLst>
                <a:ext uri="{FF2B5EF4-FFF2-40B4-BE49-F238E27FC236}">
                  <a16:creationId xmlns:a16="http://schemas.microsoft.com/office/drawing/2014/main" id="{00000000-0008-0000-0400-00000B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88" name="Rectangle 551">
              <a:extLst>
                <a:ext uri="{FF2B5EF4-FFF2-40B4-BE49-F238E27FC236}">
                  <a16:creationId xmlns:a16="http://schemas.microsoft.com/office/drawing/2014/main" id="{00000000-0008-0000-0400-00000C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89" name="Rectangle 552">
              <a:extLst>
                <a:ext uri="{FF2B5EF4-FFF2-40B4-BE49-F238E27FC236}">
                  <a16:creationId xmlns:a16="http://schemas.microsoft.com/office/drawing/2014/main" id="{00000000-0008-0000-0400-00000D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4978" name="Rectangle 553">
            <a:extLst>
              <a:ext uri="{FF2B5EF4-FFF2-40B4-BE49-F238E27FC236}">
                <a16:creationId xmlns:a16="http://schemas.microsoft.com/office/drawing/2014/main" id="{00000000-0008-0000-0400-0000028A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79" name="Rectangle 554">
            <a:extLst>
              <a:ext uri="{FF2B5EF4-FFF2-40B4-BE49-F238E27FC236}">
                <a16:creationId xmlns:a16="http://schemas.microsoft.com/office/drawing/2014/main" id="{00000000-0008-0000-0400-0000038A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20" name="Group 555">
          <a:extLst>
            <a:ext uri="{FF2B5EF4-FFF2-40B4-BE49-F238E27FC236}">
              <a16:creationId xmlns:a16="http://schemas.microsoft.com/office/drawing/2014/main" id="{00000000-0008-0000-0400-0000F4711200}"/>
            </a:ext>
          </a:extLst>
        </xdr:cNvPr>
        <xdr:cNvGrpSpPr>
          <a:grpSpLocks/>
        </xdr:cNvGrpSpPr>
      </xdr:nvGrpSpPr>
      <xdr:grpSpPr bwMode="auto">
        <a:xfrm>
          <a:off x="9622971" y="1308100"/>
          <a:ext cx="0" cy="792843"/>
          <a:chOff x="220" y="176"/>
          <a:chExt cx="556" cy="247"/>
        </a:xfrm>
      </xdr:grpSpPr>
      <xdr:sp macro="" textlink="">
        <xdr:nvSpPr>
          <xdr:cNvPr id="1214944" name="Rectangle 556">
            <a:extLst>
              <a:ext uri="{FF2B5EF4-FFF2-40B4-BE49-F238E27FC236}">
                <a16:creationId xmlns:a16="http://schemas.microsoft.com/office/drawing/2014/main" id="{00000000-0008-0000-0400-0000E08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45" name="Line 557">
            <a:extLst>
              <a:ext uri="{FF2B5EF4-FFF2-40B4-BE49-F238E27FC236}">
                <a16:creationId xmlns:a16="http://schemas.microsoft.com/office/drawing/2014/main" id="{00000000-0008-0000-0400-0000E189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46" name="Line 558">
            <a:extLst>
              <a:ext uri="{FF2B5EF4-FFF2-40B4-BE49-F238E27FC236}">
                <a16:creationId xmlns:a16="http://schemas.microsoft.com/office/drawing/2014/main" id="{00000000-0008-0000-0400-0000E289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47" name="Rectangle 559">
            <a:extLst>
              <a:ext uri="{FF2B5EF4-FFF2-40B4-BE49-F238E27FC236}">
                <a16:creationId xmlns:a16="http://schemas.microsoft.com/office/drawing/2014/main" id="{00000000-0008-0000-0400-0000E389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48" name="Oval 560">
            <a:extLst>
              <a:ext uri="{FF2B5EF4-FFF2-40B4-BE49-F238E27FC236}">
                <a16:creationId xmlns:a16="http://schemas.microsoft.com/office/drawing/2014/main" id="{00000000-0008-0000-0400-0000E489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49" name="Oval 561">
            <a:extLst>
              <a:ext uri="{FF2B5EF4-FFF2-40B4-BE49-F238E27FC236}">
                <a16:creationId xmlns:a16="http://schemas.microsoft.com/office/drawing/2014/main" id="{00000000-0008-0000-0400-0000E589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50" name="Rectangle 562">
            <a:extLst>
              <a:ext uri="{FF2B5EF4-FFF2-40B4-BE49-F238E27FC236}">
                <a16:creationId xmlns:a16="http://schemas.microsoft.com/office/drawing/2014/main" id="{00000000-0008-0000-0400-0000E689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51" name="Rectangle 563">
            <a:extLst>
              <a:ext uri="{FF2B5EF4-FFF2-40B4-BE49-F238E27FC236}">
                <a16:creationId xmlns:a16="http://schemas.microsoft.com/office/drawing/2014/main" id="{00000000-0008-0000-0400-0000E789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52" name="Rectangle 564">
            <a:extLst>
              <a:ext uri="{FF2B5EF4-FFF2-40B4-BE49-F238E27FC236}">
                <a16:creationId xmlns:a16="http://schemas.microsoft.com/office/drawing/2014/main" id="{00000000-0008-0000-0400-0000E88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53" name="Rectangle 565">
            <a:extLst>
              <a:ext uri="{FF2B5EF4-FFF2-40B4-BE49-F238E27FC236}">
                <a16:creationId xmlns:a16="http://schemas.microsoft.com/office/drawing/2014/main" id="{00000000-0008-0000-0400-0000E98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4954" name="Group 566">
            <a:extLst>
              <a:ext uri="{FF2B5EF4-FFF2-40B4-BE49-F238E27FC236}">
                <a16:creationId xmlns:a16="http://schemas.microsoft.com/office/drawing/2014/main" id="{00000000-0008-0000-0400-0000EA89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4957" name="Rectangle 567">
              <a:extLst>
                <a:ext uri="{FF2B5EF4-FFF2-40B4-BE49-F238E27FC236}">
                  <a16:creationId xmlns:a16="http://schemas.microsoft.com/office/drawing/2014/main" id="{00000000-0008-0000-0400-0000ED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58" name="Line 568">
              <a:extLst>
                <a:ext uri="{FF2B5EF4-FFF2-40B4-BE49-F238E27FC236}">
                  <a16:creationId xmlns:a16="http://schemas.microsoft.com/office/drawing/2014/main" id="{00000000-0008-0000-0400-0000EE8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59" name="Line 569">
              <a:extLst>
                <a:ext uri="{FF2B5EF4-FFF2-40B4-BE49-F238E27FC236}">
                  <a16:creationId xmlns:a16="http://schemas.microsoft.com/office/drawing/2014/main" id="{00000000-0008-0000-0400-0000EF8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60" name="Rectangle 570">
              <a:extLst>
                <a:ext uri="{FF2B5EF4-FFF2-40B4-BE49-F238E27FC236}">
                  <a16:creationId xmlns:a16="http://schemas.microsoft.com/office/drawing/2014/main" id="{00000000-0008-0000-0400-0000F0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61" name="Oval 571">
              <a:extLst>
                <a:ext uri="{FF2B5EF4-FFF2-40B4-BE49-F238E27FC236}">
                  <a16:creationId xmlns:a16="http://schemas.microsoft.com/office/drawing/2014/main" id="{00000000-0008-0000-0400-0000F1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62" name="Oval 572">
              <a:extLst>
                <a:ext uri="{FF2B5EF4-FFF2-40B4-BE49-F238E27FC236}">
                  <a16:creationId xmlns:a16="http://schemas.microsoft.com/office/drawing/2014/main" id="{00000000-0008-0000-0400-0000F2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63" name="Rectangle 573">
              <a:extLst>
                <a:ext uri="{FF2B5EF4-FFF2-40B4-BE49-F238E27FC236}">
                  <a16:creationId xmlns:a16="http://schemas.microsoft.com/office/drawing/2014/main" id="{00000000-0008-0000-0400-0000F3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64" name="Rectangle 574">
              <a:extLst>
                <a:ext uri="{FF2B5EF4-FFF2-40B4-BE49-F238E27FC236}">
                  <a16:creationId xmlns:a16="http://schemas.microsoft.com/office/drawing/2014/main" id="{00000000-0008-0000-0400-0000F4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65" name="Rectangle 575">
              <a:extLst>
                <a:ext uri="{FF2B5EF4-FFF2-40B4-BE49-F238E27FC236}">
                  <a16:creationId xmlns:a16="http://schemas.microsoft.com/office/drawing/2014/main" id="{00000000-0008-0000-0400-0000F5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66" name="Rectangle 576">
              <a:extLst>
                <a:ext uri="{FF2B5EF4-FFF2-40B4-BE49-F238E27FC236}">
                  <a16:creationId xmlns:a16="http://schemas.microsoft.com/office/drawing/2014/main" id="{00000000-0008-0000-0400-0000F6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4955" name="Rectangle 577">
            <a:extLst>
              <a:ext uri="{FF2B5EF4-FFF2-40B4-BE49-F238E27FC236}">
                <a16:creationId xmlns:a16="http://schemas.microsoft.com/office/drawing/2014/main" id="{00000000-0008-0000-0400-0000EB89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56" name="Rectangle 578">
            <a:extLst>
              <a:ext uri="{FF2B5EF4-FFF2-40B4-BE49-F238E27FC236}">
                <a16:creationId xmlns:a16="http://schemas.microsoft.com/office/drawing/2014/main" id="{00000000-0008-0000-0400-0000EC89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21" name="Group 579">
          <a:extLst>
            <a:ext uri="{FF2B5EF4-FFF2-40B4-BE49-F238E27FC236}">
              <a16:creationId xmlns:a16="http://schemas.microsoft.com/office/drawing/2014/main" id="{00000000-0008-0000-0400-0000F5711200}"/>
            </a:ext>
          </a:extLst>
        </xdr:cNvPr>
        <xdr:cNvGrpSpPr>
          <a:grpSpLocks/>
        </xdr:cNvGrpSpPr>
      </xdr:nvGrpSpPr>
      <xdr:grpSpPr bwMode="auto">
        <a:xfrm>
          <a:off x="9622971" y="1308100"/>
          <a:ext cx="0" cy="792843"/>
          <a:chOff x="220" y="176"/>
          <a:chExt cx="556" cy="247"/>
        </a:xfrm>
      </xdr:grpSpPr>
      <xdr:sp macro="" textlink="">
        <xdr:nvSpPr>
          <xdr:cNvPr id="1214921" name="Rectangle 580">
            <a:extLst>
              <a:ext uri="{FF2B5EF4-FFF2-40B4-BE49-F238E27FC236}">
                <a16:creationId xmlns:a16="http://schemas.microsoft.com/office/drawing/2014/main" id="{00000000-0008-0000-0400-0000C98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22" name="Line 581">
            <a:extLst>
              <a:ext uri="{FF2B5EF4-FFF2-40B4-BE49-F238E27FC236}">
                <a16:creationId xmlns:a16="http://schemas.microsoft.com/office/drawing/2014/main" id="{00000000-0008-0000-0400-0000CA89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23" name="Line 582">
            <a:extLst>
              <a:ext uri="{FF2B5EF4-FFF2-40B4-BE49-F238E27FC236}">
                <a16:creationId xmlns:a16="http://schemas.microsoft.com/office/drawing/2014/main" id="{00000000-0008-0000-0400-0000CB89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24" name="Rectangle 583">
            <a:extLst>
              <a:ext uri="{FF2B5EF4-FFF2-40B4-BE49-F238E27FC236}">
                <a16:creationId xmlns:a16="http://schemas.microsoft.com/office/drawing/2014/main" id="{00000000-0008-0000-0400-0000CC89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25" name="Oval 584">
            <a:extLst>
              <a:ext uri="{FF2B5EF4-FFF2-40B4-BE49-F238E27FC236}">
                <a16:creationId xmlns:a16="http://schemas.microsoft.com/office/drawing/2014/main" id="{00000000-0008-0000-0400-0000CD89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26" name="Oval 585">
            <a:extLst>
              <a:ext uri="{FF2B5EF4-FFF2-40B4-BE49-F238E27FC236}">
                <a16:creationId xmlns:a16="http://schemas.microsoft.com/office/drawing/2014/main" id="{00000000-0008-0000-0400-0000CE89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27" name="Rectangle 586">
            <a:extLst>
              <a:ext uri="{FF2B5EF4-FFF2-40B4-BE49-F238E27FC236}">
                <a16:creationId xmlns:a16="http://schemas.microsoft.com/office/drawing/2014/main" id="{00000000-0008-0000-0400-0000CF89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28" name="Rectangle 587">
            <a:extLst>
              <a:ext uri="{FF2B5EF4-FFF2-40B4-BE49-F238E27FC236}">
                <a16:creationId xmlns:a16="http://schemas.microsoft.com/office/drawing/2014/main" id="{00000000-0008-0000-0400-0000D089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29" name="Rectangle 588">
            <a:extLst>
              <a:ext uri="{FF2B5EF4-FFF2-40B4-BE49-F238E27FC236}">
                <a16:creationId xmlns:a16="http://schemas.microsoft.com/office/drawing/2014/main" id="{00000000-0008-0000-0400-0000D18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30" name="Rectangle 589">
            <a:extLst>
              <a:ext uri="{FF2B5EF4-FFF2-40B4-BE49-F238E27FC236}">
                <a16:creationId xmlns:a16="http://schemas.microsoft.com/office/drawing/2014/main" id="{00000000-0008-0000-0400-0000D28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4931" name="Group 590">
            <a:extLst>
              <a:ext uri="{FF2B5EF4-FFF2-40B4-BE49-F238E27FC236}">
                <a16:creationId xmlns:a16="http://schemas.microsoft.com/office/drawing/2014/main" id="{00000000-0008-0000-0400-0000D389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4934" name="Rectangle 591">
              <a:extLst>
                <a:ext uri="{FF2B5EF4-FFF2-40B4-BE49-F238E27FC236}">
                  <a16:creationId xmlns:a16="http://schemas.microsoft.com/office/drawing/2014/main" id="{00000000-0008-0000-0400-0000D6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35" name="Line 592">
              <a:extLst>
                <a:ext uri="{FF2B5EF4-FFF2-40B4-BE49-F238E27FC236}">
                  <a16:creationId xmlns:a16="http://schemas.microsoft.com/office/drawing/2014/main" id="{00000000-0008-0000-0400-0000D78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36" name="Line 593">
              <a:extLst>
                <a:ext uri="{FF2B5EF4-FFF2-40B4-BE49-F238E27FC236}">
                  <a16:creationId xmlns:a16="http://schemas.microsoft.com/office/drawing/2014/main" id="{00000000-0008-0000-0400-0000D88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37" name="Rectangle 594">
              <a:extLst>
                <a:ext uri="{FF2B5EF4-FFF2-40B4-BE49-F238E27FC236}">
                  <a16:creationId xmlns:a16="http://schemas.microsoft.com/office/drawing/2014/main" id="{00000000-0008-0000-0400-0000D9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38" name="Oval 595">
              <a:extLst>
                <a:ext uri="{FF2B5EF4-FFF2-40B4-BE49-F238E27FC236}">
                  <a16:creationId xmlns:a16="http://schemas.microsoft.com/office/drawing/2014/main" id="{00000000-0008-0000-0400-0000DA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39" name="Oval 596">
              <a:extLst>
                <a:ext uri="{FF2B5EF4-FFF2-40B4-BE49-F238E27FC236}">
                  <a16:creationId xmlns:a16="http://schemas.microsoft.com/office/drawing/2014/main" id="{00000000-0008-0000-0400-0000DB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40" name="Rectangle 597">
              <a:extLst>
                <a:ext uri="{FF2B5EF4-FFF2-40B4-BE49-F238E27FC236}">
                  <a16:creationId xmlns:a16="http://schemas.microsoft.com/office/drawing/2014/main" id="{00000000-0008-0000-0400-0000DC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41" name="Rectangle 598">
              <a:extLst>
                <a:ext uri="{FF2B5EF4-FFF2-40B4-BE49-F238E27FC236}">
                  <a16:creationId xmlns:a16="http://schemas.microsoft.com/office/drawing/2014/main" id="{00000000-0008-0000-0400-0000DD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42" name="Rectangle 599">
              <a:extLst>
                <a:ext uri="{FF2B5EF4-FFF2-40B4-BE49-F238E27FC236}">
                  <a16:creationId xmlns:a16="http://schemas.microsoft.com/office/drawing/2014/main" id="{00000000-0008-0000-0400-0000DE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43" name="Rectangle 600">
              <a:extLst>
                <a:ext uri="{FF2B5EF4-FFF2-40B4-BE49-F238E27FC236}">
                  <a16:creationId xmlns:a16="http://schemas.microsoft.com/office/drawing/2014/main" id="{00000000-0008-0000-0400-0000DF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4932" name="Rectangle 601">
            <a:extLst>
              <a:ext uri="{FF2B5EF4-FFF2-40B4-BE49-F238E27FC236}">
                <a16:creationId xmlns:a16="http://schemas.microsoft.com/office/drawing/2014/main" id="{00000000-0008-0000-0400-0000D489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33" name="Rectangle 602">
            <a:extLst>
              <a:ext uri="{FF2B5EF4-FFF2-40B4-BE49-F238E27FC236}">
                <a16:creationId xmlns:a16="http://schemas.microsoft.com/office/drawing/2014/main" id="{00000000-0008-0000-0400-0000D589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22" name="Group 603">
          <a:extLst>
            <a:ext uri="{FF2B5EF4-FFF2-40B4-BE49-F238E27FC236}">
              <a16:creationId xmlns:a16="http://schemas.microsoft.com/office/drawing/2014/main" id="{00000000-0008-0000-0400-0000F6711200}"/>
            </a:ext>
          </a:extLst>
        </xdr:cNvPr>
        <xdr:cNvGrpSpPr>
          <a:grpSpLocks/>
        </xdr:cNvGrpSpPr>
      </xdr:nvGrpSpPr>
      <xdr:grpSpPr bwMode="auto">
        <a:xfrm>
          <a:off x="9622971" y="1308100"/>
          <a:ext cx="0" cy="792843"/>
          <a:chOff x="220" y="176"/>
          <a:chExt cx="556" cy="247"/>
        </a:xfrm>
      </xdr:grpSpPr>
      <xdr:sp macro="" textlink="">
        <xdr:nvSpPr>
          <xdr:cNvPr id="1214898" name="Rectangle 604">
            <a:extLst>
              <a:ext uri="{FF2B5EF4-FFF2-40B4-BE49-F238E27FC236}">
                <a16:creationId xmlns:a16="http://schemas.microsoft.com/office/drawing/2014/main" id="{00000000-0008-0000-0400-0000B28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99" name="Line 605">
            <a:extLst>
              <a:ext uri="{FF2B5EF4-FFF2-40B4-BE49-F238E27FC236}">
                <a16:creationId xmlns:a16="http://schemas.microsoft.com/office/drawing/2014/main" id="{00000000-0008-0000-0400-0000B389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00" name="Line 606">
            <a:extLst>
              <a:ext uri="{FF2B5EF4-FFF2-40B4-BE49-F238E27FC236}">
                <a16:creationId xmlns:a16="http://schemas.microsoft.com/office/drawing/2014/main" id="{00000000-0008-0000-0400-0000B489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01" name="Rectangle 607">
            <a:extLst>
              <a:ext uri="{FF2B5EF4-FFF2-40B4-BE49-F238E27FC236}">
                <a16:creationId xmlns:a16="http://schemas.microsoft.com/office/drawing/2014/main" id="{00000000-0008-0000-0400-0000B589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02" name="Oval 608">
            <a:extLst>
              <a:ext uri="{FF2B5EF4-FFF2-40B4-BE49-F238E27FC236}">
                <a16:creationId xmlns:a16="http://schemas.microsoft.com/office/drawing/2014/main" id="{00000000-0008-0000-0400-0000B689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03" name="Oval 609">
            <a:extLst>
              <a:ext uri="{FF2B5EF4-FFF2-40B4-BE49-F238E27FC236}">
                <a16:creationId xmlns:a16="http://schemas.microsoft.com/office/drawing/2014/main" id="{00000000-0008-0000-0400-0000B789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04" name="Rectangle 610">
            <a:extLst>
              <a:ext uri="{FF2B5EF4-FFF2-40B4-BE49-F238E27FC236}">
                <a16:creationId xmlns:a16="http://schemas.microsoft.com/office/drawing/2014/main" id="{00000000-0008-0000-0400-0000B889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05" name="Rectangle 611">
            <a:extLst>
              <a:ext uri="{FF2B5EF4-FFF2-40B4-BE49-F238E27FC236}">
                <a16:creationId xmlns:a16="http://schemas.microsoft.com/office/drawing/2014/main" id="{00000000-0008-0000-0400-0000B989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06" name="Rectangle 612">
            <a:extLst>
              <a:ext uri="{FF2B5EF4-FFF2-40B4-BE49-F238E27FC236}">
                <a16:creationId xmlns:a16="http://schemas.microsoft.com/office/drawing/2014/main" id="{00000000-0008-0000-0400-0000BA8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07" name="Rectangle 613">
            <a:extLst>
              <a:ext uri="{FF2B5EF4-FFF2-40B4-BE49-F238E27FC236}">
                <a16:creationId xmlns:a16="http://schemas.microsoft.com/office/drawing/2014/main" id="{00000000-0008-0000-0400-0000BB8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4908" name="Group 614">
            <a:extLst>
              <a:ext uri="{FF2B5EF4-FFF2-40B4-BE49-F238E27FC236}">
                <a16:creationId xmlns:a16="http://schemas.microsoft.com/office/drawing/2014/main" id="{00000000-0008-0000-0400-0000BC89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4911" name="Rectangle 615">
              <a:extLst>
                <a:ext uri="{FF2B5EF4-FFF2-40B4-BE49-F238E27FC236}">
                  <a16:creationId xmlns:a16="http://schemas.microsoft.com/office/drawing/2014/main" id="{00000000-0008-0000-0400-0000BF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12" name="Line 616">
              <a:extLst>
                <a:ext uri="{FF2B5EF4-FFF2-40B4-BE49-F238E27FC236}">
                  <a16:creationId xmlns:a16="http://schemas.microsoft.com/office/drawing/2014/main" id="{00000000-0008-0000-0400-0000C08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13" name="Line 617">
              <a:extLst>
                <a:ext uri="{FF2B5EF4-FFF2-40B4-BE49-F238E27FC236}">
                  <a16:creationId xmlns:a16="http://schemas.microsoft.com/office/drawing/2014/main" id="{00000000-0008-0000-0400-0000C18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14" name="Rectangle 618">
              <a:extLst>
                <a:ext uri="{FF2B5EF4-FFF2-40B4-BE49-F238E27FC236}">
                  <a16:creationId xmlns:a16="http://schemas.microsoft.com/office/drawing/2014/main" id="{00000000-0008-0000-0400-0000C2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15" name="Oval 619">
              <a:extLst>
                <a:ext uri="{FF2B5EF4-FFF2-40B4-BE49-F238E27FC236}">
                  <a16:creationId xmlns:a16="http://schemas.microsoft.com/office/drawing/2014/main" id="{00000000-0008-0000-0400-0000C3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16" name="Oval 620">
              <a:extLst>
                <a:ext uri="{FF2B5EF4-FFF2-40B4-BE49-F238E27FC236}">
                  <a16:creationId xmlns:a16="http://schemas.microsoft.com/office/drawing/2014/main" id="{00000000-0008-0000-0400-0000C4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17" name="Rectangle 621">
              <a:extLst>
                <a:ext uri="{FF2B5EF4-FFF2-40B4-BE49-F238E27FC236}">
                  <a16:creationId xmlns:a16="http://schemas.microsoft.com/office/drawing/2014/main" id="{00000000-0008-0000-0400-0000C5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18" name="Rectangle 622">
              <a:extLst>
                <a:ext uri="{FF2B5EF4-FFF2-40B4-BE49-F238E27FC236}">
                  <a16:creationId xmlns:a16="http://schemas.microsoft.com/office/drawing/2014/main" id="{00000000-0008-0000-0400-0000C6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19" name="Rectangle 623">
              <a:extLst>
                <a:ext uri="{FF2B5EF4-FFF2-40B4-BE49-F238E27FC236}">
                  <a16:creationId xmlns:a16="http://schemas.microsoft.com/office/drawing/2014/main" id="{00000000-0008-0000-0400-0000C7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20" name="Rectangle 624">
              <a:extLst>
                <a:ext uri="{FF2B5EF4-FFF2-40B4-BE49-F238E27FC236}">
                  <a16:creationId xmlns:a16="http://schemas.microsoft.com/office/drawing/2014/main" id="{00000000-0008-0000-0400-0000C8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4909" name="Rectangle 625">
            <a:extLst>
              <a:ext uri="{FF2B5EF4-FFF2-40B4-BE49-F238E27FC236}">
                <a16:creationId xmlns:a16="http://schemas.microsoft.com/office/drawing/2014/main" id="{00000000-0008-0000-0400-0000BD89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10" name="Rectangle 626">
            <a:extLst>
              <a:ext uri="{FF2B5EF4-FFF2-40B4-BE49-F238E27FC236}">
                <a16:creationId xmlns:a16="http://schemas.microsoft.com/office/drawing/2014/main" id="{00000000-0008-0000-0400-0000BE89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23" name="Group 627">
          <a:extLst>
            <a:ext uri="{FF2B5EF4-FFF2-40B4-BE49-F238E27FC236}">
              <a16:creationId xmlns:a16="http://schemas.microsoft.com/office/drawing/2014/main" id="{00000000-0008-0000-0400-0000F7711200}"/>
            </a:ext>
          </a:extLst>
        </xdr:cNvPr>
        <xdr:cNvGrpSpPr>
          <a:grpSpLocks/>
        </xdr:cNvGrpSpPr>
      </xdr:nvGrpSpPr>
      <xdr:grpSpPr bwMode="auto">
        <a:xfrm>
          <a:off x="9622971" y="1308100"/>
          <a:ext cx="0" cy="792843"/>
          <a:chOff x="220" y="176"/>
          <a:chExt cx="556" cy="247"/>
        </a:xfrm>
      </xdr:grpSpPr>
      <xdr:sp macro="" textlink="">
        <xdr:nvSpPr>
          <xdr:cNvPr id="1214875" name="Rectangle 628">
            <a:extLst>
              <a:ext uri="{FF2B5EF4-FFF2-40B4-BE49-F238E27FC236}">
                <a16:creationId xmlns:a16="http://schemas.microsoft.com/office/drawing/2014/main" id="{00000000-0008-0000-0400-00009B8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76" name="Line 629">
            <a:extLst>
              <a:ext uri="{FF2B5EF4-FFF2-40B4-BE49-F238E27FC236}">
                <a16:creationId xmlns:a16="http://schemas.microsoft.com/office/drawing/2014/main" id="{00000000-0008-0000-0400-00009C89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77" name="Line 630">
            <a:extLst>
              <a:ext uri="{FF2B5EF4-FFF2-40B4-BE49-F238E27FC236}">
                <a16:creationId xmlns:a16="http://schemas.microsoft.com/office/drawing/2014/main" id="{00000000-0008-0000-0400-00009D89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78" name="Rectangle 631">
            <a:extLst>
              <a:ext uri="{FF2B5EF4-FFF2-40B4-BE49-F238E27FC236}">
                <a16:creationId xmlns:a16="http://schemas.microsoft.com/office/drawing/2014/main" id="{00000000-0008-0000-0400-00009E89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79" name="Oval 632">
            <a:extLst>
              <a:ext uri="{FF2B5EF4-FFF2-40B4-BE49-F238E27FC236}">
                <a16:creationId xmlns:a16="http://schemas.microsoft.com/office/drawing/2014/main" id="{00000000-0008-0000-0400-00009F89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80" name="Oval 633">
            <a:extLst>
              <a:ext uri="{FF2B5EF4-FFF2-40B4-BE49-F238E27FC236}">
                <a16:creationId xmlns:a16="http://schemas.microsoft.com/office/drawing/2014/main" id="{00000000-0008-0000-0400-0000A089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81" name="Rectangle 634">
            <a:extLst>
              <a:ext uri="{FF2B5EF4-FFF2-40B4-BE49-F238E27FC236}">
                <a16:creationId xmlns:a16="http://schemas.microsoft.com/office/drawing/2014/main" id="{00000000-0008-0000-0400-0000A189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82" name="Rectangle 635">
            <a:extLst>
              <a:ext uri="{FF2B5EF4-FFF2-40B4-BE49-F238E27FC236}">
                <a16:creationId xmlns:a16="http://schemas.microsoft.com/office/drawing/2014/main" id="{00000000-0008-0000-0400-0000A289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83" name="Rectangle 636">
            <a:extLst>
              <a:ext uri="{FF2B5EF4-FFF2-40B4-BE49-F238E27FC236}">
                <a16:creationId xmlns:a16="http://schemas.microsoft.com/office/drawing/2014/main" id="{00000000-0008-0000-0400-0000A38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84" name="Rectangle 637">
            <a:extLst>
              <a:ext uri="{FF2B5EF4-FFF2-40B4-BE49-F238E27FC236}">
                <a16:creationId xmlns:a16="http://schemas.microsoft.com/office/drawing/2014/main" id="{00000000-0008-0000-0400-0000A48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4885" name="Group 638">
            <a:extLst>
              <a:ext uri="{FF2B5EF4-FFF2-40B4-BE49-F238E27FC236}">
                <a16:creationId xmlns:a16="http://schemas.microsoft.com/office/drawing/2014/main" id="{00000000-0008-0000-0400-0000A589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4888" name="Rectangle 639">
              <a:extLst>
                <a:ext uri="{FF2B5EF4-FFF2-40B4-BE49-F238E27FC236}">
                  <a16:creationId xmlns:a16="http://schemas.microsoft.com/office/drawing/2014/main" id="{00000000-0008-0000-0400-0000A8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89" name="Line 640">
              <a:extLst>
                <a:ext uri="{FF2B5EF4-FFF2-40B4-BE49-F238E27FC236}">
                  <a16:creationId xmlns:a16="http://schemas.microsoft.com/office/drawing/2014/main" id="{00000000-0008-0000-0400-0000A98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90" name="Line 641">
              <a:extLst>
                <a:ext uri="{FF2B5EF4-FFF2-40B4-BE49-F238E27FC236}">
                  <a16:creationId xmlns:a16="http://schemas.microsoft.com/office/drawing/2014/main" id="{00000000-0008-0000-0400-0000AA8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91" name="Rectangle 642">
              <a:extLst>
                <a:ext uri="{FF2B5EF4-FFF2-40B4-BE49-F238E27FC236}">
                  <a16:creationId xmlns:a16="http://schemas.microsoft.com/office/drawing/2014/main" id="{00000000-0008-0000-0400-0000AB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92" name="Oval 643">
              <a:extLst>
                <a:ext uri="{FF2B5EF4-FFF2-40B4-BE49-F238E27FC236}">
                  <a16:creationId xmlns:a16="http://schemas.microsoft.com/office/drawing/2014/main" id="{00000000-0008-0000-0400-0000AC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93" name="Oval 644">
              <a:extLst>
                <a:ext uri="{FF2B5EF4-FFF2-40B4-BE49-F238E27FC236}">
                  <a16:creationId xmlns:a16="http://schemas.microsoft.com/office/drawing/2014/main" id="{00000000-0008-0000-0400-0000AD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94" name="Rectangle 645">
              <a:extLst>
                <a:ext uri="{FF2B5EF4-FFF2-40B4-BE49-F238E27FC236}">
                  <a16:creationId xmlns:a16="http://schemas.microsoft.com/office/drawing/2014/main" id="{00000000-0008-0000-0400-0000AE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95" name="Rectangle 646">
              <a:extLst>
                <a:ext uri="{FF2B5EF4-FFF2-40B4-BE49-F238E27FC236}">
                  <a16:creationId xmlns:a16="http://schemas.microsoft.com/office/drawing/2014/main" id="{00000000-0008-0000-0400-0000AF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96" name="Rectangle 647">
              <a:extLst>
                <a:ext uri="{FF2B5EF4-FFF2-40B4-BE49-F238E27FC236}">
                  <a16:creationId xmlns:a16="http://schemas.microsoft.com/office/drawing/2014/main" id="{00000000-0008-0000-0400-0000B0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97" name="Rectangle 648">
              <a:extLst>
                <a:ext uri="{FF2B5EF4-FFF2-40B4-BE49-F238E27FC236}">
                  <a16:creationId xmlns:a16="http://schemas.microsoft.com/office/drawing/2014/main" id="{00000000-0008-0000-0400-0000B1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4886" name="Rectangle 649">
            <a:extLst>
              <a:ext uri="{FF2B5EF4-FFF2-40B4-BE49-F238E27FC236}">
                <a16:creationId xmlns:a16="http://schemas.microsoft.com/office/drawing/2014/main" id="{00000000-0008-0000-0400-0000A689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87" name="Rectangle 650">
            <a:extLst>
              <a:ext uri="{FF2B5EF4-FFF2-40B4-BE49-F238E27FC236}">
                <a16:creationId xmlns:a16="http://schemas.microsoft.com/office/drawing/2014/main" id="{00000000-0008-0000-0400-0000A789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152400</xdr:rowOff>
    </xdr:from>
    <xdr:to>
      <xdr:col>13</xdr:col>
      <xdr:colOff>0</xdr:colOff>
      <xdr:row>3</xdr:row>
      <xdr:rowOff>0</xdr:rowOff>
    </xdr:to>
    <xdr:grpSp>
      <xdr:nvGrpSpPr>
        <xdr:cNvPr id="1208824" name="Group 651">
          <a:extLst>
            <a:ext uri="{FF2B5EF4-FFF2-40B4-BE49-F238E27FC236}">
              <a16:creationId xmlns:a16="http://schemas.microsoft.com/office/drawing/2014/main" id="{00000000-0008-0000-0400-0000F8711200}"/>
            </a:ext>
          </a:extLst>
        </xdr:cNvPr>
        <xdr:cNvGrpSpPr>
          <a:grpSpLocks/>
        </xdr:cNvGrpSpPr>
      </xdr:nvGrpSpPr>
      <xdr:grpSpPr bwMode="auto">
        <a:xfrm>
          <a:off x="9622971" y="1295400"/>
          <a:ext cx="0" cy="805543"/>
          <a:chOff x="333" y="153"/>
          <a:chExt cx="219" cy="333"/>
        </a:xfrm>
      </xdr:grpSpPr>
      <xdr:sp macro="" textlink="">
        <xdr:nvSpPr>
          <xdr:cNvPr id="1214865" name="Rectangle 652">
            <a:extLst>
              <a:ext uri="{FF2B5EF4-FFF2-40B4-BE49-F238E27FC236}">
                <a16:creationId xmlns:a16="http://schemas.microsoft.com/office/drawing/2014/main" id="{00000000-0008-0000-0400-00009189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66" name="Line 653">
            <a:extLst>
              <a:ext uri="{FF2B5EF4-FFF2-40B4-BE49-F238E27FC236}">
                <a16:creationId xmlns:a16="http://schemas.microsoft.com/office/drawing/2014/main" id="{00000000-0008-0000-0400-000092891200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67" name="Line 654">
            <a:extLst>
              <a:ext uri="{FF2B5EF4-FFF2-40B4-BE49-F238E27FC236}">
                <a16:creationId xmlns:a16="http://schemas.microsoft.com/office/drawing/2014/main" id="{00000000-0008-0000-0400-00009389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68" name="Rectangle 655">
            <a:extLst>
              <a:ext uri="{FF2B5EF4-FFF2-40B4-BE49-F238E27FC236}">
                <a16:creationId xmlns:a16="http://schemas.microsoft.com/office/drawing/2014/main" id="{00000000-0008-0000-0400-000094891200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69" name="Oval 656">
            <a:extLst>
              <a:ext uri="{FF2B5EF4-FFF2-40B4-BE49-F238E27FC236}">
                <a16:creationId xmlns:a16="http://schemas.microsoft.com/office/drawing/2014/main" id="{00000000-0008-0000-0400-00009589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70" name="Oval 657">
            <a:extLst>
              <a:ext uri="{FF2B5EF4-FFF2-40B4-BE49-F238E27FC236}">
                <a16:creationId xmlns:a16="http://schemas.microsoft.com/office/drawing/2014/main" id="{00000000-0008-0000-0400-00009689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71" name="Rectangle 658">
            <a:extLst>
              <a:ext uri="{FF2B5EF4-FFF2-40B4-BE49-F238E27FC236}">
                <a16:creationId xmlns:a16="http://schemas.microsoft.com/office/drawing/2014/main" id="{00000000-0008-0000-0400-000097891200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72" name="Rectangle 659">
            <a:extLst>
              <a:ext uri="{FF2B5EF4-FFF2-40B4-BE49-F238E27FC236}">
                <a16:creationId xmlns:a16="http://schemas.microsoft.com/office/drawing/2014/main" id="{00000000-0008-0000-0400-000098891200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73" name="Rectangle 660">
            <a:extLst>
              <a:ext uri="{FF2B5EF4-FFF2-40B4-BE49-F238E27FC236}">
                <a16:creationId xmlns:a16="http://schemas.microsoft.com/office/drawing/2014/main" id="{00000000-0008-0000-0400-00009989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74" name="Rectangle 661">
            <a:extLst>
              <a:ext uri="{FF2B5EF4-FFF2-40B4-BE49-F238E27FC236}">
                <a16:creationId xmlns:a16="http://schemas.microsoft.com/office/drawing/2014/main" id="{00000000-0008-0000-0400-00009A89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152400</xdr:rowOff>
    </xdr:from>
    <xdr:to>
      <xdr:col>13</xdr:col>
      <xdr:colOff>0</xdr:colOff>
      <xdr:row>3</xdr:row>
      <xdr:rowOff>0</xdr:rowOff>
    </xdr:to>
    <xdr:grpSp>
      <xdr:nvGrpSpPr>
        <xdr:cNvPr id="1208825" name="Group 662">
          <a:extLst>
            <a:ext uri="{FF2B5EF4-FFF2-40B4-BE49-F238E27FC236}">
              <a16:creationId xmlns:a16="http://schemas.microsoft.com/office/drawing/2014/main" id="{00000000-0008-0000-0400-0000F9711200}"/>
            </a:ext>
          </a:extLst>
        </xdr:cNvPr>
        <xdr:cNvGrpSpPr>
          <a:grpSpLocks/>
        </xdr:cNvGrpSpPr>
      </xdr:nvGrpSpPr>
      <xdr:grpSpPr bwMode="auto">
        <a:xfrm>
          <a:off x="9622971" y="1295400"/>
          <a:ext cx="0" cy="805543"/>
          <a:chOff x="333" y="153"/>
          <a:chExt cx="219" cy="333"/>
        </a:xfrm>
      </xdr:grpSpPr>
      <xdr:sp macro="" textlink="">
        <xdr:nvSpPr>
          <xdr:cNvPr id="1214855" name="Rectangle 663">
            <a:extLst>
              <a:ext uri="{FF2B5EF4-FFF2-40B4-BE49-F238E27FC236}">
                <a16:creationId xmlns:a16="http://schemas.microsoft.com/office/drawing/2014/main" id="{00000000-0008-0000-0400-00008789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56" name="Line 664">
            <a:extLst>
              <a:ext uri="{FF2B5EF4-FFF2-40B4-BE49-F238E27FC236}">
                <a16:creationId xmlns:a16="http://schemas.microsoft.com/office/drawing/2014/main" id="{00000000-0008-0000-0400-000088891200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57" name="Line 665">
            <a:extLst>
              <a:ext uri="{FF2B5EF4-FFF2-40B4-BE49-F238E27FC236}">
                <a16:creationId xmlns:a16="http://schemas.microsoft.com/office/drawing/2014/main" id="{00000000-0008-0000-0400-00008989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58" name="Rectangle 666">
            <a:extLst>
              <a:ext uri="{FF2B5EF4-FFF2-40B4-BE49-F238E27FC236}">
                <a16:creationId xmlns:a16="http://schemas.microsoft.com/office/drawing/2014/main" id="{00000000-0008-0000-0400-00008A891200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59" name="Oval 667">
            <a:extLst>
              <a:ext uri="{FF2B5EF4-FFF2-40B4-BE49-F238E27FC236}">
                <a16:creationId xmlns:a16="http://schemas.microsoft.com/office/drawing/2014/main" id="{00000000-0008-0000-0400-00008B89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60" name="Oval 668">
            <a:extLst>
              <a:ext uri="{FF2B5EF4-FFF2-40B4-BE49-F238E27FC236}">
                <a16:creationId xmlns:a16="http://schemas.microsoft.com/office/drawing/2014/main" id="{00000000-0008-0000-0400-00008C89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61" name="Rectangle 669">
            <a:extLst>
              <a:ext uri="{FF2B5EF4-FFF2-40B4-BE49-F238E27FC236}">
                <a16:creationId xmlns:a16="http://schemas.microsoft.com/office/drawing/2014/main" id="{00000000-0008-0000-0400-00008D891200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62" name="Rectangle 670">
            <a:extLst>
              <a:ext uri="{FF2B5EF4-FFF2-40B4-BE49-F238E27FC236}">
                <a16:creationId xmlns:a16="http://schemas.microsoft.com/office/drawing/2014/main" id="{00000000-0008-0000-0400-00008E891200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63" name="Rectangle 671">
            <a:extLst>
              <a:ext uri="{FF2B5EF4-FFF2-40B4-BE49-F238E27FC236}">
                <a16:creationId xmlns:a16="http://schemas.microsoft.com/office/drawing/2014/main" id="{00000000-0008-0000-0400-00008F89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64" name="Rectangle 672">
            <a:extLst>
              <a:ext uri="{FF2B5EF4-FFF2-40B4-BE49-F238E27FC236}">
                <a16:creationId xmlns:a16="http://schemas.microsoft.com/office/drawing/2014/main" id="{00000000-0008-0000-0400-00009089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2</xdr:row>
      <xdr:rowOff>546100</xdr:rowOff>
    </xdr:to>
    <xdr:grpSp>
      <xdr:nvGrpSpPr>
        <xdr:cNvPr id="1208826" name="Group 673">
          <a:extLst>
            <a:ext uri="{FF2B5EF4-FFF2-40B4-BE49-F238E27FC236}">
              <a16:creationId xmlns:a16="http://schemas.microsoft.com/office/drawing/2014/main" id="{00000000-0008-0000-0400-0000FA711200}"/>
            </a:ext>
          </a:extLst>
        </xdr:cNvPr>
        <xdr:cNvGrpSpPr>
          <a:grpSpLocks/>
        </xdr:cNvGrpSpPr>
      </xdr:nvGrpSpPr>
      <xdr:grpSpPr bwMode="auto">
        <a:xfrm>
          <a:off x="9622971" y="1308100"/>
          <a:ext cx="0" cy="381000"/>
          <a:chOff x="335" y="195"/>
          <a:chExt cx="352" cy="282"/>
        </a:xfrm>
      </xdr:grpSpPr>
      <xdr:grpSp>
        <xdr:nvGrpSpPr>
          <xdr:cNvPr id="1214833" name="Group 674">
            <a:extLst>
              <a:ext uri="{FF2B5EF4-FFF2-40B4-BE49-F238E27FC236}">
                <a16:creationId xmlns:a16="http://schemas.microsoft.com/office/drawing/2014/main" id="{00000000-0008-0000-0400-00007189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4845" name="Rectangle 675">
              <a:extLst>
                <a:ext uri="{FF2B5EF4-FFF2-40B4-BE49-F238E27FC236}">
                  <a16:creationId xmlns:a16="http://schemas.microsoft.com/office/drawing/2014/main" id="{00000000-0008-0000-0400-00007D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46" name="Line 676">
              <a:extLst>
                <a:ext uri="{FF2B5EF4-FFF2-40B4-BE49-F238E27FC236}">
                  <a16:creationId xmlns:a16="http://schemas.microsoft.com/office/drawing/2014/main" id="{00000000-0008-0000-0400-00007E8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47" name="Line 677">
              <a:extLst>
                <a:ext uri="{FF2B5EF4-FFF2-40B4-BE49-F238E27FC236}">
                  <a16:creationId xmlns:a16="http://schemas.microsoft.com/office/drawing/2014/main" id="{00000000-0008-0000-0400-00007F8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48" name="Rectangle 678">
              <a:extLst>
                <a:ext uri="{FF2B5EF4-FFF2-40B4-BE49-F238E27FC236}">
                  <a16:creationId xmlns:a16="http://schemas.microsoft.com/office/drawing/2014/main" id="{00000000-0008-0000-0400-000080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49" name="Oval 679">
              <a:extLst>
                <a:ext uri="{FF2B5EF4-FFF2-40B4-BE49-F238E27FC236}">
                  <a16:creationId xmlns:a16="http://schemas.microsoft.com/office/drawing/2014/main" id="{00000000-0008-0000-0400-000081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50" name="Oval 680">
              <a:extLst>
                <a:ext uri="{FF2B5EF4-FFF2-40B4-BE49-F238E27FC236}">
                  <a16:creationId xmlns:a16="http://schemas.microsoft.com/office/drawing/2014/main" id="{00000000-0008-0000-0400-000082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51" name="Rectangle 681">
              <a:extLst>
                <a:ext uri="{FF2B5EF4-FFF2-40B4-BE49-F238E27FC236}">
                  <a16:creationId xmlns:a16="http://schemas.microsoft.com/office/drawing/2014/main" id="{00000000-0008-0000-0400-000083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52" name="Rectangle 682">
              <a:extLst>
                <a:ext uri="{FF2B5EF4-FFF2-40B4-BE49-F238E27FC236}">
                  <a16:creationId xmlns:a16="http://schemas.microsoft.com/office/drawing/2014/main" id="{00000000-0008-0000-0400-000084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53" name="Rectangle 683">
              <a:extLst>
                <a:ext uri="{FF2B5EF4-FFF2-40B4-BE49-F238E27FC236}">
                  <a16:creationId xmlns:a16="http://schemas.microsoft.com/office/drawing/2014/main" id="{00000000-0008-0000-0400-000085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54" name="Rectangle 684">
              <a:extLst>
                <a:ext uri="{FF2B5EF4-FFF2-40B4-BE49-F238E27FC236}">
                  <a16:creationId xmlns:a16="http://schemas.microsoft.com/office/drawing/2014/main" id="{00000000-0008-0000-0400-000086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4834" name="Group 685">
            <a:extLst>
              <a:ext uri="{FF2B5EF4-FFF2-40B4-BE49-F238E27FC236}">
                <a16:creationId xmlns:a16="http://schemas.microsoft.com/office/drawing/2014/main" id="{00000000-0008-0000-0400-00007289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4835" name="Rectangle 686">
              <a:extLst>
                <a:ext uri="{FF2B5EF4-FFF2-40B4-BE49-F238E27FC236}">
                  <a16:creationId xmlns:a16="http://schemas.microsoft.com/office/drawing/2014/main" id="{00000000-0008-0000-0400-000073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36" name="Line 687">
              <a:extLst>
                <a:ext uri="{FF2B5EF4-FFF2-40B4-BE49-F238E27FC236}">
                  <a16:creationId xmlns:a16="http://schemas.microsoft.com/office/drawing/2014/main" id="{00000000-0008-0000-0400-0000748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37" name="Line 688">
              <a:extLst>
                <a:ext uri="{FF2B5EF4-FFF2-40B4-BE49-F238E27FC236}">
                  <a16:creationId xmlns:a16="http://schemas.microsoft.com/office/drawing/2014/main" id="{00000000-0008-0000-0400-0000758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38" name="Rectangle 689">
              <a:extLst>
                <a:ext uri="{FF2B5EF4-FFF2-40B4-BE49-F238E27FC236}">
                  <a16:creationId xmlns:a16="http://schemas.microsoft.com/office/drawing/2014/main" id="{00000000-0008-0000-0400-000076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39" name="Oval 690">
              <a:extLst>
                <a:ext uri="{FF2B5EF4-FFF2-40B4-BE49-F238E27FC236}">
                  <a16:creationId xmlns:a16="http://schemas.microsoft.com/office/drawing/2014/main" id="{00000000-0008-0000-0400-000077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40" name="Oval 691">
              <a:extLst>
                <a:ext uri="{FF2B5EF4-FFF2-40B4-BE49-F238E27FC236}">
                  <a16:creationId xmlns:a16="http://schemas.microsoft.com/office/drawing/2014/main" id="{00000000-0008-0000-0400-000078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41" name="Rectangle 692">
              <a:extLst>
                <a:ext uri="{FF2B5EF4-FFF2-40B4-BE49-F238E27FC236}">
                  <a16:creationId xmlns:a16="http://schemas.microsoft.com/office/drawing/2014/main" id="{00000000-0008-0000-0400-000079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42" name="Rectangle 693">
              <a:extLst>
                <a:ext uri="{FF2B5EF4-FFF2-40B4-BE49-F238E27FC236}">
                  <a16:creationId xmlns:a16="http://schemas.microsoft.com/office/drawing/2014/main" id="{00000000-0008-0000-0400-00007A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43" name="Rectangle 694">
              <a:extLst>
                <a:ext uri="{FF2B5EF4-FFF2-40B4-BE49-F238E27FC236}">
                  <a16:creationId xmlns:a16="http://schemas.microsoft.com/office/drawing/2014/main" id="{00000000-0008-0000-0400-00007B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44" name="Rectangle 695">
              <a:extLst>
                <a:ext uri="{FF2B5EF4-FFF2-40B4-BE49-F238E27FC236}">
                  <a16:creationId xmlns:a16="http://schemas.microsoft.com/office/drawing/2014/main" id="{00000000-0008-0000-0400-00007C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2</xdr:row>
      <xdr:rowOff>546100</xdr:rowOff>
    </xdr:to>
    <xdr:grpSp>
      <xdr:nvGrpSpPr>
        <xdr:cNvPr id="1208827" name="Group 696">
          <a:extLst>
            <a:ext uri="{FF2B5EF4-FFF2-40B4-BE49-F238E27FC236}">
              <a16:creationId xmlns:a16="http://schemas.microsoft.com/office/drawing/2014/main" id="{00000000-0008-0000-0400-0000FB711200}"/>
            </a:ext>
          </a:extLst>
        </xdr:cNvPr>
        <xdr:cNvGrpSpPr>
          <a:grpSpLocks/>
        </xdr:cNvGrpSpPr>
      </xdr:nvGrpSpPr>
      <xdr:grpSpPr bwMode="auto">
        <a:xfrm>
          <a:off x="9622971" y="1308100"/>
          <a:ext cx="0" cy="381000"/>
          <a:chOff x="335" y="195"/>
          <a:chExt cx="352" cy="282"/>
        </a:xfrm>
      </xdr:grpSpPr>
      <xdr:grpSp>
        <xdr:nvGrpSpPr>
          <xdr:cNvPr id="1214811" name="Group 697">
            <a:extLst>
              <a:ext uri="{FF2B5EF4-FFF2-40B4-BE49-F238E27FC236}">
                <a16:creationId xmlns:a16="http://schemas.microsoft.com/office/drawing/2014/main" id="{00000000-0008-0000-0400-00005B89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4823" name="Rectangle 698">
              <a:extLst>
                <a:ext uri="{FF2B5EF4-FFF2-40B4-BE49-F238E27FC236}">
                  <a16:creationId xmlns:a16="http://schemas.microsoft.com/office/drawing/2014/main" id="{00000000-0008-0000-0400-000067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24" name="Line 699">
              <a:extLst>
                <a:ext uri="{FF2B5EF4-FFF2-40B4-BE49-F238E27FC236}">
                  <a16:creationId xmlns:a16="http://schemas.microsoft.com/office/drawing/2014/main" id="{00000000-0008-0000-0400-0000688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25" name="Line 700">
              <a:extLst>
                <a:ext uri="{FF2B5EF4-FFF2-40B4-BE49-F238E27FC236}">
                  <a16:creationId xmlns:a16="http://schemas.microsoft.com/office/drawing/2014/main" id="{00000000-0008-0000-0400-0000698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26" name="Rectangle 701">
              <a:extLst>
                <a:ext uri="{FF2B5EF4-FFF2-40B4-BE49-F238E27FC236}">
                  <a16:creationId xmlns:a16="http://schemas.microsoft.com/office/drawing/2014/main" id="{00000000-0008-0000-0400-00006A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27" name="Oval 702">
              <a:extLst>
                <a:ext uri="{FF2B5EF4-FFF2-40B4-BE49-F238E27FC236}">
                  <a16:creationId xmlns:a16="http://schemas.microsoft.com/office/drawing/2014/main" id="{00000000-0008-0000-0400-00006B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28" name="Oval 703">
              <a:extLst>
                <a:ext uri="{FF2B5EF4-FFF2-40B4-BE49-F238E27FC236}">
                  <a16:creationId xmlns:a16="http://schemas.microsoft.com/office/drawing/2014/main" id="{00000000-0008-0000-0400-00006C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29" name="Rectangle 704">
              <a:extLst>
                <a:ext uri="{FF2B5EF4-FFF2-40B4-BE49-F238E27FC236}">
                  <a16:creationId xmlns:a16="http://schemas.microsoft.com/office/drawing/2014/main" id="{00000000-0008-0000-0400-00006D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30" name="Rectangle 705">
              <a:extLst>
                <a:ext uri="{FF2B5EF4-FFF2-40B4-BE49-F238E27FC236}">
                  <a16:creationId xmlns:a16="http://schemas.microsoft.com/office/drawing/2014/main" id="{00000000-0008-0000-0400-00006E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31" name="Rectangle 706">
              <a:extLst>
                <a:ext uri="{FF2B5EF4-FFF2-40B4-BE49-F238E27FC236}">
                  <a16:creationId xmlns:a16="http://schemas.microsoft.com/office/drawing/2014/main" id="{00000000-0008-0000-0400-00006F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32" name="Rectangle 707">
              <a:extLst>
                <a:ext uri="{FF2B5EF4-FFF2-40B4-BE49-F238E27FC236}">
                  <a16:creationId xmlns:a16="http://schemas.microsoft.com/office/drawing/2014/main" id="{00000000-0008-0000-0400-000070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4812" name="Group 708">
            <a:extLst>
              <a:ext uri="{FF2B5EF4-FFF2-40B4-BE49-F238E27FC236}">
                <a16:creationId xmlns:a16="http://schemas.microsoft.com/office/drawing/2014/main" id="{00000000-0008-0000-0400-00005C89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4813" name="Rectangle 709">
              <a:extLst>
                <a:ext uri="{FF2B5EF4-FFF2-40B4-BE49-F238E27FC236}">
                  <a16:creationId xmlns:a16="http://schemas.microsoft.com/office/drawing/2014/main" id="{00000000-0008-0000-0400-00005D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14" name="Line 710">
              <a:extLst>
                <a:ext uri="{FF2B5EF4-FFF2-40B4-BE49-F238E27FC236}">
                  <a16:creationId xmlns:a16="http://schemas.microsoft.com/office/drawing/2014/main" id="{00000000-0008-0000-0400-00005E8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15" name="Line 711">
              <a:extLst>
                <a:ext uri="{FF2B5EF4-FFF2-40B4-BE49-F238E27FC236}">
                  <a16:creationId xmlns:a16="http://schemas.microsoft.com/office/drawing/2014/main" id="{00000000-0008-0000-0400-00005F8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16" name="Rectangle 712">
              <a:extLst>
                <a:ext uri="{FF2B5EF4-FFF2-40B4-BE49-F238E27FC236}">
                  <a16:creationId xmlns:a16="http://schemas.microsoft.com/office/drawing/2014/main" id="{00000000-0008-0000-0400-000060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17" name="Oval 713">
              <a:extLst>
                <a:ext uri="{FF2B5EF4-FFF2-40B4-BE49-F238E27FC236}">
                  <a16:creationId xmlns:a16="http://schemas.microsoft.com/office/drawing/2014/main" id="{00000000-0008-0000-0400-000061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18" name="Oval 714">
              <a:extLst>
                <a:ext uri="{FF2B5EF4-FFF2-40B4-BE49-F238E27FC236}">
                  <a16:creationId xmlns:a16="http://schemas.microsoft.com/office/drawing/2014/main" id="{00000000-0008-0000-0400-000062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19" name="Rectangle 715">
              <a:extLst>
                <a:ext uri="{FF2B5EF4-FFF2-40B4-BE49-F238E27FC236}">
                  <a16:creationId xmlns:a16="http://schemas.microsoft.com/office/drawing/2014/main" id="{00000000-0008-0000-0400-000063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20" name="Rectangle 716">
              <a:extLst>
                <a:ext uri="{FF2B5EF4-FFF2-40B4-BE49-F238E27FC236}">
                  <a16:creationId xmlns:a16="http://schemas.microsoft.com/office/drawing/2014/main" id="{00000000-0008-0000-0400-000064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21" name="Rectangle 717">
              <a:extLst>
                <a:ext uri="{FF2B5EF4-FFF2-40B4-BE49-F238E27FC236}">
                  <a16:creationId xmlns:a16="http://schemas.microsoft.com/office/drawing/2014/main" id="{00000000-0008-0000-0400-000065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22" name="Rectangle 718">
              <a:extLst>
                <a:ext uri="{FF2B5EF4-FFF2-40B4-BE49-F238E27FC236}">
                  <a16:creationId xmlns:a16="http://schemas.microsoft.com/office/drawing/2014/main" id="{00000000-0008-0000-0400-000066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2</xdr:row>
      <xdr:rowOff>546100</xdr:rowOff>
    </xdr:to>
    <xdr:grpSp>
      <xdr:nvGrpSpPr>
        <xdr:cNvPr id="1208828" name="Group 719">
          <a:extLst>
            <a:ext uri="{FF2B5EF4-FFF2-40B4-BE49-F238E27FC236}">
              <a16:creationId xmlns:a16="http://schemas.microsoft.com/office/drawing/2014/main" id="{00000000-0008-0000-0400-0000FC711200}"/>
            </a:ext>
          </a:extLst>
        </xdr:cNvPr>
        <xdr:cNvGrpSpPr>
          <a:grpSpLocks/>
        </xdr:cNvGrpSpPr>
      </xdr:nvGrpSpPr>
      <xdr:grpSpPr bwMode="auto">
        <a:xfrm>
          <a:off x="9622971" y="1308100"/>
          <a:ext cx="0" cy="381000"/>
          <a:chOff x="335" y="195"/>
          <a:chExt cx="352" cy="282"/>
        </a:xfrm>
      </xdr:grpSpPr>
      <xdr:grpSp>
        <xdr:nvGrpSpPr>
          <xdr:cNvPr id="1214789" name="Group 720">
            <a:extLst>
              <a:ext uri="{FF2B5EF4-FFF2-40B4-BE49-F238E27FC236}">
                <a16:creationId xmlns:a16="http://schemas.microsoft.com/office/drawing/2014/main" id="{00000000-0008-0000-0400-00004589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4801" name="Rectangle 721">
              <a:extLst>
                <a:ext uri="{FF2B5EF4-FFF2-40B4-BE49-F238E27FC236}">
                  <a16:creationId xmlns:a16="http://schemas.microsoft.com/office/drawing/2014/main" id="{00000000-0008-0000-0400-000051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02" name="Line 722">
              <a:extLst>
                <a:ext uri="{FF2B5EF4-FFF2-40B4-BE49-F238E27FC236}">
                  <a16:creationId xmlns:a16="http://schemas.microsoft.com/office/drawing/2014/main" id="{00000000-0008-0000-0400-0000528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03" name="Line 723">
              <a:extLst>
                <a:ext uri="{FF2B5EF4-FFF2-40B4-BE49-F238E27FC236}">
                  <a16:creationId xmlns:a16="http://schemas.microsoft.com/office/drawing/2014/main" id="{00000000-0008-0000-0400-0000538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04" name="Rectangle 724">
              <a:extLst>
                <a:ext uri="{FF2B5EF4-FFF2-40B4-BE49-F238E27FC236}">
                  <a16:creationId xmlns:a16="http://schemas.microsoft.com/office/drawing/2014/main" id="{00000000-0008-0000-0400-000054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05" name="Oval 725">
              <a:extLst>
                <a:ext uri="{FF2B5EF4-FFF2-40B4-BE49-F238E27FC236}">
                  <a16:creationId xmlns:a16="http://schemas.microsoft.com/office/drawing/2014/main" id="{00000000-0008-0000-0400-000055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06" name="Oval 726">
              <a:extLst>
                <a:ext uri="{FF2B5EF4-FFF2-40B4-BE49-F238E27FC236}">
                  <a16:creationId xmlns:a16="http://schemas.microsoft.com/office/drawing/2014/main" id="{00000000-0008-0000-0400-000056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07" name="Rectangle 727">
              <a:extLst>
                <a:ext uri="{FF2B5EF4-FFF2-40B4-BE49-F238E27FC236}">
                  <a16:creationId xmlns:a16="http://schemas.microsoft.com/office/drawing/2014/main" id="{00000000-0008-0000-0400-000057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08" name="Rectangle 728">
              <a:extLst>
                <a:ext uri="{FF2B5EF4-FFF2-40B4-BE49-F238E27FC236}">
                  <a16:creationId xmlns:a16="http://schemas.microsoft.com/office/drawing/2014/main" id="{00000000-0008-0000-0400-000058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09" name="Rectangle 729">
              <a:extLst>
                <a:ext uri="{FF2B5EF4-FFF2-40B4-BE49-F238E27FC236}">
                  <a16:creationId xmlns:a16="http://schemas.microsoft.com/office/drawing/2014/main" id="{00000000-0008-0000-0400-000059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10" name="Rectangle 730">
              <a:extLst>
                <a:ext uri="{FF2B5EF4-FFF2-40B4-BE49-F238E27FC236}">
                  <a16:creationId xmlns:a16="http://schemas.microsoft.com/office/drawing/2014/main" id="{00000000-0008-0000-0400-00005A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4790" name="Group 731">
            <a:extLst>
              <a:ext uri="{FF2B5EF4-FFF2-40B4-BE49-F238E27FC236}">
                <a16:creationId xmlns:a16="http://schemas.microsoft.com/office/drawing/2014/main" id="{00000000-0008-0000-0400-00004689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4791" name="Rectangle 732">
              <a:extLst>
                <a:ext uri="{FF2B5EF4-FFF2-40B4-BE49-F238E27FC236}">
                  <a16:creationId xmlns:a16="http://schemas.microsoft.com/office/drawing/2014/main" id="{00000000-0008-0000-0400-000047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92" name="Line 733">
              <a:extLst>
                <a:ext uri="{FF2B5EF4-FFF2-40B4-BE49-F238E27FC236}">
                  <a16:creationId xmlns:a16="http://schemas.microsoft.com/office/drawing/2014/main" id="{00000000-0008-0000-0400-0000488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93" name="Line 734">
              <a:extLst>
                <a:ext uri="{FF2B5EF4-FFF2-40B4-BE49-F238E27FC236}">
                  <a16:creationId xmlns:a16="http://schemas.microsoft.com/office/drawing/2014/main" id="{00000000-0008-0000-0400-0000498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94" name="Rectangle 735">
              <a:extLst>
                <a:ext uri="{FF2B5EF4-FFF2-40B4-BE49-F238E27FC236}">
                  <a16:creationId xmlns:a16="http://schemas.microsoft.com/office/drawing/2014/main" id="{00000000-0008-0000-0400-00004A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95" name="Oval 736">
              <a:extLst>
                <a:ext uri="{FF2B5EF4-FFF2-40B4-BE49-F238E27FC236}">
                  <a16:creationId xmlns:a16="http://schemas.microsoft.com/office/drawing/2014/main" id="{00000000-0008-0000-0400-00004B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96" name="Oval 737">
              <a:extLst>
                <a:ext uri="{FF2B5EF4-FFF2-40B4-BE49-F238E27FC236}">
                  <a16:creationId xmlns:a16="http://schemas.microsoft.com/office/drawing/2014/main" id="{00000000-0008-0000-0400-00004C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97" name="Rectangle 738">
              <a:extLst>
                <a:ext uri="{FF2B5EF4-FFF2-40B4-BE49-F238E27FC236}">
                  <a16:creationId xmlns:a16="http://schemas.microsoft.com/office/drawing/2014/main" id="{00000000-0008-0000-0400-00004D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98" name="Rectangle 739">
              <a:extLst>
                <a:ext uri="{FF2B5EF4-FFF2-40B4-BE49-F238E27FC236}">
                  <a16:creationId xmlns:a16="http://schemas.microsoft.com/office/drawing/2014/main" id="{00000000-0008-0000-0400-00004E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99" name="Rectangle 740">
              <a:extLst>
                <a:ext uri="{FF2B5EF4-FFF2-40B4-BE49-F238E27FC236}">
                  <a16:creationId xmlns:a16="http://schemas.microsoft.com/office/drawing/2014/main" id="{00000000-0008-0000-0400-00004F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00" name="Rectangle 741">
              <a:extLst>
                <a:ext uri="{FF2B5EF4-FFF2-40B4-BE49-F238E27FC236}">
                  <a16:creationId xmlns:a16="http://schemas.microsoft.com/office/drawing/2014/main" id="{00000000-0008-0000-0400-000050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2</xdr:row>
      <xdr:rowOff>546100</xdr:rowOff>
    </xdr:to>
    <xdr:grpSp>
      <xdr:nvGrpSpPr>
        <xdr:cNvPr id="1208829" name="Group 742">
          <a:extLst>
            <a:ext uri="{FF2B5EF4-FFF2-40B4-BE49-F238E27FC236}">
              <a16:creationId xmlns:a16="http://schemas.microsoft.com/office/drawing/2014/main" id="{00000000-0008-0000-0400-0000FD711200}"/>
            </a:ext>
          </a:extLst>
        </xdr:cNvPr>
        <xdr:cNvGrpSpPr>
          <a:grpSpLocks/>
        </xdr:cNvGrpSpPr>
      </xdr:nvGrpSpPr>
      <xdr:grpSpPr bwMode="auto">
        <a:xfrm>
          <a:off x="9622971" y="1308100"/>
          <a:ext cx="0" cy="381000"/>
          <a:chOff x="335" y="195"/>
          <a:chExt cx="352" cy="282"/>
        </a:xfrm>
      </xdr:grpSpPr>
      <xdr:grpSp>
        <xdr:nvGrpSpPr>
          <xdr:cNvPr id="1214767" name="Group 743">
            <a:extLst>
              <a:ext uri="{FF2B5EF4-FFF2-40B4-BE49-F238E27FC236}">
                <a16:creationId xmlns:a16="http://schemas.microsoft.com/office/drawing/2014/main" id="{00000000-0008-0000-0400-00002F89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4779" name="Rectangle 744">
              <a:extLst>
                <a:ext uri="{FF2B5EF4-FFF2-40B4-BE49-F238E27FC236}">
                  <a16:creationId xmlns:a16="http://schemas.microsoft.com/office/drawing/2014/main" id="{00000000-0008-0000-0400-00003B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80" name="Line 745">
              <a:extLst>
                <a:ext uri="{FF2B5EF4-FFF2-40B4-BE49-F238E27FC236}">
                  <a16:creationId xmlns:a16="http://schemas.microsoft.com/office/drawing/2014/main" id="{00000000-0008-0000-0400-00003C8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81" name="Line 746">
              <a:extLst>
                <a:ext uri="{FF2B5EF4-FFF2-40B4-BE49-F238E27FC236}">
                  <a16:creationId xmlns:a16="http://schemas.microsoft.com/office/drawing/2014/main" id="{00000000-0008-0000-0400-00003D8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82" name="Rectangle 747">
              <a:extLst>
                <a:ext uri="{FF2B5EF4-FFF2-40B4-BE49-F238E27FC236}">
                  <a16:creationId xmlns:a16="http://schemas.microsoft.com/office/drawing/2014/main" id="{00000000-0008-0000-0400-00003E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83" name="Oval 748">
              <a:extLst>
                <a:ext uri="{FF2B5EF4-FFF2-40B4-BE49-F238E27FC236}">
                  <a16:creationId xmlns:a16="http://schemas.microsoft.com/office/drawing/2014/main" id="{00000000-0008-0000-0400-00003F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84" name="Oval 749">
              <a:extLst>
                <a:ext uri="{FF2B5EF4-FFF2-40B4-BE49-F238E27FC236}">
                  <a16:creationId xmlns:a16="http://schemas.microsoft.com/office/drawing/2014/main" id="{00000000-0008-0000-0400-000040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85" name="Rectangle 750">
              <a:extLst>
                <a:ext uri="{FF2B5EF4-FFF2-40B4-BE49-F238E27FC236}">
                  <a16:creationId xmlns:a16="http://schemas.microsoft.com/office/drawing/2014/main" id="{00000000-0008-0000-0400-000041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86" name="Rectangle 751">
              <a:extLst>
                <a:ext uri="{FF2B5EF4-FFF2-40B4-BE49-F238E27FC236}">
                  <a16:creationId xmlns:a16="http://schemas.microsoft.com/office/drawing/2014/main" id="{00000000-0008-0000-0400-000042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87" name="Rectangle 752">
              <a:extLst>
                <a:ext uri="{FF2B5EF4-FFF2-40B4-BE49-F238E27FC236}">
                  <a16:creationId xmlns:a16="http://schemas.microsoft.com/office/drawing/2014/main" id="{00000000-0008-0000-0400-000043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88" name="Rectangle 753">
              <a:extLst>
                <a:ext uri="{FF2B5EF4-FFF2-40B4-BE49-F238E27FC236}">
                  <a16:creationId xmlns:a16="http://schemas.microsoft.com/office/drawing/2014/main" id="{00000000-0008-0000-0400-000044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4768" name="Group 754">
            <a:extLst>
              <a:ext uri="{FF2B5EF4-FFF2-40B4-BE49-F238E27FC236}">
                <a16:creationId xmlns:a16="http://schemas.microsoft.com/office/drawing/2014/main" id="{00000000-0008-0000-0400-00003089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4769" name="Rectangle 755">
              <a:extLst>
                <a:ext uri="{FF2B5EF4-FFF2-40B4-BE49-F238E27FC236}">
                  <a16:creationId xmlns:a16="http://schemas.microsoft.com/office/drawing/2014/main" id="{00000000-0008-0000-0400-000031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70" name="Line 756">
              <a:extLst>
                <a:ext uri="{FF2B5EF4-FFF2-40B4-BE49-F238E27FC236}">
                  <a16:creationId xmlns:a16="http://schemas.microsoft.com/office/drawing/2014/main" id="{00000000-0008-0000-0400-0000328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71" name="Line 757">
              <a:extLst>
                <a:ext uri="{FF2B5EF4-FFF2-40B4-BE49-F238E27FC236}">
                  <a16:creationId xmlns:a16="http://schemas.microsoft.com/office/drawing/2014/main" id="{00000000-0008-0000-0400-0000338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72" name="Rectangle 758">
              <a:extLst>
                <a:ext uri="{FF2B5EF4-FFF2-40B4-BE49-F238E27FC236}">
                  <a16:creationId xmlns:a16="http://schemas.microsoft.com/office/drawing/2014/main" id="{00000000-0008-0000-0400-000034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73" name="Oval 759">
              <a:extLst>
                <a:ext uri="{FF2B5EF4-FFF2-40B4-BE49-F238E27FC236}">
                  <a16:creationId xmlns:a16="http://schemas.microsoft.com/office/drawing/2014/main" id="{00000000-0008-0000-0400-000035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74" name="Oval 760">
              <a:extLst>
                <a:ext uri="{FF2B5EF4-FFF2-40B4-BE49-F238E27FC236}">
                  <a16:creationId xmlns:a16="http://schemas.microsoft.com/office/drawing/2014/main" id="{00000000-0008-0000-0400-000036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75" name="Rectangle 761">
              <a:extLst>
                <a:ext uri="{FF2B5EF4-FFF2-40B4-BE49-F238E27FC236}">
                  <a16:creationId xmlns:a16="http://schemas.microsoft.com/office/drawing/2014/main" id="{00000000-0008-0000-0400-000037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76" name="Rectangle 762">
              <a:extLst>
                <a:ext uri="{FF2B5EF4-FFF2-40B4-BE49-F238E27FC236}">
                  <a16:creationId xmlns:a16="http://schemas.microsoft.com/office/drawing/2014/main" id="{00000000-0008-0000-0400-000038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77" name="Rectangle 763">
              <a:extLst>
                <a:ext uri="{FF2B5EF4-FFF2-40B4-BE49-F238E27FC236}">
                  <a16:creationId xmlns:a16="http://schemas.microsoft.com/office/drawing/2014/main" id="{00000000-0008-0000-0400-000039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78" name="Rectangle 764">
              <a:extLst>
                <a:ext uri="{FF2B5EF4-FFF2-40B4-BE49-F238E27FC236}">
                  <a16:creationId xmlns:a16="http://schemas.microsoft.com/office/drawing/2014/main" id="{00000000-0008-0000-0400-00003A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2</xdr:row>
      <xdr:rowOff>546100</xdr:rowOff>
    </xdr:to>
    <xdr:grpSp>
      <xdr:nvGrpSpPr>
        <xdr:cNvPr id="1208830" name="Group 765">
          <a:extLst>
            <a:ext uri="{FF2B5EF4-FFF2-40B4-BE49-F238E27FC236}">
              <a16:creationId xmlns:a16="http://schemas.microsoft.com/office/drawing/2014/main" id="{00000000-0008-0000-0400-0000FE711200}"/>
            </a:ext>
          </a:extLst>
        </xdr:cNvPr>
        <xdr:cNvGrpSpPr>
          <a:grpSpLocks/>
        </xdr:cNvGrpSpPr>
      </xdr:nvGrpSpPr>
      <xdr:grpSpPr bwMode="auto">
        <a:xfrm>
          <a:off x="9622971" y="1308100"/>
          <a:ext cx="0" cy="381000"/>
          <a:chOff x="335" y="195"/>
          <a:chExt cx="352" cy="282"/>
        </a:xfrm>
      </xdr:grpSpPr>
      <xdr:grpSp>
        <xdr:nvGrpSpPr>
          <xdr:cNvPr id="1214745" name="Group 766">
            <a:extLst>
              <a:ext uri="{FF2B5EF4-FFF2-40B4-BE49-F238E27FC236}">
                <a16:creationId xmlns:a16="http://schemas.microsoft.com/office/drawing/2014/main" id="{00000000-0008-0000-0400-00001989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4757" name="Rectangle 767">
              <a:extLst>
                <a:ext uri="{FF2B5EF4-FFF2-40B4-BE49-F238E27FC236}">
                  <a16:creationId xmlns:a16="http://schemas.microsoft.com/office/drawing/2014/main" id="{00000000-0008-0000-0400-000025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58" name="Line 768">
              <a:extLst>
                <a:ext uri="{FF2B5EF4-FFF2-40B4-BE49-F238E27FC236}">
                  <a16:creationId xmlns:a16="http://schemas.microsoft.com/office/drawing/2014/main" id="{00000000-0008-0000-0400-0000268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59" name="Line 769">
              <a:extLst>
                <a:ext uri="{FF2B5EF4-FFF2-40B4-BE49-F238E27FC236}">
                  <a16:creationId xmlns:a16="http://schemas.microsoft.com/office/drawing/2014/main" id="{00000000-0008-0000-0400-0000278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60" name="Rectangle 770">
              <a:extLst>
                <a:ext uri="{FF2B5EF4-FFF2-40B4-BE49-F238E27FC236}">
                  <a16:creationId xmlns:a16="http://schemas.microsoft.com/office/drawing/2014/main" id="{00000000-0008-0000-0400-000028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61" name="Oval 771">
              <a:extLst>
                <a:ext uri="{FF2B5EF4-FFF2-40B4-BE49-F238E27FC236}">
                  <a16:creationId xmlns:a16="http://schemas.microsoft.com/office/drawing/2014/main" id="{00000000-0008-0000-0400-000029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62" name="Oval 772">
              <a:extLst>
                <a:ext uri="{FF2B5EF4-FFF2-40B4-BE49-F238E27FC236}">
                  <a16:creationId xmlns:a16="http://schemas.microsoft.com/office/drawing/2014/main" id="{00000000-0008-0000-0400-00002A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63" name="Rectangle 773">
              <a:extLst>
                <a:ext uri="{FF2B5EF4-FFF2-40B4-BE49-F238E27FC236}">
                  <a16:creationId xmlns:a16="http://schemas.microsoft.com/office/drawing/2014/main" id="{00000000-0008-0000-0400-00002B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64" name="Rectangle 774">
              <a:extLst>
                <a:ext uri="{FF2B5EF4-FFF2-40B4-BE49-F238E27FC236}">
                  <a16:creationId xmlns:a16="http://schemas.microsoft.com/office/drawing/2014/main" id="{00000000-0008-0000-0400-00002C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65" name="Rectangle 775">
              <a:extLst>
                <a:ext uri="{FF2B5EF4-FFF2-40B4-BE49-F238E27FC236}">
                  <a16:creationId xmlns:a16="http://schemas.microsoft.com/office/drawing/2014/main" id="{00000000-0008-0000-0400-00002D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66" name="Rectangle 776">
              <a:extLst>
                <a:ext uri="{FF2B5EF4-FFF2-40B4-BE49-F238E27FC236}">
                  <a16:creationId xmlns:a16="http://schemas.microsoft.com/office/drawing/2014/main" id="{00000000-0008-0000-0400-00002E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4746" name="Group 777">
            <a:extLst>
              <a:ext uri="{FF2B5EF4-FFF2-40B4-BE49-F238E27FC236}">
                <a16:creationId xmlns:a16="http://schemas.microsoft.com/office/drawing/2014/main" id="{00000000-0008-0000-0400-00001A89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4747" name="Rectangle 778">
              <a:extLst>
                <a:ext uri="{FF2B5EF4-FFF2-40B4-BE49-F238E27FC236}">
                  <a16:creationId xmlns:a16="http://schemas.microsoft.com/office/drawing/2014/main" id="{00000000-0008-0000-0400-00001B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48" name="Line 779">
              <a:extLst>
                <a:ext uri="{FF2B5EF4-FFF2-40B4-BE49-F238E27FC236}">
                  <a16:creationId xmlns:a16="http://schemas.microsoft.com/office/drawing/2014/main" id="{00000000-0008-0000-0400-00001C8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49" name="Line 780">
              <a:extLst>
                <a:ext uri="{FF2B5EF4-FFF2-40B4-BE49-F238E27FC236}">
                  <a16:creationId xmlns:a16="http://schemas.microsoft.com/office/drawing/2014/main" id="{00000000-0008-0000-0400-00001D8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50" name="Rectangle 781">
              <a:extLst>
                <a:ext uri="{FF2B5EF4-FFF2-40B4-BE49-F238E27FC236}">
                  <a16:creationId xmlns:a16="http://schemas.microsoft.com/office/drawing/2014/main" id="{00000000-0008-0000-0400-00001E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51" name="Oval 782">
              <a:extLst>
                <a:ext uri="{FF2B5EF4-FFF2-40B4-BE49-F238E27FC236}">
                  <a16:creationId xmlns:a16="http://schemas.microsoft.com/office/drawing/2014/main" id="{00000000-0008-0000-0400-00001F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52" name="Oval 783">
              <a:extLst>
                <a:ext uri="{FF2B5EF4-FFF2-40B4-BE49-F238E27FC236}">
                  <a16:creationId xmlns:a16="http://schemas.microsoft.com/office/drawing/2014/main" id="{00000000-0008-0000-0400-000020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53" name="Rectangle 784">
              <a:extLst>
                <a:ext uri="{FF2B5EF4-FFF2-40B4-BE49-F238E27FC236}">
                  <a16:creationId xmlns:a16="http://schemas.microsoft.com/office/drawing/2014/main" id="{00000000-0008-0000-0400-000021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54" name="Rectangle 785">
              <a:extLst>
                <a:ext uri="{FF2B5EF4-FFF2-40B4-BE49-F238E27FC236}">
                  <a16:creationId xmlns:a16="http://schemas.microsoft.com/office/drawing/2014/main" id="{00000000-0008-0000-0400-000022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55" name="Rectangle 786">
              <a:extLst>
                <a:ext uri="{FF2B5EF4-FFF2-40B4-BE49-F238E27FC236}">
                  <a16:creationId xmlns:a16="http://schemas.microsoft.com/office/drawing/2014/main" id="{00000000-0008-0000-0400-000023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56" name="Rectangle 787">
              <a:extLst>
                <a:ext uri="{FF2B5EF4-FFF2-40B4-BE49-F238E27FC236}">
                  <a16:creationId xmlns:a16="http://schemas.microsoft.com/office/drawing/2014/main" id="{00000000-0008-0000-0400-000024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2</xdr:row>
      <xdr:rowOff>546100</xdr:rowOff>
    </xdr:to>
    <xdr:grpSp>
      <xdr:nvGrpSpPr>
        <xdr:cNvPr id="1208831" name="Group 788">
          <a:extLst>
            <a:ext uri="{FF2B5EF4-FFF2-40B4-BE49-F238E27FC236}">
              <a16:creationId xmlns:a16="http://schemas.microsoft.com/office/drawing/2014/main" id="{00000000-0008-0000-0400-0000FF711200}"/>
            </a:ext>
          </a:extLst>
        </xdr:cNvPr>
        <xdr:cNvGrpSpPr>
          <a:grpSpLocks/>
        </xdr:cNvGrpSpPr>
      </xdr:nvGrpSpPr>
      <xdr:grpSpPr bwMode="auto">
        <a:xfrm>
          <a:off x="9622971" y="1308100"/>
          <a:ext cx="0" cy="381000"/>
          <a:chOff x="335" y="195"/>
          <a:chExt cx="352" cy="282"/>
        </a:xfrm>
      </xdr:grpSpPr>
      <xdr:grpSp>
        <xdr:nvGrpSpPr>
          <xdr:cNvPr id="1214723" name="Group 789">
            <a:extLst>
              <a:ext uri="{FF2B5EF4-FFF2-40B4-BE49-F238E27FC236}">
                <a16:creationId xmlns:a16="http://schemas.microsoft.com/office/drawing/2014/main" id="{00000000-0008-0000-0400-00000389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4735" name="Rectangle 790">
              <a:extLst>
                <a:ext uri="{FF2B5EF4-FFF2-40B4-BE49-F238E27FC236}">
                  <a16:creationId xmlns:a16="http://schemas.microsoft.com/office/drawing/2014/main" id="{00000000-0008-0000-0400-00000F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36" name="Line 791">
              <a:extLst>
                <a:ext uri="{FF2B5EF4-FFF2-40B4-BE49-F238E27FC236}">
                  <a16:creationId xmlns:a16="http://schemas.microsoft.com/office/drawing/2014/main" id="{00000000-0008-0000-0400-0000108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37" name="Line 792">
              <a:extLst>
                <a:ext uri="{FF2B5EF4-FFF2-40B4-BE49-F238E27FC236}">
                  <a16:creationId xmlns:a16="http://schemas.microsoft.com/office/drawing/2014/main" id="{00000000-0008-0000-0400-0000118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38" name="Rectangle 793">
              <a:extLst>
                <a:ext uri="{FF2B5EF4-FFF2-40B4-BE49-F238E27FC236}">
                  <a16:creationId xmlns:a16="http://schemas.microsoft.com/office/drawing/2014/main" id="{00000000-0008-0000-0400-000012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39" name="Oval 794">
              <a:extLst>
                <a:ext uri="{FF2B5EF4-FFF2-40B4-BE49-F238E27FC236}">
                  <a16:creationId xmlns:a16="http://schemas.microsoft.com/office/drawing/2014/main" id="{00000000-0008-0000-0400-000013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40" name="Oval 795">
              <a:extLst>
                <a:ext uri="{FF2B5EF4-FFF2-40B4-BE49-F238E27FC236}">
                  <a16:creationId xmlns:a16="http://schemas.microsoft.com/office/drawing/2014/main" id="{00000000-0008-0000-0400-000014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41" name="Rectangle 796">
              <a:extLst>
                <a:ext uri="{FF2B5EF4-FFF2-40B4-BE49-F238E27FC236}">
                  <a16:creationId xmlns:a16="http://schemas.microsoft.com/office/drawing/2014/main" id="{00000000-0008-0000-0400-000015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42" name="Rectangle 797">
              <a:extLst>
                <a:ext uri="{FF2B5EF4-FFF2-40B4-BE49-F238E27FC236}">
                  <a16:creationId xmlns:a16="http://schemas.microsoft.com/office/drawing/2014/main" id="{00000000-0008-0000-0400-000016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43" name="Rectangle 798">
              <a:extLst>
                <a:ext uri="{FF2B5EF4-FFF2-40B4-BE49-F238E27FC236}">
                  <a16:creationId xmlns:a16="http://schemas.microsoft.com/office/drawing/2014/main" id="{00000000-0008-0000-0400-000017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44" name="Rectangle 799">
              <a:extLst>
                <a:ext uri="{FF2B5EF4-FFF2-40B4-BE49-F238E27FC236}">
                  <a16:creationId xmlns:a16="http://schemas.microsoft.com/office/drawing/2014/main" id="{00000000-0008-0000-0400-000018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4724" name="Group 800">
            <a:extLst>
              <a:ext uri="{FF2B5EF4-FFF2-40B4-BE49-F238E27FC236}">
                <a16:creationId xmlns:a16="http://schemas.microsoft.com/office/drawing/2014/main" id="{00000000-0008-0000-0400-00000489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4725" name="Rectangle 801">
              <a:extLst>
                <a:ext uri="{FF2B5EF4-FFF2-40B4-BE49-F238E27FC236}">
                  <a16:creationId xmlns:a16="http://schemas.microsoft.com/office/drawing/2014/main" id="{00000000-0008-0000-0400-000005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26" name="Line 802">
              <a:extLst>
                <a:ext uri="{FF2B5EF4-FFF2-40B4-BE49-F238E27FC236}">
                  <a16:creationId xmlns:a16="http://schemas.microsoft.com/office/drawing/2014/main" id="{00000000-0008-0000-0400-0000068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27" name="Line 803">
              <a:extLst>
                <a:ext uri="{FF2B5EF4-FFF2-40B4-BE49-F238E27FC236}">
                  <a16:creationId xmlns:a16="http://schemas.microsoft.com/office/drawing/2014/main" id="{00000000-0008-0000-0400-0000078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28" name="Rectangle 804">
              <a:extLst>
                <a:ext uri="{FF2B5EF4-FFF2-40B4-BE49-F238E27FC236}">
                  <a16:creationId xmlns:a16="http://schemas.microsoft.com/office/drawing/2014/main" id="{00000000-0008-0000-0400-000008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29" name="Oval 805">
              <a:extLst>
                <a:ext uri="{FF2B5EF4-FFF2-40B4-BE49-F238E27FC236}">
                  <a16:creationId xmlns:a16="http://schemas.microsoft.com/office/drawing/2014/main" id="{00000000-0008-0000-0400-000009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30" name="Oval 806">
              <a:extLst>
                <a:ext uri="{FF2B5EF4-FFF2-40B4-BE49-F238E27FC236}">
                  <a16:creationId xmlns:a16="http://schemas.microsoft.com/office/drawing/2014/main" id="{00000000-0008-0000-0400-00000A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31" name="Rectangle 807">
              <a:extLst>
                <a:ext uri="{FF2B5EF4-FFF2-40B4-BE49-F238E27FC236}">
                  <a16:creationId xmlns:a16="http://schemas.microsoft.com/office/drawing/2014/main" id="{00000000-0008-0000-0400-00000B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32" name="Rectangle 808">
              <a:extLst>
                <a:ext uri="{FF2B5EF4-FFF2-40B4-BE49-F238E27FC236}">
                  <a16:creationId xmlns:a16="http://schemas.microsoft.com/office/drawing/2014/main" id="{00000000-0008-0000-0400-00000C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33" name="Rectangle 809">
              <a:extLst>
                <a:ext uri="{FF2B5EF4-FFF2-40B4-BE49-F238E27FC236}">
                  <a16:creationId xmlns:a16="http://schemas.microsoft.com/office/drawing/2014/main" id="{00000000-0008-0000-0400-00000D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34" name="Rectangle 810">
              <a:extLst>
                <a:ext uri="{FF2B5EF4-FFF2-40B4-BE49-F238E27FC236}">
                  <a16:creationId xmlns:a16="http://schemas.microsoft.com/office/drawing/2014/main" id="{00000000-0008-0000-0400-00000E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2</xdr:row>
      <xdr:rowOff>546100</xdr:rowOff>
    </xdr:to>
    <xdr:grpSp>
      <xdr:nvGrpSpPr>
        <xdr:cNvPr id="1208832" name="Group 811">
          <a:extLst>
            <a:ext uri="{FF2B5EF4-FFF2-40B4-BE49-F238E27FC236}">
              <a16:creationId xmlns:a16="http://schemas.microsoft.com/office/drawing/2014/main" id="{00000000-0008-0000-0400-000000721200}"/>
            </a:ext>
          </a:extLst>
        </xdr:cNvPr>
        <xdr:cNvGrpSpPr>
          <a:grpSpLocks/>
        </xdr:cNvGrpSpPr>
      </xdr:nvGrpSpPr>
      <xdr:grpSpPr bwMode="auto">
        <a:xfrm>
          <a:off x="9622971" y="1308100"/>
          <a:ext cx="0" cy="381000"/>
          <a:chOff x="335" y="195"/>
          <a:chExt cx="352" cy="282"/>
        </a:xfrm>
      </xdr:grpSpPr>
      <xdr:grpSp>
        <xdr:nvGrpSpPr>
          <xdr:cNvPr id="1214701" name="Group 812">
            <a:extLst>
              <a:ext uri="{FF2B5EF4-FFF2-40B4-BE49-F238E27FC236}">
                <a16:creationId xmlns:a16="http://schemas.microsoft.com/office/drawing/2014/main" id="{00000000-0008-0000-0400-0000ED88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4713" name="Rectangle 813">
              <a:extLst>
                <a:ext uri="{FF2B5EF4-FFF2-40B4-BE49-F238E27FC236}">
                  <a16:creationId xmlns:a16="http://schemas.microsoft.com/office/drawing/2014/main" id="{00000000-0008-0000-0400-0000F9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14" name="Line 814">
              <a:extLst>
                <a:ext uri="{FF2B5EF4-FFF2-40B4-BE49-F238E27FC236}">
                  <a16:creationId xmlns:a16="http://schemas.microsoft.com/office/drawing/2014/main" id="{00000000-0008-0000-0400-0000FA88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15" name="Line 815">
              <a:extLst>
                <a:ext uri="{FF2B5EF4-FFF2-40B4-BE49-F238E27FC236}">
                  <a16:creationId xmlns:a16="http://schemas.microsoft.com/office/drawing/2014/main" id="{00000000-0008-0000-0400-0000FB88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16" name="Rectangle 816">
              <a:extLst>
                <a:ext uri="{FF2B5EF4-FFF2-40B4-BE49-F238E27FC236}">
                  <a16:creationId xmlns:a16="http://schemas.microsoft.com/office/drawing/2014/main" id="{00000000-0008-0000-0400-0000FC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17" name="Oval 817">
              <a:extLst>
                <a:ext uri="{FF2B5EF4-FFF2-40B4-BE49-F238E27FC236}">
                  <a16:creationId xmlns:a16="http://schemas.microsoft.com/office/drawing/2014/main" id="{00000000-0008-0000-0400-0000FD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18" name="Oval 818">
              <a:extLst>
                <a:ext uri="{FF2B5EF4-FFF2-40B4-BE49-F238E27FC236}">
                  <a16:creationId xmlns:a16="http://schemas.microsoft.com/office/drawing/2014/main" id="{00000000-0008-0000-0400-0000FE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19" name="Rectangle 819">
              <a:extLst>
                <a:ext uri="{FF2B5EF4-FFF2-40B4-BE49-F238E27FC236}">
                  <a16:creationId xmlns:a16="http://schemas.microsoft.com/office/drawing/2014/main" id="{00000000-0008-0000-0400-0000FF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20" name="Rectangle 820">
              <a:extLst>
                <a:ext uri="{FF2B5EF4-FFF2-40B4-BE49-F238E27FC236}">
                  <a16:creationId xmlns:a16="http://schemas.microsoft.com/office/drawing/2014/main" id="{00000000-0008-0000-0400-000000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21" name="Rectangle 821">
              <a:extLst>
                <a:ext uri="{FF2B5EF4-FFF2-40B4-BE49-F238E27FC236}">
                  <a16:creationId xmlns:a16="http://schemas.microsoft.com/office/drawing/2014/main" id="{00000000-0008-0000-0400-000001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22" name="Rectangle 822">
              <a:extLst>
                <a:ext uri="{FF2B5EF4-FFF2-40B4-BE49-F238E27FC236}">
                  <a16:creationId xmlns:a16="http://schemas.microsoft.com/office/drawing/2014/main" id="{00000000-0008-0000-0400-000002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4702" name="Group 823">
            <a:extLst>
              <a:ext uri="{FF2B5EF4-FFF2-40B4-BE49-F238E27FC236}">
                <a16:creationId xmlns:a16="http://schemas.microsoft.com/office/drawing/2014/main" id="{00000000-0008-0000-0400-0000EE88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4703" name="Rectangle 824">
              <a:extLst>
                <a:ext uri="{FF2B5EF4-FFF2-40B4-BE49-F238E27FC236}">
                  <a16:creationId xmlns:a16="http://schemas.microsoft.com/office/drawing/2014/main" id="{00000000-0008-0000-0400-0000EF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04" name="Line 825">
              <a:extLst>
                <a:ext uri="{FF2B5EF4-FFF2-40B4-BE49-F238E27FC236}">
                  <a16:creationId xmlns:a16="http://schemas.microsoft.com/office/drawing/2014/main" id="{00000000-0008-0000-0400-0000F088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05" name="Line 826">
              <a:extLst>
                <a:ext uri="{FF2B5EF4-FFF2-40B4-BE49-F238E27FC236}">
                  <a16:creationId xmlns:a16="http://schemas.microsoft.com/office/drawing/2014/main" id="{00000000-0008-0000-0400-0000F188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06" name="Rectangle 827">
              <a:extLst>
                <a:ext uri="{FF2B5EF4-FFF2-40B4-BE49-F238E27FC236}">
                  <a16:creationId xmlns:a16="http://schemas.microsoft.com/office/drawing/2014/main" id="{00000000-0008-0000-0400-0000F2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07" name="Oval 828">
              <a:extLst>
                <a:ext uri="{FF2B5EF4-FFF2-40B4-BE49-F238E27FC236}">
                  <a16:creationId xmlns:a16="http://schemas.microsoft.com/office/drawing/2014/main" id="{00000000-0008-0000-0400-0000F3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08" name="Oval 829">
              <a:extLst>
                <a:ext uri="{FF2B5EF4-FFF2-40B4-BE49-F238E27FC236}">
                  <a16:creationId xmlns:a16="http://schemas.microsoft.com/office/drawing/2014/main" id="{00000000-0008-0000-0400-0000F4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09" name="Rectangle 830">
              <a:extLst>
                <a:ext uri="{FF2B5EF4-FFF2-40B4-BE49-F238E27FC236}">
                  <a16:creationId xmlns:a16="http://schemas.microsoft.com/office/drawing/2014/main" id="{00000000-0008-0000-0400-0000F5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10" name="Rectangle 831">
              <a:extLst>
                <a:ext uri="{FF2B5EF4-FFF2-40B4-BE49-F238E27FC236}">
                  <a16:creationId xmlns:a16="http://schemas.microsoft.com/office/drawing/2014/main" id="{00000000-0008-0000-0400-0000F6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11" name="Rectangle 832">
              <a:extLst>
                <a:ext uri="{FF2B5EF4-FFF2-40B4-BE49-F238E27FC236}">
                  <a16:creationId xmlns:a16="http://schemas.microsoft.com/office/drawing/2014/main" id="{00000000-0008-0000-0400-0000F7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12" name="Rectangle 833">
              <a:extLst>
                <a:ext uri="{FF2B5EF4-FFF2-40B4-BE49-F238E27FC236}">
                  <a16:creationId xmlns:a16="http://schemas.microsoft.com/office/drawing/2014/main" id="{00000000-0008-0000-0400-0000F8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33" name="Group 834">
          <a:extLst>
            <a:ext uri="{FF2B5EF4-FFF2-40B4-BE49-F238E27FC236}">
              <a16:creationId xmlns:a16="http://schemas.microsoft.com/office/drawing/2014/main" id="{00000000-0008-0000-0400-000001721200}"/>
            </a:ext>
          </a:extLst>
        </xdr:cNvPr>
        <xdr:cNvGrpSpPr>
          <a:grpSpLocks/>
        </xdr:cNvGrpSpPr>
      </xdr:nvGrpSpPr>
      <xdr:grpSpPr bwMode="auto">
        <a:xfrm>
          <a:off x="9622971" y="1308100"/>
          <a:ext cx="0" cy="792843"/>
          <a:chOff x="220" y="176"/>
          <a:chExt cx="556" cy="247"/>
        </a:xfrm>
      </xdr:grpSpPr>
      <xdr:sp macro="" textlink="">
        <xdr:nvSpPr>
          <xdr:cNvPr id="1214678" name="Rectangle 835">
            <a:extLst>
              <a:ext uri="{FF2B5EF4-FFF2-40B4-BE49-F238E27FC236}">
                <a16:creationId xmlns:a16="http://schemas.microsoft.com/office/drawing/2014/main" id="{00000000-0008-0000-0400-0000D688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79" name="Line 836">
            <a:extLst>
              <a:ext uri="{FF2B5EF4-FFF2-40B4-BE49-F238E27FC236}">
                <a16:creationId xmlns:a16="http://schemas.microsoft.com/office/drawing/2014/main" id="{00000000-0008-0000-0400-0000D788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80" name="Line 837">
            <a:extLst>
              <a:ext uri="{FF2B5EF4-FFF2-40B4-BE49-F238E27FC236}">
                <a16:creationId xmlns:a16="http://schemas.microsoft.com/office/drawing/2014/main" id="{00000000-0008-0000-0400-0000D888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81" name="Rectangle 838">
            <a:extLst>
              <a:ext uri="{FF2B5EF4-FFF2-40B4-BE49-F238E27FC236}">
                <a16:creationId xmlns:a16="http://schemas.microsoft.com/office/drawing/2014/main" id="{00000000-0008-0000-0400-0000D988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82" name="Oval 839">
            <a:extLst>
              <a:ext uri="{FF2B5EF4-FFF2-40B4-BE49-F238E27FC236}">
                <a16:creationId xmlns:a16="http://schemas.microsoft.com/office/drawing/2014/main" id="{00000000-0008-0000-0400-0000DA88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83" name="Oval 840">
            <a:extLst>
              <a:ext uri="{FF2B5EF4-FFF2-40B4-BE49-F238E27FC236}">
                <a16:creationId xmlns:a16="http://schemas.microsoft.com/office/drawing/2014/main" id="{00000000-0008-0000-0400-0000DB88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84" name="Rectangle 841">
            <a:extLst>
              <a:ext uri="{FF2B5EF4-FFF2-40B4-BE49-F238E27FC236}">
                <a16:creationId xmlns:a16="http://schemas.microsoft.com/office/drawing/2014/main" id="{00000000-0008-0000-0400-0000DC88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85" name="Rectangle 842">
            <a:extLst>
              <a:ext uri="{FF2B5EF4-FFF2-40B4-BE49-F238E27FC236}">
                <a16:creationId xmlns:a16="http://schemas.microsoft.com/office/drawing/2014/main" id="{00000000-0008-0000-0400-0000DD88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86" name="Rectangle 843">
            <a:extLst>
              <a:ext uri="{FF2B5EF4-FFF2-40B4-BE49-F238E27FC236}">
                <a16:creationId xmlns:a16="http://schemas.microsoft.com/office/drawing/2014/main" id="{00000000-0008-0000-0400-0000DE88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87" name="Rectangle 844">
            <a:extLst>
              <a:ext uri="{FF2B5EF4-FFF2-40B4-BE49-F238E27FC236}">
                <a16:creationId xmlns:a16="http://schemas.microsoft.com/office/drawing/2014/main" id="{00000000-0008-0000-0400-0000DF88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4688" name="Group 845">
            <a:extLst>
              <a:ext uri="{FF2B5EF4-FFF2-40B4-BE49-F238E27FC236}">
                <a16:creationId xmlns:a16="http://schemas.microsoft.com/office/drawing/2014/main" id="{00000000-0008-0000-0400-0000E088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4691" name="Rectangle 846">
              <a:extLst>
                <a:ext uri="{FF2B5EF4-FFF2-40B4-BE49-F238E27FC236}">
                  <a16:creationId xmlns:a16="http://schemas.microsoft.com/office/drawing/2014/main" id="{00000000-0008-0000-0400-0000E3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92" name="Line 847">
              <a:extLst>
                <a:ext uri="{FF2B5EF4-FFF2-40B4-BE49-F238E27FC236}">
                  <a16:creationId xmlns:a16="http://schemas.microsoft.com/office/drawing/2014/main" id="{00000000-0008-0000-0400-0000E488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93" name="Line 848">
              <a:extLst>
                <a:ext uri="{FF2B5EF4-FFF2-40B4-BE49-F238E27FC236}">
                  <a16:creationId xmlns:a16="http://schemas.microsoft.com/office/drawing/2014/main" id="{00000000-0008-0000-0400-0000E588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94" name="Rectangle 849">
              <a:extLst>
                <a:ext uri="{FF2B5EF4-FFF2-40B4-BE49-F238E27FC236}">
                  <a16:creationId xmlns:a16="http://schemas.microsoft.com/office/drawing/2014/main" id="{00000000-0008-0000-0400-0000E6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95" name="Oval 850">
              <a:extLst>
                <a:ext uri="{FF2B5EF4-FFF2-40B4-BE49-F238E27FC236}">
                  <a16:creationId xmlns:a16="http://schemas.microsoft.com/office/drawing/2014/main" id="{00000000-0008-0000-0400-0000E7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96" name="Oval 851">
              <a:extLst>
                <a:ext uri="{FF2B5EF4-FFF2-40B4-BE49-F238E27FC236}">
                  <a16:creationId xmlns:a16="http://schemas.microsoft.com/office/drawing/2014/main" id="{00000000-0008-0000-0400-0000E8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97" name="Rectangle 852">
              <a:extLst>
                <a:ext uri="{FF2B5EF4-FFF2-40B4-BE49-F238E27FC236}">
                  <a16:creationId xmlns:a16="http://schemas.microsoft.com/office/drawing/2014/main" id="{00000000-0008-0000-0400-0000E9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98" name="Rectangle 853">
              <a:extLst>
                <a:ext uri="{FF2B5EF4-FFF2-40B4-BE49-F238E27FC236}">
                  <a16:creationId xmlns:a16="http://schemas.microsoft.com/office/drawing/2014/main" id="{00000000-0008-0000-0400-0000EA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99" name="Rectangle 854">
              <a:extLst>
                <a:ext uri="{FF2B5EF4-FFF2-40B4-BE49-F238E27FC236}">
                  <a16:creationId xmlns:a16="http://schemas.microsoft.com/office/drawing/2014/main" id="{00000000-0008-0000-0400-0000EB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00" name="Rectangle 855">
              <a:extLst>
                <a:ext uri="{FF2B5EF4-FFF2-40B4-BE49-F238E27FC236}">
                  <a16:creationId xmlns:a16="http://schemas.microsoft.com/office/drawing/2014/main" id="{00000000-0008-0000-0400-0000EC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4689" name="Rectangle 856">
            <a:extLst>
              <a:ext uri="{FF2B5EF4-FFF2-40B4-BE49-F238E27FC236}">
                <a16:creationId xmlns:a16="http://schemas.microsoft.com/office/drawing/2014/main" id="{00000000-0008-0000-0400-0000E188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90" name="Rectangle 857">
            <a:extLst>
              <a:ext uri="{FF2B5EF4-FFF2-40B4-BE49-F238E27FC236}">
                <a16:creationId xmlns:a16="http://schemas.microsoft.com/office/drawing/2014/main" id="{00000000-0008-0000-0400-0000E288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34" name="Group 858">
          <a:extLst>
            <a:ext uri="{FF2B5EF4-FFF2-40B4-BE49-F238E27FC236}">
              <a16:creationId xmlns:a16="http://schemas.microsoft.com/office/drawing/2014/main" id="{00000000-0008-0000-0400-000002721200}"/>
            </a:ext>
          </a:extLst>
        </xdr:cNvPr>
        <xdr:cNvGrpSpPr>
          <a:grpSpLocks/>
        </xdr:cNvGrpSpPr>
      </xdr:nvGrpSpPr>
      <xdr:grpSpPr bwMode="auto">
        <a:xfrm>
          <a:off x="9622971" y="1308100"/>
          <a:ext cx="0" cy="792843"/>
          <a:chOff x="220" y="176"/>
          <a:chExt cx="556" cy="247"/>
        </a:xfrm>
      </xdr:grpSpPr>
      <xdr:sp macro="" textlink="">
        <xdr:nvSpPr>
          <xdr:cNvPr id="1214655" name="Rectangle 859">
            <a:extLst>
              <a:ext uri="{FF2B5EF4-FFF2-40B4-BE49-F238E27FC236}">
                <a16:creationId xmlns:a16="http://schemas.microsoft.com/office/drawing/2014/main" id="{00000000-0008-0000-0400-0000BF88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56" name="Line 860">
            <a:extLst>
              <a:ext uri="{FF2B5EF4-FFF2-40B4-BE49-F238E27FC236}">
                <a16:creationId xmlns:a16="http://schemas.microsoft.com/office/drawing/2014/main" id="{00000000-0008-0000-0400-0000C088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57" name="Line 861">
            <a:extLst>
              <a:ext uri="{FF2B5EF4-FFF2-40B4-BE49-F238E27FC236}">
                <a16:creationId xmlns:a16="http://schemas.microsoft.com/office/drawing/2014/main" id="{00000000-0008-0000-0400-0000C188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58" name="Rectangle 862">
            <a:extLst>
              <a:ext uri="{FF2B5EF4-FFF2-40B4-BE49-F238E27FC236}">
                <a16:creationId xmlns:a16="http://schemas.microsoft.com/office/drawing/2014/main" id="{00000000-0008-0000-0400-0000C288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59" name="Oval 863">
            <a:extLst>
              <a:ext uri="{FF2B5EF4-FFF2-40B4-BE49-F238E27FC236}">
                <a16:creationId xmlns:a16="http://schemas.microsoft.com/office/drawing/2014/main" id="{00000000-0008-0000-0400-0000C388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60" name="Oval 864">
            <a:extLst>
              <a:ext uri="{FF2B5EF4-FFF2-40B4-BE49-F238E27FC236}">
                <a16:creationId xmlns:a16="http://schemas.microsoft.com/office/drawing/2014/main" id="{00000000-0008-0000-0400-0000C488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61" name="Rectangle 865">
            <a:extLst>
              <a:ext uri="{FF2B5EF4-FFF2-40B4-BE49-F238E27FC236}">
                <a16:creationId xmlns:a16="http://schemas.microsoft.com/office/drawing/2014/main" id="{00000000-0008-0000-0400-0000C588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62" name="Rectangle 866">
            <a:extLst>
              <a:ext uri="{FF2B5EF4-FFF2-40B4-BE49-F238E27FC236}">
                <a16:creationId xmlns:a16="http://schemas.microsoft.com/office/drawing/2014/main" id="{00000000-0008-0000-0400-0000C688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63" name="Rectangle 867">
            <a:extLst>
              <a:ext uri="{FF2B5EF4-FFF2-40B4-BE49-F238E27FC236}">
                <a16:creationId xmlns:a16="http://schemas.microsoft.com/office/drawing/2014/main" id="{00000000-0008-0000-0400-0000C788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64" name="Rectangle 868">
            <a:extLst>
              <a:ext uri="{FF2B5EF4-FFF2-40B4-BE49-F238E27FC236}">
                <a16:creationId xmlns:a16="http://schemas.microsoft.com/office/drawing/2014/main" id="{00000000-0008-0000-0400-0000C888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4665" name="Group 869">
            <a:extLst>
              <a:ext uri="{FF2B5EF4-FFF2-40B4-BE49-F238E27FC236}">
                <a16:creationId xmlns:a16="http://schemas.microsoft.com/office/drawing/2014/main" id="{00000000-0008-0000-0400-0000C988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4668" name="Rectangle 870">
              <a:extLst>
                <a:ext uri="{FF2B5EF4-FFF2-40B4-BE49-F238E27FC236}">
                  <a16:creationId xmlns:a16="http://schemas.microsoft.com/office/drawing/2014/main" id="{00000000-0008-0000-0400-0000CC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69" name="Line 871">
              <a:extLst>
                <a:ext uri="{FF2B5EF4-FFF2-40B4-BE49-F238E27FC236}">
                  <a16:creationId xmlns:a16="http://schemas.microsoft.com/office/drawing/2014/main" id="{00000000-0008-0000-0400-0000CD88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70" name="Line 872">
              <a:extLst>
                <a:ext uri="{FF2B5EF4-FFF2-40B4-BE49-F238E27FC236}">
                  <a16:creationId xmlns:a16="http://schemas.microsoft.com/office/drawing/2014/main" id="{00000000-0008-0000-0400-0000CE88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71" name="Rectangle 873">
              <a:extLst>
                <a:ext uri="{FF2B5EF4-FFF2-40B4-BE49-F238E27FC236}">
                  <a16:creationId xmlns:a16="http://schemas.microsoft.com/office/drawing/2014/main" id="{00000000-0008-0000-0400-0000CF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72" name="Oval 874">
              <a:extLst>
                <a:ext uri="{FF2B5EF4-FFF2-40B4-BE49-F238E27FC236}">
                  <a16:creationId xmlns:a16="http://schemas.microsoft.com/office/drawing/2014/main" id="{00000000-0008-0000-0400-0000D0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73" name="Oval 875">
              <a:extLst>
                <a:ext uri="{FF2B5EF4-FFF2-40B4-BE49-F238E27FC236}">
                  <a16:creationId xmlns:a16="http://schemas.microsoft.com/office/drawing/2014/main" id="{00000000-0008-0000-0400-0000D1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74" name="Rectangle 876">
              <a:extLst>
                <a:ext uri="{FF2B5EF4-FFF2-40B4-BE49-F238E27FC236}">
                  <a16:creationId xmlns:a16="http://schemas.microsoft.com/office/drawing/2014/main" id="{00000000-0008-0000-0400-0000D2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75" name="Rectangle 877">
              <a:extLst>
                <a:ext uri="{FF2B5EF4-FFF2-40B4-BE49-F238E27FC236}">
                  <a16:creationId xmlns:a16="http://schemas.microsoft.com/office/drawing/2014/main" id="{00000000-0008-0000-0400-0000D3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76" name="Rectangle 878">
              <a:extLst>
                <a:ext uri="{FF2B5EF4-FFF2-40B4-BE49-F238E27FC236}">
                  <a16:creationId xmlns:a16="http://schemas.microsoft.com/office/drawing/2014/main" id="{00000000-0008-0000-0400-0000D4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77" name="Rectangle 879">
              <a:extLst>
                <a:ext uri="{FF2B5EF4-FFF2-40B4-BE49-F238E27FC236}">
                  <a16:creationId xmlns:a16="http://schemas.microsoft.com/office/drawing/2014/main" id="{00000000-0008-0000-0400-0000D5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4666" name="Rectangle 880">
            <a:extLst>
              <a:ext uri="{FF2B5EF4-FFF2-40B4-BE49-F238E27FC236}">
                <a16:creationId xmlns:a16="http://schemas.microsoft.com/office/drawing/2014/main" id="{00000000-0008-0000-0400-0000CA88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67" name="Rectangle 881">
            <a:extLst>
              <a:ext uri="{FF2B5EF4-FFF2-40B4-BE49-F238E27FC236}">
                <a16:creationId xmlns:a16="http://schemas.microsoft.com/office/drawing/2014/main" id="{00000000-0008-0000-0400-0000CB88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35" name="Group 882">
          <a:extLst>
            <a:ext uri="{FF2B5EF4-FFF2-40B4-BE49-F238E27FC236}">
              <a16:creationId xmlns:a16="http://schemas.microsoft.com/office/drawing/2014/main" id="{00000000-0008-0000-0400-000003721200}"/>
            </a:ext>
          </a:extLst>
        </xdr:cNvPr>
        <xdr:cNvGrpSpPr>
          <a:grpSpLocks/>
        </xdr:cNvGrpSpPr>
      </xdr:nvGrpSpPr>
      <xdr:grpSpPr bwMode="auto">
        <a:xfrm>
          <a:off x="9622971" y="1308100"/>
          <a:ext cx="0" cy="792843"/>
          <a:chOff x="220" y="176"/>
          <a:chExt cx="556" cy="247"/>
        </a:xfrm>
      </xdr:grpSpPr>
      <xdr:sp macro="" textlink="">
        <xdr:nvSpPr>
          <xdr:cNvPr id="1214632" name="Rectangle 883">
            <a:extLst>
              <a:ext uri="{FF2B5EF4-FFF2-40B4-BE49-F238E27FC236}">
                <a16:creationId xmlns:a16="http://schemas.microsoft.com/office/drawing/2014/main" id="{00000000-0008-0000-0400-0000A888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33" name="Line 884">
            <a:extLst>
              <a:ext uri="{FF2B5EF4-FFF2-40B4-BE49-F238E27FC236}">
                <a16:creationId xmlns:a16="http://schemas.microsoft.com/office/drawing/2014/main" id="{00000000-0008-0000-0400-0000A988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34" name="Line 885">
            <a:extLst>
              <a:ext uri="{FF2B5EF4-FFF2-40B4-BE49-F238E27FC236}">
                <a16:creationId xmlns:a16="http://schemas.microsoft.com/office/drawing/2014/main" id="{00000000-0008-0000-0400-0000AA88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35" name="Rectangle 886">
            <a:extLst>
              <a:ext uri="{FF2B5EF4-FFF2-40B4-BE49-F238E27FC236}">
                <a16:creationId xmlns:a16="http://schemas.microsoft.com/office/drawing/2014/main" id="{00000000-0008-0000-0400-0000AB88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36" name="Oval 887">
            <a:extLst>
              <a:ext uri="{FF2B5EF4-FFF2-40B4-BE49-F238E27FC236}">
                <a16:creationId xmlns:a16="http://schemas.microsoft.com/office/drawing/2014/main" id="{00000000-0008-0000-0400-0000AC88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37" name="Oval 888">
            <a:extLst>
              <a:ext uri="{FF2B5EF4-FFF2-40B4-BE49-F238E27FC236}">
                <a16:creationId xmlns:a16="http://schemas.microsoft.com/office/drawing/2014/main" id="{00000000-0008-0000-0400-0000AD88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38" name="Rectangle 889">
            <a:extLst>
              <a:ext uri="{FF2B5EF4-FFF2-40B4-BE49-F238E27FC236}">
                <a16:creationId xmlns:a16="http://schemas.microsoft.com/office/drawing/2014/main" id="{00000000-0008-0000-0400-0000AE88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39" name="Rectangle 890">
            <a:extLst>
              <a:ext uri="{FF2B5EF4-FFF2-40B4-BE49-F238E27FC236}">
                <a16:creationId xmlns:a16="http://schemas.microsoft.com/office/drawing/2014/main" id="{00000000-0008-0000-0400-0000AF88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40" name="Rectangle 891">
            <a:extLst>
              <a:ext uri="{FF2B5EF4-FFF2-40B4-BE49-F238E27FC236}">
                <a16:creationId xmlns:a16="http://schemas.microsoft.com/office/drawing/2014/main" id="{00000000-0008-0000-0400-0000B088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41" name="Rectangle 892">
            <a:extLst>
              <a:ext uri="{FF2B5EF4-FFF2-40B4-BE49-F238E27FC236}">
                <a16:creationId xmlns:a16="http://schemas.microsoft.com/office/drawing/2014/main" id="{00000000-0008-0000-0400-0000B188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4642" name="Group 893">
            <a:extLst>
              <a:ext uri="{FF2B5EF4-FFF2-40B4-BE49-F238E27FC236}">
                <a16:creationId xmlns:a16="http://schemas.microsoft.com/office/drawing/2014/main" id="{00000000-0008-0000-0400-0000B288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4645" name="Rectangle 894">
              <a:extLst>
                <a:ext uri="{FF2B5EF4-FFF2-40B4-BE49-F238E27FC236}">
                  <a16:creationId xmlns:a16="http://schemas.microsoft.com/office/drawing/2014/main" id="{00000000-0008-0000-0400-0000B5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46" name="Line 895">
              <a:extLst>
                <a:ext uri="{FF2B5EF4-FFF2-40B4-BE49-F238E27FC236}">
                  <a16:creationId xmlns:a16="http://schemas.microsoft.com/office/drawing/2014/main" id="{00000000-0008-0000-0400-0000B688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47" name="Line 896">
              <a:extLst>
                <a:ext uri="{FF2B5EF4-FFF2-40B4-BE49-F238E27FC236}">
                  <a16:creationId xmlns:a16="http://schemas.microsoft.com/office/drawing/2014/main" id="{00000000-0008-0000-0400-0000B788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48" name="Rectangle 897">
              <a:extLst>
                <a:ext uri="{FF2B5EF4-FFF2-40B4-BE49-F238E27FC236}">
                  <a16:creationId xmlns:a16="http://schemas.microsoft.com/office/drawing/2014/main" id="{00000000-0008-0000-0400-0000B8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49" name="Oval 898">
              <a:extLst>
                <a:ext uri="{FF2B5EF4-FFF2-40B4-BE49-F238E27FC236}">
                  <a16:creationId xmlns:a16="http://schemas.microsoft.com/office/drawing/2014/main" id="{00000000-0008-0000-0400-0000B9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50" name="Oval 899">
              <a:extLst>
                <a:ext uri="{FF2B5EF4-FFF2-40B4-BE49-F238E27FC236}">
                  <a16:creationId xmlns:a16="http://schemas.microsoft.com/office/drawing/2014/main" id="{00000000-0008-0000-0400-0000BA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51" name="Rectangle 900">
              <a:extLst>
                <a:ext uri="{FF2B5EF4-FFF2-40B4-BE49-F238E27FC236}">
                  <a16:creationId xmlns:a16="http://schemas.microsoft.com/office/drawing/2014/main" id="{00000000-0008-0000-0400-0000BB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52" name="Rectangle 901">
              <a:extLst>
                <a:ext uri="{FF2B5EF4-FFF2-40B4-BE49-F238E27FC236}">
                  <a16:creationId xmlns:a16="http://schemas.microsoft.com/office/drawing/2014/main" id="{00000000-0008-0000-0400-0000BC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53" name="Rectangle 902">
              <a:extLst>
                <a:ext uri="{FF2B5EF4-FFF2-40B4-BE49-F238E27FC236}">
                  <a16:creationId xmlns:a16="http://schemas.microsoft.com/office/drawing/2014/main" id="{00000000-0008-0000-0400-0000BD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54" name="Rectangle 903">
              <a:extLst>
                <a:ext uri="{FF2B5EF4-FFF2-40B4-BE49-F238E27FC236}">
                  <a16:creationId xmlns:a16="http://schemas.microsoft.com/office/drawing/2014/main" id="{00000000-0008-0000-0400-0000BE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4643" name="Rectangle 904">
            <a:extLst>
              <a:ext uri="{FF2B5EF4-FFF2-40B4-BE49-F238E27FC236}">
                <a16:creationId xmlns:a16="http://schemas.microsoft.com/office/drawing/2014/main" id="{00000000-0008-0000-0400-0000B388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44" name="Rectangle 905">
            <a:extLst>
              <a:ext uri="{FF2B5EF4-FFF2-40B4-BE49-F238E27FC236}">
                <a16:creationId xmlns:a16="http://schemas.microsoft.com/office/drawing/2014/main" id="{00000000-0008-0000-0400-0000B488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36" name="Group 906">
          <a:extLst>
            <a:ext uri="{FF2B5EF4-FFF2-40B4-BE49-F238E27FC236}">
              <a16:creationId xmlns:a16="http://schemas.microsoft.com/office/drawing/2014/main" id="{00000000-0008-0000-0400-000004721200}"/>
            </a:ext>
          </a:extLst>
        </xdr:cNvPr>
        <xdr:cNvGrpSpPr>
          <a:grpSpLocks/>
        </xdr:cNvGrpSpPr>
      </xdr:nvGrpSpPr>
      <xdr:grpSpPr bwMode="auto">
        <a:xfrm>
          <a:off x="9622971" y="1308100"/>
          <a:ext cx="0" cy="792843"/>
          <a:chOff x="220" y="176"/>
          <a:chExt cx="556" cy="247"/>
        </a:xfrm>
      </xdr:grpSpPr>
      <xdr:sp macro="" textlink="">
        <xdr:nvSpPr>
          <xdr:cNvPr id="1214609" name="Rectangle 907">
            <a:extLst>
              <a:ext uri="{FF2B5EF4-FFF2-40B4-BE49-F238E27FC236}">
                <a16:creationId xmlns:a16="http://schemas.microsoft.com/office/drawing/2014/main" id="{00000000-0008-0000-0400-00009188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10" name="Line 908">
            <a:extLst>
              <a:ext uri="{FF2B5EF4-FFF2-40B4-BE49-F238E27FC236}">
                <a16:creationId xmlns:a16="http://schemas.microsoft.com/office/drawing/2014/main" id="{00000000-0008-0000-0400-00009288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11" name="Line 909">
            <a:extLst>
              <a:ext uri="{FF2B5EF4-FFF2-40B4-BE49-F238E27FC236}">
                <a16:creationId xmlns:a16="http://schemas.microsoft.com/office/drawing/2014/main" id="{00000000-0008-0000-0400-00009388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12" name="Rectangle 910">
            <a:extLst>
              <a:ext uri="{FF2B5EF4-FFF2-40B4-BE49-F238E27FC236}">
                <a16:creationId xmlns:a16="http://schemas.microsoft.com/office/drawing/2014/main" id="{00000000-0008-0000-0400-00009488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13" name="Oval 911">
            <a:extLst>
              <a:ext uri="{FF2B5EF4-FFF2-40B4-BE49-F238E27FC236}">
                <a16:creationId xmlns:a16="http://schemas.microsoft.com/office/drawing/2014/main" id="{00000000-0008-0000-0400-00009588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14" name="Oval 912">
            <a:extLst>
              <a:ext uri="{FF2B5EF4-FFF2-40B4-BE49-F238E27FC236}">
                <a16:creationId xmlns:a16="http://schemas.microsoft.com/office/drawing/2014/main" id="{00000000-0008-0000-0400-00009688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15" name="Rectangle 913">
            <a:extLst>
              <a:ext uri="{FF2B5EF4-FFF2-40B4-BE49-F238E27FC236}">
                <a16:creationId xmlns:a16="http://schemas.microsoft.com/office/drawing/2014/main" id="{00000000-0008-0000-0400-00009788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16" name="Rectangle 914">
            <a:extLst>
              <a:ext uri="{FF2B5EF4-FFF2-40B4-BE49-F238E27FC236}">
                <a16:creationId xmlns:a16="http://schemas.microsoft.com/office/drawing/2014/main" id="{00000000-0008-0000-0400-00009888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17" name="Rectangle 915">
            <a:extLst>
              <a:ext uri="{FF2B5EF4-FFF2-40B4-BE49-F238E27FC236}">
                <a16:creationId xmlns:a16="http://schemas.microsoft.com/office/drawing/2014/main" id="{00000000-0008-0000-0400-00009988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18" name="Rectangle 916">
            <a:extLst>
              <a:ext uri="{FF2B5EF4-FFF2-40B4-BE49-F238E27FC236}">
                <a16:creationId xmlns:a16="http://schemas.microsoft.com/office/drawing/2014/main" id="{00000000-0008-0000-0400-00009A88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4619" name="Group 917">
            <a:extLst>
              <a:ext uri="{FF2B5EF4-FFF2-40B4-BE49-F238E27FC236}">
                <a16:creationId xmlns:a16="http://schemas.microsoft.com/office/drawing/2014/main" id="{00000000-0008-0000-0400-00009B88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4622" name="Rectangle 918">
              <a:extLst>
                <a:ext uri="{FF2B5EF4-FFF2-40B4-BE49-F238E27FC236}">
                  <a16:creationId xmlns:a16="http://schemas.microsoft.com/office/drawing/2014/main" id="{00000000-0008-0000-0400-00009E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23" name="Line 919">
              <a:extLst>
                <a:ext uri="{FF2B5EF4-FFF2-40B4-BE49-F238E27FC236}">
                  <a16:creationId xmlns:a16="http://schemas.microsoft.com/office/drawing/2014/main" id="{00000000-0008-0000-0400-00009F88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24" name="Line 920">
              <a:extLst>
                <a:ext uri="{FF2B5EF4-FFF2-40B4-BE49-F238E27FC236}">
                  <a16:creationId xmlns:a16="http://schemas.microsoft.com/office/drawing/2014/main" id="{00000000-0008-0000-0400-0000A088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25" name="Rectangle 921">
              <a:extLst>
                <a:ext uri="{FF2B5EF4-FFF2-40B4-BE49-F238E27FC236}">
                  <a16:creationId xmlns:a16="http://schemas.microsoft.com/office/drawing/2014/main" id="{00000000-0008-0000-0400-0000A1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26" name="Oval 922">
              <a:extLst>
                <a:ext uri="{FF2B5EF4-FFF2-40B4-BE49-F238E27FC236}">
                  <a16:creationId xmlns:a16="http://schemas.microsoft.com/office/drawing/2014/main" id="{00000000-0008-0000-0400-0000A2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27" name="Oval 923">
              <a:extLst>
                <a:ext uri="{FF2B5EF4-FFF2-40B4-BE49-F238E27FC236}">
                  <a16:creationId xmlns:a16="http://schemas.microsoft.com/office/drawing/2014/main" id="{00000000-0008-0000-0400-0000A3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28" name="Rectangle 924">
              <a:extLst>
                <a:ext uri="{FF2B5EF4-FFF2-40B4-BE49-F238E27FC236}">
                  <a16:creationId xmlns:a16="http://schemas.microsoft.com/office/drawing/2014/main" id="{00000000-0008-0000-0400-0000A4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29" name="Rectangle 925">
              <a:extLst>
                <a:ext uri="{FF2B5EF4-FFF2-40B4-BE49-F238E27FC236}">
                  <a16:creationId xmlns:a16="http://schemas.microsoft.com/office/drawing/2014/main" id="{00000000-0008-0000-0400-0000A5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30" name="Rectangle 926">
              <a:extLst>
                <a:ext uri="{FF2B5EF4-FFF2-40B4-BE49-F238E27FC236}">
                  <a16:creationId xmlns:a16="http://schemas.microsoft.com/office/drawing/2014/main" id="{00000000-0008-0000-0400-0000A6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31" name="Rectangle 927">
              <a:extLst>
                <a:ext uri="{FF2B5EF4-FFF2-40B4-BE49-F238E27FC236}">
                  <a16:creationId xmlns:a16="http://schemas.microsoft.com/office/drawing/2014/main" id="{00000000-0008-0000-0400-0000A7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4620" name="Rectangle 928">
            <a:extLst>
              <a:ext uri="{FF2B5EF4-FFF2-40B4-BE49-F238E27FC236}">
                <a16:creationId xmlns:a16="http://schemas.microsoft.com/office/drawing/2014/main" id="{00000000-0008-0000-0400-00009C88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21" name="Rectangle 929">
            <a:extLst>
              <a:ext uri="{FF2B5EF4-FFF2-40B4-BE49-F238E27FC236}">
                <a16:creationId xmlns:a16="http://schemas.microsoft.com/office/drawing/2014/main" id="{00000000-0008-0000-0400-00009D88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37" name="Group 930">
          <a:extLst>
            <a:ext uri="{FF2B5EF4-FFF2-40B4-BE49-F238E27FC236}">
              <a16:creationId xmlns:a16="http://schemas.microsoft.com/office/drawing/2014/main" id="{00000000-0008-0000-0400-000005721200}"/>
            </a:ext>
          </a:extLst>
        </xdr:cNvPr>
        <xdr:cNvGrpSpPr>
          <a:grpSpLocks/>
        </xdr:cNvGrpSpPr>
      </xdr:nvGrpSpPr>
      <xdr:grpSpPr bwMode="auto">
        <a:xfrm>
          <a:off x="9622971" y="1308100"/>
          <a:ext cx="0" cy="792843"/>
          <a:chOff x="220" y="176"/>
          <a:chExt cx="556" cy="247"/>
        </a:xfrm>
      </xdr:grpSpPr>
      <xdr:sp macro="" textlink="">
        <xdr:nvSpPr>
          <xdr:cNvPr id="1214586" name="Rectangle 931">
            <a:extLst>
              <a:ext uri="{FF2B5EF4-FFF2-40B4-BE49-F238E27FC236}">
                <a16:creationId xmlns:a16="http://schemas.microsoft.com/office/drawing/2014/main" id="{00000000-0008-0000-0400-00007A88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87" name="Line 932">
            <a:extLst>
              <a:ext uri="{FF2B5EF4-FFF2-40B4-BE49-F238E27FC236}">
                <a16:creationId xmlns:a16="http://schemas.microsoft.com/office/drawing/2014/main" id="{00000000-0008-0000-0400-00007B88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88" name="Line 933">
            <a:extLst>
              <a:ext uri="{FF2B5EF4-FFF2-40B4-BE49-F238E27FC236}">
                <a16:creationId xmlns:a16="http://schemas.microsoft.com/office/drawing/2014/main" id="{00000000-0008-0000-0400-00007C88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89" name="Rectangle 934">
            <a:extLst>
              <a:ext uri="{FF2B5EF4-FFF2-40B4-BE49-F238E27FC236}">
                <a16:creationId xmlns:a16="http://schemas.microsoft.com/office/drawing/2014/main" id="{00000000-0008-0000-0400-00007D88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90" name="Oval 935">
            <a:extLst>
              <a:ext uri="{FF2B5EF4-FFF2-40B4-BE49-F238E27FC236}">
                <a16:creationId xmlns:a16="http://schemas.microsoft.com/office/drawing/2014/main" id="{00000000-0008-0000-0400-00007E88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91" name="Oval 936">
            <a:extLst>
              <a:ext uri="{FF2B5EF4-FFF2-40B4-BE49-F238E27FC236}">
                <a16:creationId xmlns:a16="http://schemas.microsoft.com/office/drawing/2014/main" id="{00000000-0008-0000-0400-00007F88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92" name="Rectangle 937">
            <a:extLst>
              <a:ext uri="{FF2B5EF4-FFF2-40B4-BE49-F238E27FC236}">
                <a16:creationId xmlns:a16="http://schemas.microsoft.com/office/drawing/2014/main" id="{00000000-0008-0000-0400-00008088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93" name="Rectangle 938">
            <a:extLst>
              <a:ext uri="{FF2B5EF4-FFF2-40B4-BE49-F238E27FC236}">
                <a16:creationId xmlns:a16="http://schemas.microsoft.com/office/drawing/2014/main" id="{00000000-0008-0000-0400-00008188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94" name="Rectangle 939">
            <a:extLst>
              <a:ext uri="{FF2B5EF4-FFF2-40B4-BE49-F238E27FC236}">
                <a16:creationId xmlns:a16="http://schemas.microsoft.com/office/drawing/2014/main" id="{00000000-0008-0000-0400-00008288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95" name="Rectangle 940">
            <a:extLst>
              <a:ext uri="{FF2B5EF4-FFF2-40B4-BE49-F238E27FC236}">
                <a16:creationId xmlns:a16="http://schemas.microsoft.com/office/drawing/2014/main" id="{00000000-0008-0000-0400-00008388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4596" name="Group 941">
            <a:extLst>
              <a:ext uri="{FF2B5EF4-FFF2-40B4-BE49-F238E27FC236}">
                <a16:creationId xmlns:a16="http://schemas.microsoft.com/office/drawing/2014/main" id="{00000000-0008-0000-0400-00008488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4599" name="Rectangle 942">
              <a:extLst>
                <a:ext uri="{FF2B5EF4-FFF2-40B4-BE49-F238E27FC236}">
                  <a16:creationId xmlns:a16="http://schemas.microsoft.com/office/drawing/2014/main" id="{00000000-0008-0000-0400-000087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00" name="Line 943">
              <a:extLst>
                <a:ext uri="{FF2B5EF4-FFF2-40B4-BE49-F238E27FC236}">
                  <a16:creationId xmlns:a16="http://schemas.microsoft.com/office/drawing/2014/main" id="{00000000-0008-0000-0400-00008888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01" name="Line 944">
              <a:extLst>
                <a:ext uri="{FF2B5EF4-FFF2-40B4-BE49-F238E27FC236}">
                  <a16:creationId xmlns:a16="http://schemas.microsoft.com/office/drawing/2014/main" id="{00000000-0008-0000-0400-00008988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02" name="Rectangle 945">
              <a:extLst>
                <a:ext uri="{FF2B5EF4-FFF2-40B4-BE49-F238E27FC236}">
                  <a16:creationId xmlns:a16="http://schemas.microsoft.com/office/drawing/2014/main" id="{00000000-0008-0000-0400-00008A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03" name="Oval 946">
              <a:extLst>
                <a:ext uri="{FF2B5EF4-FFF2-40B4-BE49-F238E27FC236}">
                  <a16:creationId xmlns:a16="http://schemas.microsoft.com/office/drawing/2014/main" id="{00000000-0008-0000-0400-00008B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04" name="Oval 947">
              <a:extLst>
                <a:ext uri="{FF2B5EF4-FFF2-40B4-BE49-F238E27FC236}">
                  <a16:creationId xmlns:a16="http://schemas.microsoft.com/office/drawing/2014/main" id="{00000000-0008-0000-0400-00008C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05" name="Rectangle 948">
              <a:extLst>
                <a:ext uri="{FF2B5EF4-FFF2-40B4-BE49-F238E27FC236}">
                  <a16:creationId xmlns:a16="http://schemas.microsoft.com/office/drawing/2014/main" id="{00000000-0008-0000-0400-00008D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06" name="Rectangle 949">
              <a:extLst>
                <a:ext uri="{FF2B5EF4-FFF2-40B4-BE49-F238E27FC236}">
                  <a16:creationId xmlns:a16="http://schemas.microsoft.com/office/drawing/2014/main" id="{00000000-0008-0000-0400-00008E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07" name="Rectangle 950">
              <a:extLst>
                <a:ext uri="{FF2B5EF4-FFF2-40B4-BE49-F238E27FC236}">
                  <a16:creationId xmlns:a16="http://schemas.microsoft.com/office/drawing/2014/main" id="{00000000-0008-0000-0400-00008F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08" name="Rectangle 951">
              <a:extLst>
                <a:ext uri="{FF2B5EF4-FFF2-40B4-BE49-F238E27FC236}">
                  <a16:creationId xmlns:a16="http://schemas.microsoft.com/office/drawing/2014/main" id="{00000000-0008-0000-0400-000090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4597" name="Rectangle 952">
            <a:extLst>
              <a:ext uri="{FF2B5EF4-FFF2-40B4-BE49-F238E27FC236}">
                <a16:creationId xmlns:a16="http://schemas.microsoft.com/office/drawing/2014/main" id="{00000000-0008-0000-0400-00008588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98" name="Rectangle 953">
            <a:extLst>
              <a:ext uri="{FF2B5EF4-FFF2-40B4-BE49-F238E27FC236}">
                <a16:creationId xmlns:a16="http://schemas.microsoft.com/office/drawing/2014/main" id="{00000000-0008-0000-0400-00008688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152400</xdr:rowOff>
    </xdr:from>
    <xdr:to>
      <xdr:col>13</xdr:col>
      <xdr:colOff>0</xdr:colOff>
      <xdr:row>3</xdr:row>
      <xdr:rowOff>0</xdr:rowOff>
    </xdr:to>
    <xdr:grpSp>
      <xdr:nvGrpSpPr>
        <xdr:cNvPr id="1208838" name="Group 965">
          <a:extLst>
            <a:ext uri="{FF2B5EF4-FFF2-40B4-BE49-F238E27FC236}">
              <a16:creationId xmlns:a16="http://schemas.microsoft.com/office/drawing/2014/main" id="{00000000-0008-0000-0400-000006721200}"/>
            </a:ext>
          </a:extLst>
        </xdr:cNvPr>
        <xdr:cNvGrpSpPr>
          <a:grpSpLocks/>
        </xdr:cNvGrpSpPr>
      </xdr:nvGrpSpPr>
      <xdr:grpSpPr bwMode="auto">
        <a:xfrm>
          <a:off x="9622971" y="1295400"/>
          <a:ext cx="0" cy="805543"/>
          <a:chOff x="333" y="153"/>
          <a:chExt cx="219" cy="333"/>
        </a:xfrm>
      </xdr:grpSpPr>
      <xdr:sp macro="" textlink="">
        <xdr:nvSpPr>
          <xdr:cNvPr id="1214576" name="Rectangle 966">
            <a:extLst>
              <a:ext uri="{FF2B5EF4-FFF2-40B4-BE49-F238E27FC236}">
                <a16:creationId xmlns:a16="http://schemas.microsoft.com/office/drawing/2014/main" id="{00000000-0008-0000-0400-00007088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77" name="Line 967">
            <a:extLst>
              <a:ext uri="{FF2B5EF4-FFF2-40B4-BE49-F238E27FC236}">
                <a16:creationId xmlns:a16="http://schemas.microsoft.com/office/drawing/2014/main" id="{00000000-0008-0000-0400-000071881200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78" name="Line 968">
            <a:extLst>
              <a:ext uri="{FF2B5EF4-FFF2-40B4-BE49-F238E27FC236}">
                <a16:creationId xmlns:a16="http://schemas.microsoft.com/office/drawing/2014/main" id="{00000000-0008-0000-0400-00007288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79" name="Rectangle 969">
            <a:extLst>
              <a:ext uri="{FF2B5EF4-FFF2-40B4-BE49-F238E27FC236}">
                <a16:creationId xmlns:a16="http://schemas.microsoft.com/office/drawing/2014/main" id="{00000000-0008-0000-0400-000073881200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80" name="Oval 970">
            <a:extLst>
              <a:ext uri="{FF2B5EF4-FFF2-40B4-BE49-F238E27FC236}">
                <a16:creationId xmlns:a16="http://schemas.microsoft.com/office/drawing/2014/main" id="{00000000-0008-0000-0400-00007488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81" name="Oval 971">
            <a:extLst>
              <a:ext uri="{FF2B5EF4-FFF2-40B4-BE49-F238E27FC236}">
                <a16:creationId xmlns:a16="http://schemas.microsoft.com/office/drawing/2014/main" id="{00000000-0008-0000-0400-00007588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82" name="Rectangle 972">
            <a:extLst>
              <a:ext uri="{FF2B5EF4-FFF2-40B4-BE49-F238E27FC236}">
                <a16:creationId xmlns:a16="http://schemas.microsoft.com/office/drawing/2014/main" id="{00000000-0008-0000-0400-000076881200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83" name="Rectangle 973">
            <a:extLst>
              <a:ext uri="{FF2B5EF4-FFF2-40B4-BE49-F238E27FC236}">
                <a16:creationId xmlns:a16="http://schemas.microsoft.com/office/drawing/2014/main" id="{00000000-0008-0000-0400-000077881200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84" name="Rectangle 974">
            <a:extLst>
              <a:ext uri="{FF2B5EF4-FFF2-40B4-BE49-F238E27FC236}">
                <a16:creationId xmlns:a16="http://schemas.microsoft.com/office/drawing/2014/main" id="{00000000-0008-0000-0400-00007888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85" name="Rectangle 975">
            <a:extLst>
              <a:ext uri="{FF2B5EF4-FFF2-40B4-BE49-F238E27FC236}">
                <a16:creationId xmlns:a16="http://schemas.microsoft.com/office/drawing/2014/main" id="{00000000-0008-0000-0400-00007988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2</xdr:row>
      <xdr:rowOff>546100</xdr:rowOff>
    </xdr:to>
    <xdr:grpSp>
      <xdr:nvGrpSpPr>
        <xdr:cNvPr id="1208839" name="Group 976">
          <a:extLst>
            <a:ext uri="{FF2B5EF4-FFF2-40B4-BE49-F238E27FC236}">
              <a16:creationId xmlns:a16="http://schemas.microsoft.com/office/drawing/2014/main" id="{00000000-0008-0000-0400-000007721200}"/>
            </a:ext>
          </a:extLst>
        </xdr:cNvPr>
        <xdr:cNvGrpSpPr>
          <a:grpSpLocks/>
        </xdr:cNvGrpSpPr>
      </xdr:nvGrpSpPr>
      <xdr:grpSpPr bwMode="auto">
        <a:xfrm>
          <a:off x="9622971" y="1308100"/>
          <a:ext cx="0" cy="381000"/>
          <a:chOff x="335" y="195"/>
          <a:chExt cx="352" cy="282"/>
        </a:xfrm>
      </xdr:grpSpPr>
      <xdr:grpSp>
        <xdr:nvGrpSpPr>
          <xdr:cNvPr id="1214554" name="Group 977">
            <a:extLst>
              <a:ext uri="{FF2B5EF4-FFF2-40B4-BE49-F238E27FC236}">
                <a16:creationId xmlns:a16="http://schemas.microsoft.com/office/drawing/2014/main" id="{00000000-0008-0000-0400-00005A88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4566" name="Rectangle 978">
              <a:extLst>
                <a:ext uri="{FF2B5EF4-FFF2-40B4-BE49-F238E27FC236}">
                  <a16:creationId xmlns:a16="http://schemas.microsoft.com/office/drawing/2014/main" id="{00000000-0008-0000-0400-000066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67" name="Line 979">
              <a:extLst>
                <a:ext uri="{FF2B5EF4-FFF2-40B4-BE49-F238E27FC236}">
                  <a16:creationId xmlns:a16="http://schemas.microsoft.com/office/drawing/2014/main" id="{00000000-0008-0000-0400-00006788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68" name="Line 980">
              <a:extLst>
                <a:ext uri="{FF2B5EF4-FFF2-40B4-BE49-F238E27FC236}">
                  <a16:creationId xmlns:a16="http://schemas.microsoft.com/office/drawing/2014/main" id="{00000000-0008-0000-0400-00006888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69" name="Rectangle 981">
              <a:extLst>
                <a:ext uri="{FF2B5EF4-FFF2-40B4-BE49-F238E27FC236}">
                  <a16:creationId xmlns:a16="http://schemas.microsoft.com/office/drawing/2014/main" id="{00000000-0008-0000-0400-000069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70" name="Oval 982">
              <a:extLst>
                <a:ext uri="{FF2B5EF4-FFF2-40B4-BE49-F238E27FC236}">
                  <a16:creationId xmlns:a16="http://schemas.microsoft.com/office/drawing/2014/main" id="{00000000-0008-0000-0400-00006A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71" name="Oval 983">
              <a:extLst>
                <a:ext uri="{FF2B5EF4-FFF2-40B4-BE49-F238E27FC236}">
                  <a16:creationId xmlns:a16="http://schemas.microsoft.com/office/drawing/2014/main" id="{00000000-0008-0000-0400-00006B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72" name="Rectangle 984">
              <a:extLst>
                <a:ext uri="{FF2B5EF4-FFF2-40B4-BE49-F238E27FC236}">
                  <a16:creationId xmlns:a16="http://schemas.microsoft.com/office/drawing/2014/main" id="{00000000-0008-0000-0400-00006C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73" name="Rectangle 985">
              <a:extLst>
                <a:ext uri="{FF2B5EF4-FFF2-40B4-BE49-F238E27FC236}">
                  <a16:creationId xmlns:a16="http://schemas.microsoft.com/office/drawing/2014/main" id="{00000000-0008-0000-0400-00006D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74" name="Rectangle 986">
              <a:extLst>
                <a:ext uri="{FF2B5EF4-FFF2-40B4-BE49-F238E27FC236}">
                  <a16:creationId xmlns:a16="http://schemas.microsoft.com/office/drawing/2014/main" id="{00000000-0008-0000-0400-00006E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75" name="Rectangle 987">
              <a:extLst>
                <a:ext uri="{FF2B5EF4-FFF2-40B4-BE49-F238E27FC236}">
                  <a16:creationId xmlns:a16="http://schemas.microsoft.com/office/drawing/2014/main" id="{00000000-0008-0000-0400-00006F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4555" name="Group 988">
            <a:extLst>
              <a:ext uri="{FF2B5EF4-FFF2-40B4-BE49-F238E27FC236}">
                <a16:creationId xmlns:a16="http://schemas.microsoft.com/office/drawing/2014/main" id="{00000000-0008-0000-0400-00005B88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4556" name="Rectangle 989">
              <a:extLst>
                <a:ext uri="{FF2B5EF4-FFF2-40B4-BE49-F238E27FC236}">
                  <a16:creationId xmlns:a16="http://schemas.microsoft.com/office/drawing/2014/main" id="{00000000-0008-0000-0400-00005C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57" name="Line 990">
              <a:extLst>
                <a:ext uri="{FF2B5EF4-FFF2-40B4-BE49-F238E27FC236}">
                  <a16:creationId xmlns:a16="http://schemas.microsoft.com/office/drawing/2014/main" id="{00000000-0008-0000-0400-00005D88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58" name="Line 991">
              <a:extLst>
                <a:ext uri="{FF2B5EF4-FFF2-40B4-BE49-F238E27FC236}">
                  <a16:creationId xmlns:a16="http://schemas.microsoft.com/office/drawing/2014/main" id="{00000000-0008-0000-0400-00005E88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59" name="Rectangle 992">
              <a:extLst>
                <a:ext uri="{FF2B5EF4-FFF2-40B4-BE49-F238E27FC236}">
                  <a16:creationId xmlns:a16="http://schemas.microsoft.com/office/drawing/2014/main" id="{00000000-0008-0000-0400-00005F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60" name="Oval 993">
              <a:extLst>
                <a:ext uri="{FF2B5EF4-FFF2-40B4-BE49-F238E27FC236}">
                  <a16:creationId xmlns:a16="http://schemas.microsoft.com/office/drawing/2014/main" id="{00000000-0008-0000-0400-000060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61" name="Oval 994">
              <a:extLst>
                <a:ext uri="{FF2B5EF4-FFF2-40B4-BE49-F238E27FC236}">
                  <a16:creationId xmlns:a16="http://schemas.microsoft.com/office/drawing/2014/main" id="{00000000-0008-0000-0400-000061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62" name="Rectangle 995">
              <a:extLst>
                <a:ext uri="{FF2B5EF4-FFF2-40B4-BE49-F238E27FC236}">
                  <a16:creationId xmlns:a16="http://schemas.microsoft.com/office/drawing/2014/main" id="{00000000-0008-0000-0400-000062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63" name="Rectangle 996">
              <a:extLst>
                <a:ext uri="{FF2B5EF4-FFF2-40B4-BE49-F238E27FC236}">
                  <a16:creationId xmlns:a16="http://schemas.microsoft.com/office/drawing/2014/main" id="{00000000-0008-0000-0400-000063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64" name="Rectangle 997">
              <a:extLst>
                <a:ext uri="{FF2B5EF4-FFF2-40B4-BE49-F238E27FC236}">
                  <a16:creationId xmlns:a16="http://schemas.microsoft.com/office/drawing/2014/main" id="{00000000-0008-0000-0400-000064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65" name="Rectangle 998">
              <a:extLst>
                <a:ext uri="{FF2B5EF4-FFF2-40B4-BE49-F238E27FC236}">
                  <a16:creationId xmlns:a16="http://schemas.microsoft.com/office/drawing/2014/main" id="{00000000-0008-0000-0400-000065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2</xdr:row>
      <xdr:rowOff>546100</xdr:rowOff>
    </xdr:to>
    <xdr:grpSp>
      <xdr:nvGrpSpPr>
        <xdr:cNvPr id="1208840" name="Group 999">
          <a:extLst>
            <a:ext uri="{FF2B5EF4-FFF2-40B4-BE49-F238E27FC236}">
              <a16:creationId xmlns:a16="http://schemas.microsoft.com/office/drawing/2014/main" id="{00000000-0008-0000-0400-000008721200}"/>
            </a:ext>
          </a:extLst>
        </xdr:cNvPr>
        <xdr:cNvGrpSpPr>
          <a:grpSpLocks/>
        </xdr:cNvGrpSpPr>
      </xdr:nvGrpSpPr>
      <xdr:grpSpPr bwMode="auto">
        <a:xfrm>
          <a:off x="9622971" y="1308100"/>
          <a:ext cx="0" cy="381000"/>
          <a:chOff x="335" y="195"/>
          <a:chExt cx="352" cy="282"/>
        </a:xfrm>
      </xdr:grpSpPr>
      <xdr:grpSp>
        <xdr:nvGrpSpPr>
          <xdr:cNvPr id="1214532" name="Group 1000">
            <a:extLst>
              <a:ext uri="{FF2B5EF4-FFF2-40B4-BE49-F238E27FC236}">
                <a16:creationId xmlns:a16="http://schemas.microsoft.com/office/drawing/2014/main" id="{00000000-0008-0000-0400-00004488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4544" name="Rectangle 1001">
              <a:extLst>
                <a:ext uri="{FF2B5EF4-FFF2-40B4-BE49-F238E27FC236}">
                  <a16:creationId xmlns:a16="http://schemas.microsoft.com/office/drawing/2014/main" id="{00000000-0008-0000-0400-000050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45" name="Line 1002">
              <a:extLst>
                <a:ext uri="{FF2B5EF4-FFF2-40B4-BE49-F238E27FC236}">
                  <a16:creationId xmlns:a16="http://schemas.microsoft.com/office/drawing/2014/main" id="{00000000-0008-0000-0400-00005188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46" name="Line 1003">
              <a:extLst>
                <a:ext uri="{FF2B5EF4-FFF2-40B4-BE49-F238E27FC236}">
                  <a16:creationId xmlns:a16="http://schemas.microsoft.com/office/drawing/2014/main" id="{00000000-0008-0000-0400-00005288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47" name="Rectangle 1004">
              <a:extLst>
                <a:ext uri="{FF2B5EF4-FFF2-40B4-BE49-F238E27FC236}">
                  <a16:creationId xmlns:a16="http://schemas.microsoft.com/office/drawing/2014/main" id="{00000000-0008-0000-0400-000053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48" name="Oval 1005">
              <a:extLst>
                <a:ext uri="{FF2B5EF4-FFF2-40B4-BE49-F238E27FC236}">
                  <a16:creationId xmlns:a16="http://schemas.microsoft.com/office/drawing/2014/main" id="{00000000-0008-0000-0400-000054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49" name="Oval 1006">
              <a:extLst>
                <a:ext uri="{FF2B5EF4-FFF2-40B4-BE49-F238E27FC236}">
                  <a16:creationId xmlns:a16="http://schemas.microsoft.com/office/drawing/2014/main" id="{00000000-0008-0000-0400-000055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50" name="Rectangle 1007">
              <a:extLst>
                <a:ext uri="{FF2B5EF4-FFF2-40B4-BE49-F238E27FC236}">
                  <a16:creationId xmlns:a16="http://schemas.microsoft.com/office/drawing/2014/main" id="{00000000-0008-0000-0400-000056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51" name="Rectangle 1008">
              <a:extLst>
                <a:ext uri="{FF2B5EF4-FFF2-40B4-BE49-F238E27FC236}">
                  <a16:creationId xmlns:a16="http://schemas.microsoft.com/office/drawing/2014/main" id="{00000000-0008-0000-0400-000057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52" name="Rectangle 1009">
              <a:extLst>
                <a:ext uri="{FF2B5EF4-FFF2-40B4-BE49-F238E27FC236}">
                  <a16:creationId xmlns:a16="http://schemas.microsoft.com/office/drawing/2014/main" id="{00000000-0008-0000-0400-000058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53" name="Rectangle 1010">
              <a:extLst>
                <a:ext uri="{FF2B5EF4-FFF2-40B4-BE49-F238E27FC236}">
                  <a16:creationId xmlns:a16="http://schemas.microsoft.com/office/drawing/2014/main" id="{00000000-0008-0000-0400-000059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4533" name="Group 1011">
            <a:extLst>
              <a:ext uri="{FF2B5EF4-FFF2-40B4-BE49-F238E27FC236}">
                <a16:creationId xmlns:a16="http://schemas.microsoft.com/office/drawing/2014/main" id="{00000000-0008-0000-0400-00004588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4534" name="Rectangle 1012">
              <a:extLst>
                <a:ext uri="{FF2B5EF4-FFF2-40B4-BE49-F238E27FC236}">
                  <a16:creationId xmlns:a16="http://schemas.microsoft.com/office/drawing/2014/main" id="{00000000-0008-0000-0400-000046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35" name="Line 1013">
              <a:extLst>
                <a:ext uri="{FF2B5EF4-FFF2-40B4-BE49-F238E27FC236}">
                  <a16:creationId xmlns:a16="http://schemas.microsoft.com/office/drawing/2014/main" id="{00000000-0008-0000-0400-00004788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36" name="Line 1014">
              <a:extLst>
                <a:ext uri="{FF2B5EF4-FFF2-40B4-BE49-F238E27FC236}">
                  <a16:creationId xmlns:a16="http://schemas.microsoft.com/office/drawing/2014/main" id="{00000000-0008-0000-0400-00004888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37" name="Rectangle 1015">
              <a:extLst>
                <a:ext uri="{FF2B5EF4-FFF2-40B4-BE49-F238E27FC236}">
                  <a16:creationId xmlns:a16="http://schemas.microsoft.com/office/drawing/2014/main" id="{00000000-0008-0000-0400-000049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38" name="Oval 1016">
              <a:extLst>
                <a:ext uri="{FF2B5EF4-FFF2-40B4-BE49-F238E27FC236}">
                  <a16:creationId xmlns:a16="http://schemas.microsoft.com/office/drawing/2014/main" id="{00000000-0008-0000-0400-00004A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39" name="Oval 1017">
              <a:extLst>
                <a:ext uri="{FF2B5EF4-FFF2-40B4-BE49-F238E27FC236}">
                  <a16:creationId xmlns:a16="http://schemas.microsoft.com/office/drawing/2014/main" id="{00000000-0008-0000-0400-00004B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40" name="Rectangle 1018">
              <a:extLst>
                <a:ext uri="{FF2B5EF4-FFF2-40B4-BE49-F238E27FC236}">
                  <a16:creationId xmlns:a16="http://schemas.microsoft.com/office/drawing/2014/main" id="{00000000-0008-0000-0400-00004C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41" name="Rectangle 1019">
              <a:extLst>
                <a:ext uri="{FF2B5EF4-FFF2-40B4-BE49-F238E27FC236}">
                  <a16:creationId xmlns:a16="http://schemas.microsoft.com/office/drawing/2014/main" id="{00000000-0008-0000-0400-00004D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42" name="Rectangle 1020">
              <a:extLst>
                <a:ext uri="{FF2B5EF4-FFF2-40B4-BE49-F238E27FC236}">
                  <a16:creationId xmlns:a16="http://schemas.microsoft.com/office/drawing/2014/main" id="{00000000-0008-0000-0400-00004E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43" name="Rectangle 1021">
              <a:extLst>
                <a:ext uri="{FF2B5EF4-FFF2-40B4-BE49-F238E27FC236}">
                  <a16:creationId xmlns:a16="http://schemas.microsoft.com/office/drawing/2014/main" id="{00000000-0008-0000-0400-00004F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2</xdr:row>
      <xdr:rowOff>546100</xdr:rowOff>
    </xdr:to>
    <xdr:grpSp>
      <xdr:nvGrpSpPr>
        <xdr:cNvPr id="1208841" name="Group 1022">
          <a:extLst>
            <a:ext uri="{FF2B5EF4-FFF2-40B4-BE49-F238E27FC236}">
              <a16:creationId xmlns:a16="http://schemas.microsoft.com/office/drawing/2014/main" id="{00000000-0008-0000-0400-000009721200}"/>
            </a:ext>
          </a:extLst>
        </xdr:cNvPr>
        <xdr:cNvGrpSpPr>
          <a:grpSpLocks/>
        </xdr:cNvGrpSpPr>
      </xdr:nvGrpSpPr>
      <xdr:grpSpPr bwMode="auto">
        <a:xfrm>
          <a:off x="9622971" y="1308100"/>
          <a:ext cx="0" cy="381000"/>
          <a:chOff x="335" y="195"/>
          <a:chExt cx="352" cy="282"/>
        </a:xfrm>
      </xdr:grpSpPr>
      <xdr:grpSp>
        <xdr:nvGrpSpPr>
          <xdr:cNvPr id="1214510" name="Group 1023">
            <a:extLst>
              <a:ext uri="{FF2B5EF4-FFF2-40B4-BE49-F238E27FC236}">
                <a16:creationId xmlns:a16="http://schemas.microsoft.com/office/drawing/2014/main" id="{00000000-0008-0000-0400-00002E88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4522" name="Rectangle 1024">
              <a:extLst>
                <a:ext uri="{FF2B5EF4-FFF2-40B4-BE49-F238E27FC236}">
                  <a16:creationId xmlns:a16="http://schemas.microsoft.com/office/drawing/2014/main" id="{00000000-0008-0000-0400-00003A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23" name="Line 1025">
              <a:extLst>
                <a:ext uri="{FF2B5EF4-FFF2-40B4-BE49-F238E27FC236}">
                  <a16:creationId xmlns:a16="http://schemas.microsoft.com/office/drawing/2014/main" id="{00000000-0008-0000-0400-00003B88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24" name="Line 1026">
              <a:extLst>
                <a:ext uri="{FF2B5EF4-FFF2-40B4-BE49-F238E27FC236}">
                  <a16:creationId xmlns:a16="http://schemas.microsoft.com/office/drawing/2014/main" id="{00000000-0008-0000-0400-00003C88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25" name="Rectangle 1027">
              <a:extLst>
                <a:ext uri="{FF2B5EF4-FFF2-40B4-BE49-F238E27FC236}">
                  <a16:creationId xmlns:a16="http://schemas.microsoft.com/office/drawing/2014/main" id="{00000000-0008-0000-0400-00003D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26" name="Oval 1028">
              <a:extLst>
                <a:ext uri="{FF2B5EF4-FFF2-40B4-BE49-F238E27FC236}">
                  <a16:creationId xmlns:a16="http://schemas.microsoft.com/office/drawing/2014/main" id="{00000000-0008-0000-0400-00003E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27" name="Oval 1029">
              <a:extLst>
                <a:ext uri="{FF2B5EF4-FFF2-40B4-BE49-F238E27FC236}">
                  <a16:creationId xmlns:a16="http://schemas.microsoft.com/office/drawing/2014/main" id="{00000000-0008-0000-0400-00003F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28" name="Rectangle 1030">
              <a:extLst>
                <a:ext uri="{FF2B5EF4-FFF2-40B4-BE49-F238E27FC236}">
                  <a16:creationId xmlns:a16="http://schemas.microsoft.com/office/drawing/2014/main" id="{00000000-0008-0000-0400-000040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29" name="Rectangle 1031">
              <a:extLst>
                <a:ext uri="{FF2B5EF4-FFF2-40B4-BE49-F238E27FC236}">
                  <a16:creationId xmlns:a16="http://schemas.microsoft.com/office/drawing/2014/main" id="{00000000-0008-0000-0400-000041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30" name="Rectangle 1032">
              <a:extLst>
                <a:ext uri="{FF2B5EF4-FFF2-40B4-BE49-F238E27FC236}">
                  <a16:creationId xmlns:a16="http://schemas.microsoft.com/office/drawing/2014/main" id="{00000000-0008-0000-0400-000042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31" name="Rectangle 1033">
              <a:extLst>
                <a:ext uri="{FF2B5EF4-FFF2-40B4-BE49-F238E27FC236}">
                  <a16:creationId xmlns:a16="http://schemas.microsoft.com/office/drawing/2014/main" id="{00000000-0008-0000-0400-000043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4511" name="Group 1034">
            <a:extLst>
              <a:ext uri="{FF2B5EF4-FFF2-40B4-BE49-F238E27FC236}">
                <a16:creationId xmlns:a16="http://schemas.microsoft.com/office/drawing/2014/main" id="{00000000-0008-0000-0400-00002F88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4512" name="Rectangle 1035">
              <a:extLst>
                <a:ext uri="{FF2B5EF4-FFF2-40B4-BE49-F238E27FC236}">
                  <a16:creationId xmlns:a16="http://schemas.microsoft.com/office/drawing/2014/main" id="{00000000-0008-0000-0400-000030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13" name="Line 1036">
              <a:extLst>
                <a:ext uri="{FF2B5EF4-FFF2-40B4-BE49-F238E27FC236}">
                  <a16:creationId xmlns:a16="http://schemas.microsoft.com/office/drawing/2014/main" id="{00000000-0008-0000-0400-00003188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14" name="Line 1037">
              <a:extLst>
                <a:ext uri="{FF2B5EF4-FFF2-40B4-BE49-F238E27FC236}">
                  <a16:creationId xmlns:a16="http://schemas.microsoft.com/office/drawing/2014/main" id="{00000000-0008-0000-0400-00003288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15" name="Rectangle 1038">
              <a:extLst>
                <a:ext uri="{FF2B5EF4-FFF2-40B4-BE49-F238E27FC236}">
                  <a16:creationId xmlns:a16="http://schemas.microsoft.com/office/drawing/2014/main" id="{00000000-0008-0000-0400-000033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16" name="Oval 1039">
              <a:extLst>
                <a:ext uri="{FF2B5EF4-FFF2-40B4-BE49-F238E27FC236}">
                  <a16:creationId xmlns:a16="http://schemas.microsoft.com/office/drawing/2014/main" id="{00000000-0008-0000-0400-000034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17" name="Oval 1040">
              <a:extLst>
                <a:ext uri="{FF2B5EF4-FFF2-40B4-BE49-F238E27FC236}">
                  <a16:creationId xmlns:a16="http://schemas.microsoft.com/office/drawing/2014/main" id="{00000000-0008-0000-0400-000035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18" name="Rectangle 1041">
              <a:extLst>
                <a:ext uri="{FF2B5EF4-FFF2-40B4-BE49-F238E27FC236}">
                  <a16:creationId xmlns:a16="http://schemas.microsoft.com/office/drawing/2014/main" id="{00000000-0008-0000-0400-000036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19" name="Rectangle 1042">
              <a:extLst>
                <a:ext uri="{FF2B5EF4-FFF2-40B4-BE49-F238E27FC236}">
                  <a16:creationId xmlns:a16="http://schemas.microsoft.com/office/drawing/2014/main" id="{00000000-0008-0000-0400-000037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20" name="Rectangle 1043">
              <a:extLst>
                <a:ext uri="{FF2B5EF4-FFF2-40B4-BE49-F238E27FC236}">
                  <a16:creationId xmlns:a16="http://schemas.microsoft.com/office/drawing/2014/main" id="{00000000-0008-0000-0400-000038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21" name="Rectangle 1044">
              <a:extLst>
                <a:ext uri="{FF2B5EF4-FFF2-40B4-BE49-F238E27FC236}">
                  <a16:creationId xmlns:a16="http://schemas.microsoft.com/office/drawing/2014/main" id="{00000000-0008-0000-0400-000039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2</xdr:row>
      <xdr:rowOff>546100</xdr:rowOff>
    </xdr:to>
    <xdr:grpSp>
      <xdr:nvGrpSpPr>
        <xdr:cNvPr id="1208842" name="Group 1045">
          <a:extLst>
            <a:ext uri="{FF2B5EF4-FFF2-40B4-BE49-F238E27FC236}">
              <a16:creationId xmlns:a16="http://schemas.microsoft.com/office/drawing/2014/main" id="{00000000-0008-0000-0400-00000A721200}"/>
            </a:ext>
          </a:extLst>
        </xdr:cNvPr>
        <xdr:cNvGrpSpPr>
          <a:grpSpLocks/>
        </xdr:cNvGrpSpPr>
      </xdr:nvGrpSpPr>
      <xdr:grpSpPr bwMode="auto">
        <a:xfrm>
          <a:off x="9622971" y="1308100"/>
          <a:ext cx="0" cy="381000"/>
          <a:chOff x="335" y="195"/>
          <a:chExt cx="352" cy="282"/>
        </a:xfrm>
      </xdr:grpSpPr>
      <xdr:grpSp>
        <xdr:nvGrpSpPr>
          <xdr:cNvPr id="1214488" name="Group 1046">
            <a:extLst>
              <a:ext uri="{FF2B5EF4-FFF2-40B4-BE49-F238E27FC236}">
                <a16:creationId xmlns:a16="http://schemas.microsoft.com/office/drawing/2014/main" id="{00000000-0008-0000-0400-00001888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4500" name="Rectangle 1047">
              <a:extLst>
                <a:ext uri="{FF2B5EF4-FFF2-40B4-BE49-F238E27FC236}">
                  <a16:creationId xmlns:a16="http://schemas.microsoft.com/office/drawing/2014/main" id="{00000000-0008-0000-0400-000024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01" name="Line 1048">
              <a:extLst>
                <a:ext uri="{FF2B5EF4-FFF2-40B4-BE49-F238E27FC236}">
                  <a16:creationId xmlns:a16="http://schemas.microsoft.com/office/drawing/2014/main" id="{00000000-0008-0000-0400-00002588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02" name="Line 1049">
              <a:extLst>
                <a:ext uri="{FF2B5EF4-FFF2-40B4-BE49-F238E27FC236}">
                  <a16:creationId xmlns:a16="http://schemas.microsoft.com/office/drawing/2014/main" id="{00000000-0008-0000-0400-00002688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03" name="Rectangle 1050">
              <a:extLst>
                <a:ext uri="{FF2B5EF4-FFF2-40B4-BE49-F238E27FC236}">
                  <a16:creationId xmlns:a16="http://schemas.microsoft.com/office/drawing/2014/main" id="{00000000-0008-0000-0400-000027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04" name="Oval 1051">
              <a:extLst>
                <a:ext uri="{FF2B5EF4-FFF2-40B4-BE49-F238E27FC236}">
                  <a16:creationId xmlns:a16="http://schemas.microsoft.com/office/drawing/2014/main" id="{00000000-0008-0000-0400-000028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05" name="Oval 1052">
              <a:extLst>
                <a:ext uri="{FF2B5EF4-FFF2-40B4-BE49-F238E27FC236}">
                  <a16:creationId xmlns:a16="http://schemas.microsoft.com/office/drawing/2014/main" id="{00000000-0008-0000-0400-000029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06" name="Rectangle 1053">
              <a:extLst>
                <a:ext uri="{FF2B5EF4-FFF2-40B4-BE49-F238E27FC236}">
                  <a16:creationId xmlns:a16="http://schemas.microsoft.com/office/drawing/2014/main" id="{00000000-0008-0000-0400-00002A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07" name="Rectangle 1054">
              <a:extLst>
                <a:ext uri="{FF2B5EF4-FFF2-40B4-BE49-F238E27FC236}">
                  <a16:creationId xmlns:a16="http://schemas.microsoft.com/office/drawing/2014/main" id="{00000000-0008-0000-0400-00002B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08" name="Rectangle 1055">
              <a:extLst>
                <a:ext uri="{FF2B5EF4-FFF2-40B4-BE49-F238E27FC236}">
                  <a16:creationId xmlns:a16="http://schemas.microsoft.com/office/drawing/2014/main" id="{00000000-0008-0000-0400-00002C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09" name="Rectangle 1056">
              <a:extLst>
                <a:ext uri="{FF2B5EF4-FFF2-40B4-BE49-F238E27FC236}">
                  <a16:creationId xmlns:a16="http://schemas.microsoft.com/office/drawing/2014/main" id="{00000000-0008-0000-0400-00002D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4489" name="Group 1057">
            <a:extLst>
              <a:ext uri="{FF2B5EF4-FFF2-40B4-BE49-F238E27FC236}">
                <a16:creationId xmlns:a16="http://schemas.microsoft.com/office/drawing/2014/main" id="{00000000-0008-0000-0400-00001988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4490" name="Rectangle 1058">
              <a:extLst>
                <a:ext uri="{FF2B5EF4-FFF2-40B4-BE49-F238E27FC236}">
                  <a16:creationId xmlns:a16="http://schemas.microsoft.com/office/drawing/2014/main" id="{00000000-0008-0000-0400-00001A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91" name="Line 1059">
              <a:extLst>
                <a:ext uri="{FF2B5EF4-FFF2-40B4-BE49-F238E27FC236}">
                  <a16:creationId xmlns:a16="http://schemas.microsoft.com/office/drawing/2014/main" id="{00000000-0008-0000-0400-00001B88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92" name="Line 1060">
              <a:extLst>
                <a:ext uri="{FF2B5EF4-FFF2-40B4-BE49-F238E27FC236}">
                  <a16:creationId xmlns:a16="http://schemas.microsoft.com/office/drawing/2014/main" id="{00000000-0008-0000-0400-00001C88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93" name="Rectangle 1061">
              <a:extLst>
                <a:ext uri="{FF2B5EF4-FFF2-40B4-BE49-F238E27FC236}">
                  <a16:creationId xmlns:a16="http://schemas.microsoft.com/office/drawing/2014/main" id="{00000000-0008-0000-0400-00001D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94" name="Oval 1062">
              <a:extLst>
                <a:ext uri="{FF2B5EF4-FFF2-40B4-BE49-F238E27FC236}">
                  <a16:creationId xmlns:a16="http://schemas.microsoft.com/office/drawing/2014/main" id="{00000000-0008-0000-0400-00001E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95" name="Oval 1063">
              <a:extLst>
                <a:ext uri="{FF2B5EF4-FFF2-40B4-BE49-F238E27FC236}">
                  <a16:creationId xmlns:a16="http://schemas.microsoft.com/office/drawing/2014/main" id="{00000000-0008-0000-0400-00001F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96" name="Rectangle 1064">
              <a:extLst>
                <a:ext uri="{FF2B5EF4-FFF2-40B4-BE49-F238E27FC236}">
                  <a16:creationId xmlns:a16="http://schemas.microsoft.com/office/drawing/2014/main" id="{00000000-0008-0000-0400-000020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97" name="Rectangle 1065">
              <a:extLst>
                <a:ext uri="{FF2B5EF4-FFF2-40B4-BE49-F238E27FC236}">
                  <a16:creationId xmlns:a16="http://schemas.microsoft.com/office/drawing/2014/main" id="{00000000-0008-0000-0400-000021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98" name="Rectangle 1066">
              <a:extLst>
                <a:ext uri="{FF2B5EF4-FFF2-40B4-BE49-F238E27FC236}">
                  <a16:creationId xmlns:a16="http://schemas.microsoft.com/office/drawing/2014/main" id="{00000000-0008-0000-0400-000022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99" name="Rectangle 1067">
              <a:extLst>
                <a:ext uri="{FF2B5EF4-FFF2-40B4-BE49-F238E27FC236}">
                  <a16:creationId xmlns:a16="http://schemas.microsoft.com/office/drawing/2014/main" id="{00000000-0008-0000-0400-000023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2</xdr:row>
      <xdr:rowOff>546100</xdr:rowOff>
    </xdr:to>
    <xdr:grpSp>
      <xdr:nvGrpSpPr>
        <xdr:cNvPr id="1208843" name="Group 1068">
          <a:extLst>
            <a:ext uri="{FF2B5EF4-FFF2-40B4-BE49-F238E27FC236}">
              <a16:creationId xmlns:a16="http://schemas.microsoft.com/office/drawing/2014/main" id="{00000000-0008-0000-0400-00000B721200}"/>
            </a:ext>
          </a:extLst>
        </xdr:cNvPr>
        <xdr:cNvGrpSpPr>
          <a:grpSpLocks/>
        </xdr:cNvGrpSpPr>
      </xdr:nvGrpSpPr>
      <xdr:grpSpPr bwMode="auto">
        <a:xfrm>
          <a:off x="9622971" y="1308100"/>
          <a:ext cx="0" cy="381000"/>
          <a:chOff x="335" y="195"/>
          <a:chExt cx="352" cy="282"/>
        </a:xfrm>
      </xdr:grpSpPr>
      <xdr:grpSp>
        <xdr:nvGrpSpPr>
          <xdr:cNvPr id="1214466" name="Group 1069">
            <a:extLst>
              <a:ext uri="{FF2B5EF4-FFF2-40B4-BE49-F238E27FC236}">
                <a16:creationId xmlns:a16="http://schemas.microsoft.com/office/drawing/2014/main" id="{00000000-0008-0000-0400-00000288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4478" name="Rectangle 1070">
              <a:extLst>
                <a:ext uri="{FF2B5EF4-FFF2-40B4-BE49-F238E27FC236}">
                  <a16:creationId xmlns:a16="http://schemas.microsoft.com/office/drawing/2014/main" id="{00000000-0008-0000-0400-00000E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79" name="Line 1071">
              <a:extLst>
                <a:ext uri="{FF2B5EF4-FFF2-40B4-BE49-F238E27FC236}">
                  <a16:creationId xmlns:a16="http://schemas.microsoft.com/office/drawing/2014/main" id="{00000000-0008-0000-0400-00000F88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80" name="Line 1072">
              <a:extLst>
                <a:ext uri="{FF2B5EF4-FFF2-40B4-BE49-F238E27FC236}">
                  <a16:creationId xmlns:a16="http://schemas.microsoft.com/office/drawing/2014/main" id="{00000000-0008-0000-0400-00001088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81" name="Rectangle 1073">
              <a:extLst>
                <a:ext uri="{FF2B5EF4-FFF2-40B4-BE49-F238E27FC236}">
                  <a16:creationId xmlns:a16="http://schemas.microsoft.com/office/drawing/2014/main" id="{00000000-0008-0000-0400-000011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82" name="Oval 1074">
              <a:extLst>
                <a:ext uri="{FF2B5EF4-FFF2-40B4-BE49-F238E27FC236}">
                  <a16:creationId xmlns:a16="http://schemas.microsoft.com/office/drawing/2014/main" id="{00000000-0008-0000-0400-000012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83" name="Oval 1075">
              <a:extLst>
                <a:ext uri="{FF2B5EF4-FFF2-40B4-BE49-F238E27FC236}">
                  <a16:creationId xmlns:a16="http://schemas.microsoft.com/office/drawing/2014/main" id="{00000000-0008-0000-0400-000013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84" name="Rectangle 1076">
              <a:extLst>
                <a:ext uri="{FF2B5EF4-FFF2-40B4-BE49-F238E27FC236}">
                  <a16:creationId xmlns:a16="http://schemas.microsoft.com/office/drawing/2014/main" id="{00000000-0008-0000-0400-000014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85" name="Rectangle 1077">
              <a:extLst>
                <a:ext uri="{FF2B5EF4-FFF2-40B4-BE49-F238E27FC236}">
                  <a16:creationId xmlns:a16="http://schemas.microsoft.com/office/drawing/2014/main" id="{00000000-0008-0000-0400-000015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86" name="Rectangle 1078">
              <a:extLst>
                <a:ext uri="{FF2B5EF4-FFF2-40B4-BE49-F238E27FC236}">
                  <a16:creationId xmlns:a16="http://schemas.microsoft.com/office/drawing/2014/main" id="{00000000-0008-0000-0400-000016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87" name="Rectangle 1079">
              <a:extLst>
                <a:ext uri="{FF2B5EF4-FFF2-40B4-BE49-F238E27FC236}">
                  <a16:creationId xmlns:a16="http://schemas.microsoft.com/office/drawing/2014/main" id="{00000000-0008-0000-0400-000017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4467" name="Group 1080">
            <a:extLst>
              <a:ext uri="{FF2B5EF4-FFF2-40B4-BE49-F238E27FC236}">
                <a16:creationId xmlns:a16="http://schemas.microsoft.com/office/drawing/2014/main" id="{00000000-0008-0000-0400-00000388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4468" name="Rectangle 1081">
              <a:extLst>
                <a:ext uri="{FF2B5EF4-FFF2-40B4-BE49-F238E27FC236}">
                  <a16:creationId xmlns:a16="http://schemas.microsoft.com/office/drawing/2014/main" id="{00000000-0008-0000-0400-000004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69" name="Line 1082">
              <a:extLst>
                <a:ext uri="{FF2B5EF4-FFF2-40B4-BE49-F238E27FC236}">
                  <a16:creationId xmlns:a16="http://schemas.microsoft.com/office/drawing/2014/main" id="{00000000-0008-0000-0400-00000588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70" name="Line 1083">
              <a:extLst>
                <a:ext uri="{FF2B5EF4-FFF2-40B4-BE49-F238E27FC236}">
                  <a16:creationId xmlns:a16="http://schemas.microsoft.com/office/drawing/2014/main" id="{00000000-0008-0000-0400-00000688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71" name="Rectangle 1084">
              <a:extLst>
                <a:ext uri="{FF2B5EF4-FFF2-40B4-BE49-F238E27FC236}">
                  <a16:creationId xmlns:a16="http://schemas.microsoft.com/office/drawing/2014/main" id="{00000000-0008-0000-0400-000007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72" name="Oval 1085">
              <a:extLst>
                <a:ext uri="{FF2B5EF4-FFF2-40B4-BE49-F238E27FC236}">
                  <a16:creationId xmlns:a16="http://schemas.microsoft.com/office/drawing/2014/main" id="{00000000-0008-0000-0400-000008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73" name="Oval 1086">
              <a:extLst>
                <a:ext uri="{FF2B5EF4-FFF2-40B4-BE49-F238E27FC236}">
                  <a16:creationId xmlns:a16="http://schemas.microsoft.com/office/drawing/2014/main" id="{00000000-0008-0000-0400-000009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74" name="Rectangle 1087">
              <a:extLst>
                <a:ext uri="{FF2B5EF4-FFF2-40B4-BE49-F238E27FC236}">
                  <a16:creationId xmlns:a16="http://schemas.microsoft.com/office/drawing/2014/main" id="{00000000-0008-0000-0400-00000A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75" name="Rectangle 1088">
              <a:extLst>
                <a:ext uri="{FF2B5EF4-FFF2-40B4-BE49-F238E27FC236}">
                  <a16:creationId xmlns:a16="http://schemas.microsoft.com/office/drawing/2014/main" id="{00000000-0008-0000-0400-00000B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76" name="Rectangle 1089">
              <a:extLst>
                <a:ext uri="{FF2B5EF4-FFF2-40B4-BE49-F238E27FC236}">
                  <a16:creationId xmlns:a16="http://schemas.microsoft.com/office/drawing/2014/main" id="{00000000-0008-0000-0400-00000C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77" name="Rectangle 1090">
              <a:extLst>
                <a:ext uri="{FF2B5EF4-FFF2-40B4-BE49-F238E27FC236}">
                  <a16:creationId xmlns:a16="http://schemas.microsoft.com/office/drawing/2014/main" id="{00000000-0008-0000-0400-00000D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44" name="Group 1091">
          <a:extLst>
            <a:ext uri="{FF2B5EF4-FFF2-40B4-BE49-F238E27FC236}">
              <a16:creationId xmlns:a16="http://schemas.microsoft.com/office/drawing/2014/main" id="{00000000-0008-0000-0400-00000C721200}"/>
            </a:ext>
          </a:extLst>
        </xdr:cNvPr>
        <xdr:cNvGrpSpPr>
          <a:grpSpLocks/>
        </xdr:cNvGrpSpPr>
      </xdr:nvGrpSpPr>
      <xdr:grpSpPr bwMode="auto">
        <a:xfrm>
          <a:off x="9622971" y="1308100"/>
          <a:ext cx="0" cy="792843"/>
          <a:chOff x="220" y="176"/>
          <a:chExt cx="556" cy="247"/>
        </a:xfrm>
      </xdr:grpSpPr>
      <xdr:sp macro="" textlink="">
        <xdr:nvSpPr>
          <xdr:cNvPr id="1209323" name="Rectangle 1092">
            <a:extLst>
              <a:ext uri="{FF2B5EF4-FFF2-40B4-BE49-F238E27FC236}">
                <a16:creationId xmlns:a16="http://schemas.microsoft.com/office/drawing/2014/main" id="{00000000-0008-0000-0400-0000EB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24" name="Line 1093">
            <a:extLst>
              <a:ext uri="{FF2B5EF4-FFF2-40B4-BE49-F238E27FC236}">
                <a16:creationId xmlns:a16="http://schemas.microsoft.com/office/drawing/2014/main" id="{00000000-0008-0000-0400-0000EC73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25" name="Line 1094">
            <a:extLst>
              <a:ext uri="{FF2B5EF4-FFF2-40B4-BE49-F238E27FC236}">
                <a16:creationId xmlns:a16="http://schemas.microsoft.com/office/drawing/2014/main" id="{00000000-0008-0000-0400-0000ED73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26" name="Rectangle 1095">
            <a:extLst>
              <a:ext uri="{FF2B5EF4-FFF2-40B4-BE49-F238E27FC236}">
                <a16:creationId xmlns:a16="http://schemas.microsoft.com/office/drawing/2014/main" id="{00000000-0008-0000-0400-0000EE73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27" name="Oval 1096">
            <a:extLst>
              <a:ext uri="{FF2B5EF4-FFF2-40B4-BE49-F238E27FC236}">
                <a16:creationId xmlns:a16="http://schemas.microsoft.com/office/drawing/2014/main" id="{00000000-0008-0000-0400-0000EF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28" name="Oval 1097">
            <a:extLst>
              <a:ext uri="{FF2B5EF4-FFF2-40B4-BE49-F238E27FC236}">
                <a16:creationId xmlns:a16="http://schemas.microsoft.com/office/drawing/2014/main" id="{00000000-0008-0000-0400-0000F0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29" name="Rectangle 1098">
            <a:extLst>
              <a:ext uri="{FF2B5EF4-FFF2-40B4-BE49-F238E27FC236}">
                <a16:creationId xmlns:a16="http://schemas.microsoft.com/office/drawing/2014/main" id="{00000000-0008-0000-0400-0000F173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30" name="Rectangle 1099">
            <a:extLst>
              <a:ext uri="{FF2B5EF4-FFF2-40B4-BE49-F238E27FC236}">
                <a16:creationId xmlns:a16="http://schemas.microsoft.com/office/drawing/2014/main" id="{00000000-0008-0000-0400-0000F273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31" name="Rectangle 1100">
            <a:extLst>
              <a:ext uri="{FF2B5EF4-FFF2-40B4-BE49-F238E27FC236}">
                <a16:creationId xmlns:a16="http://schemas.microsoft.com/office/drawing/2014/main" id="{00000000-0008-0000-0400-0000F3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32" name="Rectangle 1101">
            <a:extLst>
              <a:ext uri="{FF2B5EF4-FFF2-40B4-BE49-F238E27FC236}">
                <a16:creationId xmlns:a16="http://schemas.microsoft.com/office/drawing/2014/main" id="{00000000-0008-0000-0400-0000F4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09333" name="Group 1102">
            <a:extLst>
              <a:ext uri="{FF2B5EF4-FFF2-40B4-BE49-F238E27FC236}">
                <a16:creationId xmlns:a16="http://schemas.microsoft.com/office/drawing/2014/main" id="{00000000-0008-0000-0400-0000F573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09336" name="Rectangle 1103">
              <a:extLst>
                <a:ext uri="{FF2B5EF4-FFF2-40B4-BE49-F238E27FC236}">
                  <a16:creationId xmlns:a16="http://schemas.microsoft.com/office/drawing/2014/main" id="{00000000-0008-0000-0400-0000F8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337" name="Line 1104">
              <a:extLst>
                <a:ext uri="{FF2B5EF4-FFF2-40B4-BE49-F238E27FC236}">
                  <a16:creationId xmlns:a16="http://schemas.microsoft.com/office/drawing/2014/main" id="{00000000-0008-0000-0400-0000F973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338" name="Line 1105">
              <a:extLst>
                <a:ext uri="{FF2B5EF4-FFF2-40B4-BE49-F238E27FC236}">
                  <a16:creationId xmlns:a16="http://schemas.microsoft.com/office/drawing/2014/main" id="{00000000-0008-0000-0400-0000FA73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339" name="Rectangle 1106">
              <a:extLst>
                <a:ext uri="{FF2B5EF4-FFF2-40B4-BE49-F238E27FC236}">
                  <a16:creationId xmlns:a16="http://schemas.microsoft.com/office/drawing/2014/main" id="{00000000-0008-0000-0400-0000FB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340" name="Oval 1107">
              <a:extLst>
                <a:ext uri="{FF2B5EF4-FFF2-40B4-BE49-F238E27FC236}">
                  <a16:creationId xmlns:a16="http://schemas.microsoft.com/office/drawing/2014/main" id="{00000000-0008-0000-0400-0000FC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341" name="Oval 1108">
              <a:extLst>
                <a:ext uri="{FF2B5EF4-FFF2-40B4-BE49-F238E27FC236}">
                  <a16:creationId xmlns:a16="http://schemas.microsoft.com/office/drawing/2014/main" id="{00000000-0008-0000-0400-0000FD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342" name="Rectangle 1109">
              <a:extLst>
                <a:ext uri="{FF2B5EF4-FFF2-40B4-BE49-F238E27FC236}">
                  <a16:creationId xmlns:a16="http://schemas.microsoft.com/office/drawing/2014/main" id="{00000000-0008-0000-0400-0000FE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343" name="Rectangle 1110">
              <a:extLst>
                <a:ext uri="{FF2B5EF4-FFF2-40B4-BE49-F238E27FC236}">
                  <a16:creationId xmlns:a16="http://schemas.microsoft.com/office/drawing/2014/main" id="{00000000-0008-0000-0400-0000FF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64" name="Rectangle 1111">
              <a:extLst>
                <a:ext uri="{FF2B5EF4-FFF2-40B4-BE49-F238E27FC236}">
                  <a16:creationId xmlns:a16="http://schemas.microsoft.com/office/drawing/2014/main" id="{00000000-0008-0000-0400-000000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65" name="Rectangle 1112">
              <a:extLst>
                <a:ext uri="{FF2B5EF4-FFF2-40B4-BE49-F238E27FC236}">
                  <a16:creationId xmlns:a16="http://schemas.microsoft.com/office/drawing/2014/main" id="{00000000-0008-0000-0400-000001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9334" name="Rectangle 1113">
            <a:extLst>
              <a:ext uri="{FF2B5EF4-FFF2-40B4-BE49-F238E27FC236}">
                <a16:creationId xmlns:a16="http://schemas.microsoft.com/office/drawing/2014/main" id="{00000000-0008-0000-0400-0000F673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35" name="Rectangle 1114">
            <a:extLst>
              <a:ext uri="{FF2B5EF4-FFF2-40B4-BE49-F238E27FC236}">
                <a16:creationId xmlns:a16="http://schemas.microsoft.com/office/drawing/2014/main" id="{00000000-0008-0000-0400-0000F773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45" name="Group 1115">
          <a:extLst>
            <a:ext uri="{FF2B5EF4-FFF2-40B4-BE49-F238E27FC236}">
              <a16:creationId xmlns:a16="http://schemas.microsoft.com/office/drawing/2014/main" id="{00000000-0008-0000-0400-00000D721200}"/>
            </a:ext>
          </a:extLst>
        </xdr:cNvPr>
        <xdr:cNvGrpSpPr>
          <a:grpSpLocks/>
        </xdr:cNvGrpSpPr>
      </xdr:nvGrpSpPr>
      <xdr:grpSpPr bwMode="auto">
        <a:xfrm>
          <a:off x="9622971" y="1308100"/>
          <a:ext cx="0" cy="792843"/>
          <a:chOff x="220" y="176"/>
          <a:chExt cx="556" cy="247"/>
        </a:xfrm>
      </xdr:grpSpPr>
      <xdr:sp macro="" textlink="">
        <xdr:nvSpPr>
          <xdr:cNvPr id="1209300" name="Rectangle 1116">
            <a:extLst>
              <a:ext uri="{FF2B5EF4-FFF2-40B4-BE49-F238E27FC236}">
                <a16:creationId xmlns:a16="http://schemas.microsoft.com/office/drawing/2014/main" id="{00000000-0008-0000-0400-0000D4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01" name="Line 1117">
            <a:extLst>
              <a:ext uri="{FF2B5EF4-FFF2-40B4-BE49-F238E27FC236}">
                <a16:creationId xmlns:a16="http://schemas.microsoft.com/office/drawing/2014/main" id="{00000000-0008-0000-0400-0000D573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02" name="Line 1118">
            <a:extLst>
              <a:ext uri="{FF2B5EF4-FFF2-40B4-BE49-F238E27FC236}">
                <a16:creationId xmlns:a16="http://schemas.microsoft.com/office/drawing/2014/main" id="{00000000-0008-0000-0400-0000D673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03" name="Rectangle 1119">
            <a:extLst>
              <a:ext uri="{FF2B5EF4-FFF2-40B4-BE49-F238E27FC236}">
                <a16:creationId xmlns:a16="http://schemas.microsoft.com/office/drawing/2014/main" id="{00000000-0008-0000-0400-0000D773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04" name="Oval 1120">
            <a:extLst>
              <a:ext uri="{FF2B5EF4-FFF2-40B4-BE49-F238E27FC236}">
                <a16:creationId xmlns:a16="http://schemas.microsoft.com/office/drawing/2014/main" id="{00000000-0008-0000-0400-0000D8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05" name="Oval 1121">
            <a:extLst>
              <a:ext uri="{FF2B5EF4-FFF2-40B4-BE49-F238E27FC236}">
                <a16:creationId xmlns:a16="http://schemas.microsoft.com/office/drawing/2014/main" id="{00000000-0008-0000-0400-0000D9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06" name="Rectangle 1122">
            <a:extLst>
              <a:ext uri="{FF2B5EF4-FFF2-40B4-BE49-F238E27FC236}">
                <a16:creationId xmlns:a16="http://schemas.microsoft.com/office/drawing/2014/main" id="{00000000-0008-0000-0400-0000DA73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07" name="Rectangle 1123">
            <a:extLst>
              <a:ext uri="{FF2B5EF4-FFF2-40B4-BE49-F238E27FC236}">
                <a16:creationId xmlns:a16="http://schemas.microsoft.com/office/drawing/2014/main" id="{00000000-0008-0000-0400-0000DB73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08" name="Rectangle 1124">
            <a:extLst>
              <a:ext uri="{FF2B5EF4-FFF2-40B4-BE49-F238E27FC236}">
                <a16:creationId xmlns:a16="http://schemas.microsoft.com/office/drawing/2014/main" id="{00000000-0008-0000-0400-0000DC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09" name="Rectangle 1125">
            <a:extLst>
              <a:ext uri="{FF2B5EF4-FFF2-40B4-BE49-F238E27FC236}">
                <a16:creationId xmlns:a16="http://schemas.microsoft.com/office/drawing/2014/main" id="{00000000-0008-0000-0400-0000DD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09310" name="Group 1126">
            <a:extLst>
              <a:ext uri="{FF2B5EF4-FFF2-40B4-BE49-F238E27FC236}">
                <a16:creationId xmlns:a16="http://schemas.microsoft.com/office/drawing/2014/main" id="{00000000-0008-0000-0400-0000DE73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09313" name="Rectangle 1127">
              <a:extLst>
                <a:ext uri="{FF2B5EF4-FFF2-40B4-BE49-F238E27FC236}">
                  <a16:creationId xmlns:a16="http://schemas.microsoft.com/office/drawing/2014/main" id="{00000000-0008-0000-0400-0000E1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314" name="Line 1128">
              <a:extLst>
                <a:ext uri="{FF2B5EF4-FFF2-40B4-BE49-F238E27FC236}">
                  <a16:creationId xmlns:a16="http://schemas.microsoft.com/office/drawing/2014/main" id="{00000000-0008-0000-0400-0000E273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315" name="Line 1129">
              <a:extLst>
                <a:ext uri="{FF2B5EF4-FFF2-40B4-BE49-F238E27FC236}">
                  <a16:creationId xmlns:a16="http://schemas.microsoft.com/office/drawing/2014/main" id="{00000000-0008-0000-0400-0000E373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316" name="Rectangle 1130">
              <a:extLst>
                <a:ext uri="{FF2B5EF4-FFF2-40B4-BE49-F238E27FC236}">
                  <a16:creationId xmlns:a16="http://schemas.microsoft.com/office/drawing/2014/main" id="{00000000-0008-0000-0400-0000E4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317" name="Oval 1131">
              <a:extLst>
                <a:ext uri="{FF2B5EF4-FFF2-40B4-BE49-F238E27FC236}">
                  <a16:creationId xmlns:a16="http://schemas.microsoft.com/office/drawing/2014/main" id="{00000000-0008-0000-0400-0000E5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318" name="Oval 1132">
              <a:extLst>
                <a:ext uri="{FF2B5EF4-FFF2-40B4-BE49-F238E27FC236}">
                  <a16:creationId xmlns:a16="http://schemas.microsoft.com/office/drawing/2014/main" id="{00000000-0008-0000-0400-0000E6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319" name="Rectangle 1133">
              <a:extLst>
                <a:ext uri="{FF2B5EF4-FFF2-40B4-BE49-F238E27FC236}">
                  <a16:creationId xmlns:a16="http://schemas.microsoft.com/office/drawing/2014/main" id="{00000000-0008-0000-0400-0000E7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320" name="Rectangle 1134">
              <a:extLst>
                <a:ext uri="{FF2B5EF4-FFF2-40B4-BE49-F238E27FC236}">
                  <a16:creationId xmlns:a16="http://schemas.microsoft.com/office/drawing/2014/main" id="{00000000-0008-0000-0400-0000E8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321" name="Rectangle 1135">
              <a:extLst>
                <a:ext uri="{FF2B5EF4-FFF2-40B4-BE49-F238E27FC236}">
                  <a16:creationId xmlns:a16="http://schemas.microsoft.com/office/drawing/2014/main" id="{00000000-0008-0000-0400-0000E9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322" name="Rectangle 1136">
              <a:extLst>
                <a:ext uri="{FF2B5EF4-FFF2-40B4-BE49-F238E27FC236}">
                  <a16:creationId xmlns:a16="http://schemas.microsoft.com/office/drawing/2014/main" id="{00000000-0008-0000-0400-0000EA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9311" name="Rectangle 1137">
            <a:extLst>
              <a:ext uri="{FF2B5EF4-FFF2-40B4-BE49-F238E27FC236}">
                <a16:creationId xmlns:a16="http://schemas.microsoft.com/office/drawing/2014/main" id="{00000000-0008-0000-0400-0000DF73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12" name="Rectangle 1138">
            <a:extLst>
              <a:ext uri="{FF2B5EF4-FFF2-40B4-BE49-F238E27FC236}">
                <a16:creationId xmlns:a16="http://schemas.microsoft.com/office/drawing/2014/main" id="{00000000-0008-0000-0400-0000E073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46" name="Group 1139">
          <a:extLst>
            <a:ext uri="{FF2B5EF4-FFF2-40B4-BE49-F238E27FC236}">
              <a16:creationId xmlns:a16="http://schemas.microsoft.com/office/drawing/2014/main" id="{00000000-0008-0000-0400-00000E721200}"/>
            </a:ext>
          </a:extLst>
        </xdr:cNvPr>
        <xdr:cNvGrpSpPr>
          <a:grpSpLocks/>
        </xdr:cNvGrpSpPr>
      </xdr:nvGrpSpPr>
      <xdr:grpSpPr bwMode="auto">
        <a:xfrm>
          <a:off x="9622971" y="1308100"/>
          <a:ext cx="0" cy="792843"/>
          <a:chOff x="220" y="176"/>
          <a:chExt cx="556" cy="247"/>
        </a:xfrm>
      </xdr:grpSpPr>
      <xdr:sp macro="" textlink="">
        <xdr:nvSpPr>
          <xdr:cNvPr id="1209277" name="Rectangle 1140">
            <a:extLst>
              <a:ext uri="{FF2B5EF4-FFF2-40B4-BE49-F238E27FC236}">
                <a16:creationId xmlns:a16="http://schemas.microsoft.com/office/drawing/2014/main" id="{00000000-0008-0000-0400-0000BD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78" name="Line 1141">
            <a:extLst>
              <a:ext uri="{FF2B5EF4-FFF2-40B4-BE49-F238E27FC236}">
                <a16:creationId xmlns:a16="http://schemas.microsoft.com/office/drawing/2014/main" id="{00000000-0008-0000-0400-0000BE73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79" name="Line 1142">
            <a:extLst>
              <a:ext uri="{FF2B5EF4-FFF2-40B4-BE49-F238E27FC236}">
                <a16:creationId xmlns:a16="http://schemas.microsoft.com/office/drawing/2014/main" id="{00000000-0008-0000-0400-0000BF73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80" name="Rectangle 1143">
            <a:extLst>
              <a:ext uri="{FF2B5EF4-FFF2-40B4-BE49-F238E27FC236}">
                <a16:creationId xmlns:a16="http://schemas.microsoft.com/office/drawing/2014/main" id="{00000000-0008-0000-0400-0000C073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81" name="Oval 1144">
            <a:extLst>
              <a:ext uri="{FF2B5EF4-FFF2-40B4-BE49-F238E27FC236}">
                <a16:creationId xmlns:a16="http://schemas.microsoft.com/office/drawing/2014/main" id="{00000000-0008-0000-0400-0000C1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82" name="Oval 1145">
            <a:extLst>
              <a:ext uri="{FF2B5EF4-FFF2-40B4-BE49-F238E27FC236}">
                <a16:creationId xmlns:a16="http://schemas.microsoft.com/office/drawing/2014/main" id="{00000000-0008-0000-0400-0000C2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83" name="Rectangle 1146">
            <a:extLst>
              <a:ext uri="{FF2B5EF4-FFF2-40B4-BE49-F238E27FC236}">
                <a16:creationId xmlns:a16="http://schemas.microsoft.com/office/drawing/2014/main" id="{00000000-0008-0000-0400-0000C373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84" name="Rectangle 1147">
            <a:extLst>
              <a:ext uri="{FF2B5EF4-FFF2-40B4-BE49-F238E27FC236}">
                <a16:creationId xmlns:a16="http://schemas.microsoft.com/office/drawing/2014/main" id="{00000000-0008-0000-0400-0000C473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85" name="Rectangle 1148">
            <a:extLst>
              <a:ext uri="{FF2B5EF4-FFF2-40B4-BE49-F238E27FC236}">
                <a16:creationId xmlns:a16="http://schemas.microsoft.com/office/drawing/2014/main" id="{00000000-0008-0000-0400-0000C5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86" name="Rectangle 1149">
            <a:extLst>
              <a:ext uri="{FF2B5EF4-FFF2-40B4-BE49-F238E27FC236}">
                <a16:creationId xmlns:a16="http://schemas.microsoft.com/office/drawing/2014/main" id="{00000000-0008-0000-0400-0000C6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09287" name="Group 1150">
            <a:extLst>
              <a:ext uri="{FF2B5EF4-FFF2-40B4-BE49-F238E27FC236}">
                <a16:creationId xmlns:a16="http://schemas.microsoft.com/office/drawing/2014/main" id="{00000000-0008-0000-0400-0000C773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09290" name="Rectangle 1151">
              <a:extLst>
                <a:ext uri="{FF2B5EF4-FFF2-40B4-BE49-F238E27FC236}">
                  <a16:creationId xmlns:a16="http://schemas.microsoft.com/office/drawing/2014/main" id="{00000000-0008-0000-0400-0000CA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91" name="Line 1152">
              <a:extLst>
                <a:ext uri="{FF2B5EF4-FFF2-40B4-BE49-F238E27FC236}">
                  <a16:creationId xmlns:a16="http://schemas.microsoft.com/office/drawing/2014/main" id="{00000000-0008-0000-0400-0000CB73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92" name="Line 1153">
              <a:extLst>
                <a:ext uri="{FF2B5EF4-FFF2-40B4-BE49-F238E27FC236}">
                  <a16:creationId xmlns:a16="http://schemas.microsoft.com/office/drawing/2014/main" id="{00000000-0008-0000-0400-0000CC73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93" name="Rectangle 1154">
              <a:extLst>
                <a:ext uri="{FF2B5EF4-FFF2-40B4-BE49-F238E27FC236}">
                  <a16:creationId xmlns:a16="http://schemas.microsoft.com/office/drawing/2014/main" id="{00000000-0008-0000-0400-0000CD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94" name="Oval 1155">
              <a:extLst>
                <a:ext uri="{FF2B5EF4-FFF2-40B4-BE49-F238E27FC236}">
                  <a16:creationId xmlns:a16="http://schemas.microsoft.com/office/drawing/2014/main" id="{00000000-0008-0000-0400-0000CE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95" name="Oval 1156">
              <a:extLst>
                <a:ext uri="{FF2B5EF4-FFF2-40B4-BE49-F238E27FC236}">
                  <a16:creationId xmlns:a16="http://schemas.microsoft.com/office/drawing/2014/main" id="{00000000-0008-0000-0400-0000CF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96" name="Rectangle 1157">
              <a:extLst>
                <a:ext uri="{FF2B5EF4-FFF2-40B4-BE49-F238E27FC236}">
                  <a16:creationId xmlns:a16="http://schemas.microsoft.com/office/drawing/2014/main" id="{00000000-0008-0000-0400-0000D0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97" name="Rectangle 1158">
              <a:extLst>
                <a:ext uri="{FF2B5EF4-FFF2-40B4-BE49-F238E27FC236}">
                  <a16:creationId xmlns:a16="http://schemas.microsoft.com/office/drawing/2014/main" id="{00000000-0008-0000-0400-0000D1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98" name="Rectangle 1159">
              <a:extLst>
                <a:ext uri="{FF2B5EF4-FFF2-40B4-BE49-F238E27FC236}">
                  <a16:creationId xmlns:a16="http://schemas.microsoft.com/office/drawing/2014/main" id="{00000000-0008-0000-0400-0000D2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99" name="Rectangle 1160">
              <a:extLst>
                <a:ext uri="{FF2B5EF4-FFF2-40B4-BE49-F238E27FC236}">
                  <a16:creationId xmlns:a16="http://schemas.microsoft.com/office/drawing/2014/main" id="{00000000-0008-0000-0400-0000D3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9288" name="Rectangle 1161">
            <a:extLst>
              <a:ext uri="{FF2B5EF4-FFF2-40B4-BE49-F238E27FC236}">
                <a16:creationId xmlns:a16="http://schemas.microsoft.com/office/drawing/2014/main" id="{00000000-0008-0000-0400-0000C873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89" name="Rectangle 1162">
            <a:extLst>
              <a:ext uri="{FF2B5EF4-FFF2-40B4-BE49-F238E27FC236}">
                <a16:creationId xmlns:a16="http://schemas.microsoft.com/office/drawing/2014/main" id="{00000000-0008-0000-0400-0000C973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47" name="Group 1163">
          <a:extLst>
            <a:ext uri="{FF2B5EF4-FFF2-40B4-BE49-F238E27FC236}">
              <a16:creationId xmlns:a16="http://schemas.microsoft.com/office/drawing/2014/main" id="{00000000-0008-0000-0400-00000F721200}"/>
            </a:ext>
          </a:extLst>
        </xdr:cNvPr>
        <xdr:cNvGrpSpPr>
          <a:grpSpLocks/>
        </xdr:cNvGrpSpPr>
      </xdr:nvGrpSpPr>
      <xdr:grpSpPr bwMode="auto">
        <a:xfrm>
          <a:off x="9622971" y="1308100"/>
          <a:ext cx="0" cy="792843"/>
          <a:chOff x="220" y="176"/>
          <a:chExt cx="556" cy="247"/>
        </a:xfrm>
      </xdr:grpSpPr>
      <xdr:sp macro="" textlink="">
        <xdr:nvSpPr>
          <xdr:cNvPr id="1209254" name="Rectangle 1164">
            <a:extLst>
              <a:ext uri="{FF2B5EF4-FFF2-40B4-BE49-F238E27FC236}">
                <a16:creationId xmlns:a16="http://schemas.microsoft.com/office/drawing/2014/main" id="{00000000-0008-0000-0400-0000A6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55" name="Line 1165">
            <a:extLst>
              <a:ext uri="{FF2B5EF4-FFF2-40B4-BE49-F238E27FC236}">
                <a16:creationId xmlns:a16="http://schemas.microsoft.com/office/drawing/2014/main" id="{00000000-0008-0000-0400-0000A773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56" name="Line 1166">
            <a:extLst>
              <a:ext uri="{FF2B5EF4-FFF2-40B4-BE49-F238E27FC236}">
                <a16:creationId xmlns:a16="http://schemas.microsoft.com/office/drawing/2014/main" id="{00000000-0008-0000-0400-0000A873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57" name="Rectangle 1167">
            <a:extLst>
              <a:ext uri="{FF2B5EF4-FFF2-40B4-BE49-F238E27FC236}">
                <a16:creationId xmlns:a16="http://schemas.microsoft.com/office/drawing/2014/main" id="{00000000-0008-0000-0400-0000A973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58" name="Oval 1168">
            <a:extLst>
              <a:ext uri="{FF2B5EF4-FFF2-40B4-BE49-F238E27FC236}">
                <a16:creationId xmlns:a16="http://schemas.microsoft.com/office/drawing/2014/main" id="{00000000-0008-0000-0400-0000AA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59" name="Oval 1169">
            <a:extLst>
              <a:ext uri="{FF2B5EF4-FFF2-40B4-BE49-F238E27FC236}">
                <a16:creationId xmlns:a16="http://schemas.microsoft.com/office/drawing/2014/main" id="{00000000-0008-0000-0400-0000AB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60" name="Rectangle 1170">
            <a:extLst>
              <a:ext uri="{FF2B5EF4-FFF2-40B4-BE49-F238E27FC236}">
                <a16:creationId xmlns:a16="http://schemas.microsoft.com/office/drawing/2014/main" id="{00000000-0008-0000-0400-0000AC73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61" name="Rectangle 1171">
            <a:extLst>
              <a:ext uri="{FF2B5EF4-FFF2-40B4-BE49-F238E27FC236}">
                <a16:creationId xmlns:a16="http://schemas.microsoft.com/office/drawing/2014/main" id="{00000000-0008-0000-0400-0000AD73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62" name="Rectangle 1172">
            <a:extLst>
              <a:ext uri="{FF2B5EF4-FFF2-40B4-BE49-F238E27FC236}">
                <a16:creationId xmlns:a16="http://schemas.microsoft.com/office/drawing/2014/main" id="{00000000-0008-0000-0400-0000AE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63" name="Rectangle 1173">
            <a:extLst>
              <a:ext uri="{FF2B5EF4-FFF2-40B4-BE49-F238E27FC236}">
                <a16:creationId xmlns:a16="http://schemas.microsoft.com/office/drawing/2014/main" id="{00000000-0008-0000-0400-0000AF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09264" name="Group 1174">
            <a:extLst>
              <a:ext uri="{FF2B5EF4-FFF2-40B4-BE49-F238E27FC236}">
                <a16:creationId xmlns:a16="http://schemas.microsoft.com/office/drawing/2014/main" id="{00000000-0008-0000-0400-0000B073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09267" name="Rectangle 1175">
              <a:extLst>
                <a:ext uri="{FF2B5EF4-FFF2-40B4-BE49-F238E27FC236}">
                  <a16:creationId xmlns:a16="http://schemas.microsoft.com/office/drawing/2014/main" id="{00000000-0008-0000-0400-0000B3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68" name="Line 1176">
              <a:extLst>
                <a:ext uri="{FF2B5EF4-FFF2-40B4-BE49-F238E27FC236}">
                  <a16:creationId xmlns:a16="http://schemas.microsoft.com/office/drawing/2014/main" id="{00000000-0008-0000-0400-0000B473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69" name="Line 1177">
              <a:extLst>
                <a:ext uri="{FF2B5EF4-FFF2-40B4-BE49-F238E27FC236}">
                  <a16:creationId xmlns:a16="http://schemas.microsoft.com/office/drawing/2014/main" id="{00000000-0008-0000-0400-0000B573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70" name="Rectangle 1178">
              <a:extLst>
                <a:ext uri="{FF2B5EF4-FFF2-40B4-BE49-F238E27FC236}">
                  <a16:creationId xmlns:a16="http://schemas.microsoft.com/office/drawing/2014/main" id="{00000000-0008-0000-0400-0000B6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71" name="Oval 1179">
              <a:extLst>
                <a:ext uri="{FF2B5EF4-FFF2-40B4-BE49-F238E27FC236}">
                  <a16:creationId xmlns:a16="http://schemas.microsoft.com/office/drawing/2014/main" id="{00000000-0008-0000-0400-0000B7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72" name="Oval 1180">
              <a:extLst>
                <a:ext uri="{FF2B5EF4-FFF2-40B4-BE49-F238E27FC236}">
                  <a16:creationId xmlns:a16="http://schemas.microsoft.com/office/drawing/2014/main" id="{00000000-0008-0000-0400-0000B8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73" name="Rectangle 1181">
              <a:extLst>
                <a:ext uri="{FF2B5EF4-FFF2-40B4-BE49-F238E27FC236}">
                  <a16:creationId xmlns:a16="http://schemas.microsoft.com/office/drawing/2014/main" id="{00000000-0008-0000-0400-0000B9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74" name="Rectangle 1182">
              <a:extLst>
                <a:ext uri="{FF2B5EF4-FFF2-40B4-BE49-F238E27FC236}">
                  <a16:creationId xmlns:a16="http://schemas.microsoft.com/office/drawing/2014/main" id="{00000000-0008-0000-0400-0000BA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75" name="Rectangle 1183">
              <a:extLst>
                <a:ext uri="{FF2B5EF4-FFF2-40B4-BE49-F238E27FC236}">
                  <a16:creationId xmlns:a16="http://schemas.microsoft.com/office/drawing/2014/main" id="{00000000-0008-0000-0400-0000BB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76" name="Rectangle 1184">
              <a:extLst>
                <a:ext uri="{FF2B5EF4-FFF2-40B4-BE49-F238E27FC236}">
                  <a16:creationId xmlns:a16="http://schemas.microsoft.com/office/drawing/2014/main" id="{00000000-0008-0000-0400-0000BC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9265" name="Rectangle 1185">
            <a:extLst>
              <a:ext uri="{FF2B5EF4-FFF2-40B4-BE49-F238E27FC236}">
                <a16:creationId xmlns:a16="http://schemas.microsoft.com/office/drawing/2014/main" id="{00000000-0008-0000-0400-0000B173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66" name="Rectangle 1186">
            <a:extLst>
              <a:ext uri="{FF2B5EF4-FFF2-40B4-BE49-F238E27FC236}">
                <a16:creationId xmlns:a16="http://schemas.microsoft.com/office/drawing/2014/main" id="{00000000-0008-0000-0400-0000B273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48" name="Group 1187">
          <a:extLst>
            <a:ext uri="{FF2B5EF4-FFF2-40B4-BE49-F238E27FC236}">
              <a16:creationId xmlns:a16="http://schemas.microsoft.com/office/drawing/2014/main" id="{00000000-0008-0000-0400-000010721200}"/>
            </a:ext>
          </a:extLst>
        </xdr:cNvPr>
        <xdr:cNvGrpSpPr>
          <a:grpSpLocks/>
        </xdr:cNvGrpSpPr>
      </xdr:nvGrpSpPr>
      <xdr:grpSpPr bwMode="auto">
        <a:xfrm>
          <a:off x="9622971" y="1308100"/>
          <a:ext cx="0" cy="792843"/>
          <a:chOff x="220" y="176"/>
          <a:chExt cx="556" cy="247"/>
        </a:xfrm>
      </xdr:grpSpPr>
      <xdr:sp macro="" textlink="">
        <xdr:nvSpPr>
          <xdr:cNvPr id="1209231" name="Rectangle 1188">
            <a:extLst>
              <a:ext uri="{FF2B5EF4-FFF2-40B4-BE49-F238E27FC236}">
                <a16:creationId xmlns:a16="http://schemas.microsoft.com/office/drawing/2014/main" id="{00000000-0008-0000-0400-00008F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32" name="Line 1189">
            <a:extLst>
              <a:ext uri="{FF2B5EF4-FFF2-40B4-BE49-F238E27FC236}">
                <a16:creationId xmlns:a16="http://schemas.microsoft.com/office/drawing/2014/main" id="{00000000-0008-0000-0400-00009073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33" name="Line 1190">
            <a:extLst>
              <a:ext uri="{FF2B5EF4-FFF2-40B4-BE49-F238E27FC236}">
                <a16:creationId xmlns:a16="http://schemas.microsoft.com/office/drawing/2014/main" id="{00000000-0008-0000-0400-00009173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34" name="Rectangle 1191">
            <a:extLst>
              <a:ext uri="{FF2B5EF4-FFF2-40B4-BE49-F238E27FC236}">
                <a16:creationId xmlns:a16="http://schemas.microsoft.com/office/drawing/2014/main" id="{00000000-0008-0000-0400-00009273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35" name="Oval 1192">
            <a:extLst>
              <a:ext uri="{FF2B5EF4-FFF2-40B4-BE49-F238E27FC236}">
                <a16:creationId xmlns:a16="http://schemas.microsoft.com/office/drawing/2014/main" id="{00000000-0008-0000-0400-000093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36" name="Oval 1193">
            <a:extLst>
              <a:ext uri="{FF2B5EF4-FFF2-40B4-BE49-F238E27FC236}">
                <a16:creationId xmlns:a16="http://schemas.microsoft.com/office/drawing/2014/main" id="{00000000-0008-0000-0400-000094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37" name="Rectangle 1194">
            <a:extLst>
              <a:ext uri="{FF2B5EF4-FFF2-40B4-BE49-F238E27FC236}">
                <a16:creationId xmlns:a16="http://schemas.microsoft.com/office/drawing/2014/main" id="{00000000-0008-0000-0400-00009573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38" name="Rectangle 1195">
            <a:extLst>
              <a:ext uri="{FF2B5EF4-FFF2-40B4-BE49-F238E27FC236}">
                <a16:creationId xmlns:a16="http://schemas.microsoft.com/office/drawing/2014/main" id="{00000000-0008-0000-0400-00009673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39" name="Rectangle 1196">
            <a:extLst>
              <a:ext uri="{FF2B5EF4-FFF2-40B4-BE49-F238E27FC236}">
                <a16:creationId xmlns:a16="http://schemas.microsoft.com/office/drawing/2014/main" id="{00000000-0008-0000-0400-000097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40" name="Rectangle 1197">
            <a:extLst>
              <a:ext uri="{FF2B5EF4-FFF2-40B4-BE49-F238E27FC236}">
                <a16:creationId xmlns:a16="http://schemas.microsoft.com/office/drawing/2014/main" id="{00000000-0008-0000-0400-000098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09241" name="Group 1198">
            <a:extLst>
              <a:ext uri="{FF2B5EF4-FFF2-40B4-BE49-F238E27FC236}">
                <a16:creationId xmlns:a16="http://schemas.microsoft.com/office/drawing/2014/main" id="{00000000-0008-0000-0400-00009973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09244" name="Rectangle 1199">
              <a:extLst>
                <a:ext uri="{FF2B5EF4-FFF2-40B4-BE49-F238E27FC236}">
                  <a16:creationId xmlns:a16="http://schemas.microsoft.com/office/drawing/2014/main" id="{00000000-0008-0000-0400-00009C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45" name="Line 1200">
              <a:extLst>
                <a:ext uri="{FF2B5EF4-FFF2-40B4-BE49-F238E27FC236}">
                  <a16:creationId xmlns:a16="http://schemas.microsoft.com/office/drawing/2014/main" id="{00000000-0008-0000-0400-00009D73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46" name="Line 1201">
              <a:extLst>
                <a:ext uri="{FF2B5EF4-FFF2-40B4-BE49-F238E27FC236}">
                  <a16:creationId xmlns:a16="http://schemas.microsoft.com/office/drawing/2014/main" id="{00000000-0008-0000-0400-00009E73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47" name="Rectangle 1202">
              <a:extLst>
                <a:ext uri="{FF2B5EF4-FFF2-40B4-BE49-F238E27FC236}">
                  <a16:creationId xmlns:a16="http://schemas.microsoft.com/office/drawing/2014/main" id="{00000000-0008-0000-0400-00009F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48" name="Oval 1203">
              <a:extLst>
                <a:ext uri="{FF2B5EF4-FFF2-40B4-BE49-F238E27FC236}">
                  <a16:creationId xmlns:a16="http://schemas.microsoft.com/office/drawing/2014/main" id="{00000000-0008-0000-0400-0000A0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49" name="Oval 1204">
              <a:extLst>
                <a:ext uri="{FF2B5EF4-FFF2-40B4-BE49-F238E27FC236}">
                  <a16:creationId xmlns:a16="http://schemas.microsoft.com/office/drawing/2014/main" id="{00000000-0008-0000-0400-0000A1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50" name="Rectangle 1205">
              <a:extLst>
                <a:ext uri="{FF2B5EF4-FFF2-40B4-BE49-F238E27FC236}">
                  <a16:creationId xmlns:a16="http://schemas.microsoft.com/office/drawing/2014/main" id="{00000000-0008-0000-0400-0000A2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51" name="Rectangle 1206">
              <a:extLst>
                <a:ext uri="{FF2B5EF4-FFF2-40B4-BE49-F238E27FC236}">
                  <a16:creationId xmlns:a16="http://schemas.microsoft.com/office/drawing/2014/main" id="{00000000-0008-0000-0400-0000A3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52" name="Rectangle 1207">
              <a:extLst>
                <a:ext uri="{FF2B5EF4-FFF2-40B4-BE49-F238E27FC236}">
                  <a16:creationId xmlns:a16="http://schemas.microsoft.com/office/drawing/2014/main" id="{00000000-0008-0000-0400-0000A4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53" name="Rectangle 1208">
              <a:extLst>
                <a:ext uri="{FF2B5EF4-FFF2-40B4-BE49-F238E27FC236}">
                  <a16:creationId xmlns:a16="http://schemas.microsoft.com/office/drawing/2014/main" id="{00000000-0008-0000-0400-0000A5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9242" name="Rectangle 1209">
            <a:extLst>
              <a:ext uri="{FF2B5EF4-FFF2-40B4-BE49-F238E27FC236}">
                <a16:creationId xmlns:a16="http://schemas.microsoft.com/office/drawing/2014/main" id="{00000000-0008-0000-0400-00009A73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43" name="Rectangle 1210">
            <a:extLst>
              <a:ext uri="{FF2B5EF4-FFF2-40B4-BE49-F238E27FC236}">
                <a16:creationId xmlns:a16="http://schemas.microsoft.com/office/drawing/2014/main" id="{00000000-0008-0000-0400-00009B73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49" name="Group 1211">
          <a:extLst>
            <a:ext uri="{FF2B5EF4-FFF2-40B4-BE49-F238E27FC236}">
              <a16:creationId xmlns:a16="http://schemas.microsoft.com/office/drawing/2014/main" id="{00000000-0008-0000-0400-000011721200}"/>
            </a:ext>
          </a:extLst>
        </xdr:cNvPr>
        <xdr:cNvGrpSpPr>
          <a:grpSpLocks/>
        </xdr:cNvGrpSpPr>
      </xdr:nvGrpSpPr>
      <xdr:grpSpPr bwMode="auto">
        <a:xfrm>
          <a:off x="9622971" y="1308100"/>
          <a:ext cx="0" cy="792843"/>
          <a:chOff x="220" y="176"/>
          <a:chExt cx="556" cy="247"/>
        </a:xfrm>
      </xdr:grpSpPr>
      <xdr:sp macro="" textlink="">
        <xdr:nvSpPr>
          <xdr:cNvPr id="1209208" name="Rectangle 1212">
            <a:extLst>
              <a:ext uri="{FF2B5EF4-FFF2-40B4-BE49-F238E27FC236}">
                <a16:creationId xmlns:a16="http://schemas.microsoft.com/office/drawing/2014/main" id="{00000000-0008-0000-0400-000078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09" name="Line 1213">
            <a:extLst>
              <a:ext uri="{FF2B5EF4-FFF2-40B4-BE49-F238E27FC236}">
                <a16:creationId xmlns:a16="http://schemas.microsoft.com/office/drawing/2014/main" id="{00000000-0008-0000-0400-00007973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10" name="Line 1214">
            <a:extLst>
              <a:ext uri="{FF2B5EF4-FFF2-40B4-BE49-F238E27FC236}">
                <a16:creationId xmlns:a16="http://schemas.microsoft.com/office/drawing/2014/main" id="{00000000-0008-0000-0400-00007A73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11" name="Rectangle 1215">
            <a:extLst>
              <a:ext uri="{FF2B5EF4-FFF2-40B4-BE49-F238E27FC236}">
                <a16:creationId xmlns:a16="http://schemas.microsoft.com/office/drawing/2014/main" id="{00000000-0008-0000-0400-00007B73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12" name="Oval 1216">
            <a:extLst>
              <a:ext uri="{FF2B5EF4-FFF2-40B4-BE49-F238E27FC236}">
                <a16:creationId xmlns:a16="http://schemas.microsoft.com/office/drawing/2014/main" id="{00000000-0008-0000-0400-00007C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13" name="Oval 1217">
            <a:extLst>
              <a:ext uri="{FF2B5EF4-FFF2-40B4-BE49-F238E27FC236}">
                <a16:creationId xmlns:a16="http://schemas.microsoft.com/office/drawing/2014/main" id="{00000000-0008-0000-0400-00007D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14" name="Rectangle 1218">
            <a:extLst>
              <a:ext uri="{FF2B5EF4-FFF2-40B4-BE49-F238E27FC236}">
                <a16:creationId xmlns:a16="http://schemas.microsoft.com/office/drawing/2014/main" id="{00000000-0008-0000-0400-00007E73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15" name="Rectangle 1219">
            <a:extLst>
              <a:ext uri="{FF2B5EF4-FFF2-40B4-BE49-F238E27FC236}">
                <a16:creationId xmlns:a16="http://schemas.microsoft.com/office/drawing/2014/main" id="{00000000-0008-0000-0400-00007F73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16" name="Rectangle 1220">
            <a:extLst>
              <a:ext uri="{FF2B5EF4-FFF2-40B4-BE49-F238E27FC236}">
                <a16:creationId xmlns:a16="http://schemas.microsoft.com/office/drawing/2014/main" id="{00000000-0008-0000-0400-000080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17" name="Rectangle 1221">
            <a:extLst>
              <a:ext uri="{FF2B5EF4-FFF2-40B4-BE49-F238E27FC236}">
                <a16:creationId xmlns:a16="http://schemas.microsoft.com/office/drawing/2014/main" id="{00000000-0008-0000-0400-000081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09218" name="Group 1222">
            <a:extLst>
              <a:ext uri="{FF2B5EF4-FFF2-40B4-BE49-F238E27FC236}">
                <a16:creationId xmlns:a16="http://schemas.microsoft.com/office/drawing/2014/main" id="{00000000-0008-0000-0400-00008273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09221" name="Rectangle 1223">
              <a:extLst>
                <a:ext uri="{FF2B5EF4-FFF2-40B4-BE49-F238E27FC236}">
                  <a16:creationId xmlns:a16="http://schemas.microsoft.com/office/drawing/2014/main" id="{00000000-0008-0000-0400-000085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22" name="Line 1224">
              <a:extLst>
                <a:ext uri="{FF2B5EF4-FFF2-40B4-BE49-F238E27FC236}">
                  <a16:creationId xmlns:a16="http://schemas.microsoft.com/office/drawing/2014/main" id="{00000000-0008-0000-0400-00008673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23" name="Line 1225">
              <a:extLst>
                <a:ext uri="{FF2B5EF4-FFF2-40B4-BE49-F238E27FC236}">
                  <a16:creationId xmlns:a16="http://schemas.microsoft.com/office/drawing/2014/main" id="{00000000-0008-0000-0400-00008773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24" name="Rectangle 1226">
              <a:extLst>
                <a:ext uri="{FF2B5EF4-FFF2-40B4-BE49-F238E27FC236}">
                  <a16:creationId xmlns:a16="http://schemas.microsoft.com/office/drawing/2014/main" id="{00000000-0008-0000-0400-000088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25" name="Oval 1227">
              <a:extLst>
                <a:ext uri="{FF2B5EF4-FFF2-40B4-BE49-F238E27FC236}">
                  <a16:creationId xmlns:a16="http://schemas.microsoft.com/office/drawing/2014/main" id="{00000000-0008-0000-0400-000089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26" name="Oval 1228">
              <a:extLst>
                <a:ext uri="{FF2B5EF4-FFF2-40B4-BE49-F238E27FC236}">
                  <a16:creationId xmlns:a16="http://schemas.microsoft.com/office/drawing/2014/main" id="{00000000-0008-0000-0400-00008A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27" name="Rectangle 1229">
              <a:extLst>
                <a:ext uri="{FF2B5EF4-FFF2-40B4-BE49-F238E27FC236}">
                  <a16:creationId xmlns:a16="http://schemas.microsoft.com/office/drawing/2014/main" id="{00000000-0008-0000-0400-00008B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28" name="Rectangle 1230">
              <a:extLst>
                <a:ext uri="{FF2B5EF4-FFF2-40B4-BE49-F238E27FC236}">
                  <a16:creationId xmlns:a16="http://schemas.microsoft.com/office/drawing/2014/main" id="{00000000-0008-0000-0400-00008C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29" name="Rectangle 1231">
              <a:extLst>
                <a:ext uri="{FF2B5EF4-FFF2-40B4-BE49-F238E27FC236}">
                  <a16:creationId xmlns:a16="http://schemas.microsoft.com/office/drawing/2014/main" id="{00000000-0008-0000-0400-00008D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30" name="Rectangle 1232">
              <a:extLst>
                <a:ext uri="{FF2B5EF4-FFF2-40B4-BE49-F238E27FC236}">
                  <a16:creationId xmlns:a16="http://schemas.microsoft.com/office/drawing/2014/main" id="{00000000-0008-0000-0400-00008E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9219" name="Rectangle 1233">
            <a:extLst>
              <a:ext uri="{FF2B5EF4-FFF2-40B4-BE49-F238E27FC236}">
                <a16:creationId xmlns:a16="http://schemas.microsoft.com/office/drawing/2014/main" id="{00000000-0008-0000-0400-00008373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20" name="Rectangle 1234">
            <a:extLst>
              <a:ext uri="{FF2B5EF4-FFF2-40B4-BE49-F238E27FC236}">
                <a16:creationId xmlns:a16="http://schemas.microsoft.com/office/drawing/2014/main" id="{00000000-0008-0000-0400-00008473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50" name="Group 1235">
          <a:extLst>
            <a:ext uri="{FF2B5EF4-FFF2-40B4-BE49-F238E27FC236}">
              <a16:creationId xmlns:a16="http://schemas.microsoft.com/office/drawing/2014/main" id="{00000000-0008-0000-0400-000012721200}"/>
            </a:ext>
          </a:extLst>
        </xdr:cNvPr>
        <xdr:cNvGrpSpPr>
          <a:grpSpLocks/>
        </xdr:cNvGrpSpPr>
      </xdr:nvGrpSpPr>
      <xdr:grpSpPr bwMode="auto">
        <a:xfrm>
          <a:off x="9622971" y="1308100"/>
          <a:ext cx="0" cy="792843"/>
          <a:chOff x="220" y="176"/>
          <a:chExt cx="556" cy="247"/>
        </a:xfrm>
      </xdr:grpSpPr>
      <xdr:sp macro="" textlink="">
        <xdr:nvSpPr>
          <xdr:cNvPr id="1209185" name="Rectangle 1236">
            <a:extLst>
              <a:ext uri="{FF2B5EF4-FFF2-40B4-BE49-F238E27FC236}">
                <a16:creationId xmlns:a16="http://schemas.microsoft.com/office/drawing/2014/main" id="{00000000-0008-0000-0400-000061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86" name="Line 1237">
            <a:extLst>
              <a:ext uri="{FF2B5EF4-FFF2-40B4-BE49-F238E27FC236}">
                <a16:creationId xmlns:a16="http://schemas.microsoft.com/office/drawing/2014/main" id="{00000000-0008-0000-0400-00006273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87" name="Line 1238">
            <a:extLst>
              <a:ext uri="{FF2B5EF4-FFF2-40B4-BE49-F238E27FC236}">
                <a16:creationId xmlns:a16="http://schemas.microsoft.com/office/drawing/2014/main" id="{00000000-0008-0000-0400-00006373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88" name="Rectangle 1239">
            <a:extLst>
              <a:ext uri="{FF2B5EF4-FFF2-40B4-BE49-F238E27FC236}">
                <a16:creationId xmlns:a16="http://schemas.microsoft.com/office/drawing/2014/main" id="{00000000-0008-0000-0400-00006473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89" name="Oval 1240">
            <a:extLst>
              <a:ext uri="{FF2B5EF4-FFF2-40B4-BE49-F238E27FC236}">
                <a16:creationId xmlns:a16="http://schemas.microsoft.com/office/drawing/2014/main" id="{00000000-0008-0000-0400-000065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90" name="Oval 1241">
            <a:extLst>
              <a:ext uri="{FF2B5EF4-FFF2-40B4-BE49-F238E27FC236}">
                <a16:creationId xmlns:a16="http://schemas.microsoft.com/office/drawing/2014/main" id="{00000000-0008-0000-0400-000066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91" name="Rectangle 1242">
            <a:extLst>
              <a:ext uri="{FF2B5EF4-FFF2-40B4-BE49-F238E27FC236}">
                <a16:creationId xmlns:a16="http://schemas.microsoft.com/office/drawing/2014/main" id="{00000000-0008-0000-0400-00006773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92" name="Rectangle 1243">
            <a:extLst>
              <a:ext uri="{FF2B5EF4-FFF2-40B4-BE49-F238E27FC236}">
                <a16:creationId xmlns:a16="http://schemas.microsoft.com/office/drawing/2014/main" id="{00000000-0008-0000-0400-00006873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93" name="Rectangle 1244">
            <a:extLst>
              <a:ext uri="{FF2B5EF4-FFF2-40B4-BE49-F238E27FC236}">
                <a16:creationId xmlns:a16="http://schemas.microsoft.com/office/drawing/2014/main" id="{00000000-0008-0000-0400-000069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94" name="Rectangle 1245">
            <a:extLst>
              <a:ext uri="{FF2B5EF4-FFF2-40B4-BE49-F238E27FC236}">
                <a16:creationId xmlns:a16="http://schemas.microsoft.com/office/drawing/2014/main" id="{00000000-0008-0000-0400-00006A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09195" name="Group 1246">
            <a:extLst>
              <a:ext uri="{FF2B5EF4-FFF2-40B4-BE49-F238E27FC236}">
                <a16:creationId xmlns:a16="http://schemas.microsoft.com/office/drawing/2014/main" id="{00000000-0008-0000-0400-00006B73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09198" name="Rectangle 1247">
              <a:extLst>
                <a:ext uri="{FF2B5EF4-FFF2-40B4-BE49-F238E27FC236}">
                  <a16:creationId xmlns:a16="http://schemas.microsoft.com/office/drawing/2014/main" id="{00000000-0008-0000-0400-00006E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99" name="Line 1248">
              <a:extLst>
                <a:ext uri="{FF2B5EF4-FFF2-40B4-BE49-F238E27FC236}">
                  <a16:creationId xmlns:a16="http://schemas.microsoft.com/office/drawing/2014/main" id="{00000000-0008-0000-0400-00006F73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00" name="Line 1249">
              <a:extLst>
                <a:ext uri="{FF2B5EF4-FFF2-40B4-BE49-F238E27FC236}">
                  <a16:creationId xmlns:a16="http://schemas.microsoft.com/office/drawing/2014/main" id="{00000000-0008-0000-0400-00007073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01" name="Rectangle 1250">
              <a:extLst>
                <a:ext uri="{FF2B5EF4-FFF2-40B4-BE49-F238E27FC236}">
                  <a16:creationId xmlns:a16="http://schemas.microsoft.com/office/drawing/2014/main" id="{00000000-0008-0000-0400-000071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02" name="Oval 1251">
              <a:extLst>
                <a:ext uri="{FF2B5EF4-FFF2-40B4-BE49-F238E27FC236}">
                  <a16:creationId xmlns:a16="http://schemas.microsoft.com/office/drawing/2014/main" id="{00000000-0008-0000-0400-000072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03" name="Oval 1252">
              <a:extLst>
                <a:ext uri="{FF2B5EF4-FFF2-40B4-BE49-F238E27FC236}">
                  <a16:creationId xmlns:a16="http://schemas.microsoft.com/office/drawing/2014/main" id="{00000000-0008-0000-0400-000073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04" name="Rectangle 1253">
              <a:extLst>
                <a:ext uri="{FF2B5EF4-FFF2-40B4-BE49-F238E27FC236}">
                  <a16:creationId xmlns:a16="http://schemas.microsoft.com/office/drawing/2014/main" id="{00000000-0008-0000-0400-000074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05" name="Rectangle 1254">
              <a:extLst>
                <a:ext uri="{FF2B5EF4-FFF2-40B4-BE49-F238E27FC236}">
                  <a16:creationId xmlns:a16="http://schemas.microsoft.com/office/drawing/2014/main" id="{00000000-0008-0000-0400-000075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06" name="Rectangle 1255">
              <a:extLst>
                <a:ext uri="{FF2B5EF4-FFF2-40B4-BE49-F238E27FC236}">
                  <a16:creationId xmlns:a16="http://schemas.microsoft.com/office/drawing/2014/main" id="{00000000-0008-0000-0400-000076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07" name="Rectangle 1256">
              <a:extLst>
                <a:ext uri="{FF2B5EF4-FFF2-40B4-BE49-F238E27FC236}">
                  <a16:creationId xmlns:a16="http://schemas.microsoft.com/office/drawing/2014/main" id="{00000000-0008-0000-0400-000077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9196" name="Rectangle 1257">
            <a:extLst>
              <a:ext uri="{FF2B5EF4-FFF2-40B4-BE49-F238E27FC236}">
                <a16:creationId xmlns:a16="http://schemas.microsoft.com/office/drawing/2014/main" id="{00000000-0008-0000-0400-00006C73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97" name="Rectangle 1258">
            <a:extLst>
              <a:ext uri="{FF2B5EF4-FFF2-40B4-BE49-F238E27FC236}">
                <a16:creationId xmlns:a16="http://schemas.microsoft.com/office/drawing/2014/main" id="{00000000-0008-0000-0400-00006D73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51" name="Group 1259">
          <a:extLst>
            <a:ext uri="{FF2B5EF4-FFF2-40B4-BE49-F238E27FC236}">
              <a16:creationId xmlns:a16="http://schemas.microsoft.com/office/drawing/2014/main" id="{00000000-0008-0000-0400-000013721200}"/>
            </a:ext>
          </a:extLst>
        </xdr:cNvPr>
        <xdr:cNvGrpSpPr>
          <a:grpSpLocks/>
        </xdr:cNvGrpSpPr>
      </xdr:nvGrpSpPr>
      <xdr:grpSpPr bwMode="auto">
        <a:xfrm>
          <a:off x="9622971" y="1308100"/>
          <a:ext cx="0" cy="792843"/>
          <a:chOff x="220" y="176"/>
          <a:chExt cx="556" cy="247"/>
        </a:xfrm>
      </xdr:grpSpPr>
      <xdr:sp macro="" textlink="">
        <xdr:nvSpPr>
          <xdr:cNvPr id="1209162" name="Rectangle 1260">
            <a:extLst>
              <a:ext uri="{FF2B5EF4-FFF2-40B4-BE49-F238E27FC236}">
                <a16:creationId xmlns:a16="http://schemas.microsoft.com/office/drawing/2014/main" id="{00000000-0008-0000-0400-00004A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63" name="Line 1261">
            <a:extLst>
              <a:ext uri="{FF2B5EF4-FFF2-40B4-BE49-F238E27FC236}">
                <a16:creationId xmlns:a16="http://schemas.microsoft.com/office/drawing/2014/main" id="{00000000-0008-0000-0400-00004B73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64" name="Line 1262">
            <a:extLst>
              <a:ext uri="{FF2B5EF4-FFF2-40B4-BE49-F238E27FC236}">
                <a16:creationId xmlns:a16="http://schemas.microsoft.com/office/drawing/2014/main" id="{00000000-0008-0000-0400-00004C73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65" name="Rectangle 1263">
            <a:extLst>
              <a:ext uri="{FF2B5EF4-FFF2-40B4-BE49-F238E27FC236}">
                <a16:creationId xmlns:a16="http://schemas.microsoft.com/office/drawing/2014/main" id="{00000000-0008-0000-0400-00004D73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66" name="Oval 1264">
            <a:extLst>
              <a:ext uri="{FF2B5EF4-FFF2-40B4-BE49-F238E27FC236}">
                <a16:creationId xmlns:a16="http://schemas.microsoft.com/office/drawing/2014/main" id="{00000000-0008-0000-0400-00004E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67" name="Oval 1265">
            <a:extLst>
              <a:ext uri="{FF2B5EF4-FFF2-40B4-BE49-F238E27FC236}">
                <a16:creationId xmlns:a16="http://schemas.microsoft.com/office/drawing/2014/main" id="{00000000-0008-0000-0400-00004F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68" name="Rectangle 1266">
            <a:extLst>
              <a:ext uri="{FF2B5EF4-FFF2-40B4-BE49-F238E27FC236}">
                <a16:creationId xmlns:a16="http://schemas.microsoft.com/office/drawing/2014/main" id="{00000000-0008-0000-0400-00005073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69" name="Rectangle 1267">
            <a:extLst>
              <a:ext uri="{FF2B5EF4-FFF2-40B4-BE49-F238E27FC236}">
                <a16:creationId xmlns:a16="http://schemas.microsoft.com/office/drawing/2014/main" id="{00000000-0008-0000-0400-00005173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70" name="Rectangle 1268">
            <a:extLst>
              <a:ext uri="{FF2B5EF4-FFF2-40B4-BE49-F238E27FC236}">
                <a16:creationId xmlns:a16="http://schemas.microsoft.com/office/drawing/2014/main" id="{00000000-0008-0000-0400-000052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71" name="Rectangle 1269">
            <a:extLst>
              <a:ext uri="{FF2B5EF4-FFF2-40B4-BE49-F238E27FC236}">
                <a16:creationId xmlns:a16="http://schemas.microsoft.com/office/drawing/2014/main" id="{00000000-0008-0000-0400-000053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09172" name="Group 1270">
            <a:extLst>
              <a:ext uri="{FF2B5EF4-FFF2-40B4-BE49-F238E27FC236}">
                <a16:creationId xmlns:a16="http://schemas.microsoft.com/office/drawing/2014/main" id="{00000000-0008-0000-0400-00005473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09175" name="Rectangle 1271">
              <a:extLst>
                <a:ext uri="{FF2B5EF4-FFF2-40B4-BE49-F238E27FC236}">
                  <a16:creationId xmlns:a16="http://schemas.microsoft.com/office/drawing/2014/main" id="{00000000-0008-0000-0400-000057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76" name="Line 1272">
              <a:extLst>
                <a:ext uri="{FF2B5EF4-FFF2-40B4-BE49-F238E27FC236}">
                  <a16:creationId xmlns:a16="http://schemas.microsoft.com/office/drawing/2014/main" id="{00000000-0008-0000-0400-00005873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77" name="Line 1273">
              <a:extLst>
                <a:ext uri="{FF2B5EF4-FFF2-40B4-BE49-F238E27FC236}">
                  <a16:creationId xmlns:a16="http://schemas.microsoft.com/office/drawing/2014/main" id="{00000000-0008-0000-0400-00005973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78" name="Rectangle 1274">
              <a:extLst>
                <a:ext uri="{FF2B5EF4-FFF2-40B4-BE49-F238E27FC236}">
                  <a16:creationId xmlns:a16="http://schemas.microsoft.com/office/drawing/2014/main" id="{00000000-0008-0000-0400-00005A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79" name="Oval 1275">
              <a:extLst>
                <a:ext uri="{FF2B5EF4-FFF2-40B4-BE49-F238E27FC236}">
                  <a16:creationId xmlns:a16="http://schemas.microsoft.com/office/drawing/2014/main" id="{00000000-0008-0000-0400-00005B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80" name="Oval 1276">
              <a:extLst>
                <a:ext uri="{FF2B5EF4-FFF2-40B4-BE49-F238E27FC236}">
                  <a16:creationId xmlns:a16="http://schemas.microsoft.com/office/drawing/2014/main" id="{00000000-0008-0000-0400-00005C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81" name="Rectangle 1277">
              <a:extLst>
                <a:ext uri="{FF2B5EF4-FFF2-40B4-BE49-F238E27FC236}">
                  <a16:creationId xmlns:a16="http://schemas.microsoft.com/office/drawing/2014/main" id="{00000000-0008-0000-0400-00005D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82" name="Rectangle 1278">
              <a:extLst>
                <a:ext uri="{FF2B5EF4-FFF2-40B4-BE49-F238E27FC236}">
                  <a16:creationId xmlns:a16="http://schemas.microsoft.com/office/drawing/2014/main" id="{00000000-0008-0000-0400-00005E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83" name="Rectangle 1279">
              <a:extLst>
                <a:ext uri="{FF2B5EF4-FFF2-40B4-BE49-F238E27FC236}">
                  <a16:creationId xmlns:a16="http://schemas.microsoft.com/office/drawing/2014/main" id="{00000000-0008-0000-0400-00005F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84" name="Rectangle 1280">
              <a:extLst>
                <a:ext uri="{FF2B5EF4-FFF2-40B4-BE49-F238E27FC236}">
                  <a16:creationId xmlns:a16="http://schemas.microsoft.com/office/drawing/2014/main" id="{00000000-0008-0000-0400-000060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9173" name="Rectangle 1281">
            <a:extLst>
              <a:ext uri="{FF2B5EF4-FFF2-40B4-BE49-F238E27FC236}">
                <a16:creationId xmlns:a16="http://schemas.microsoft.com/office/drawing/2014/main" id="{00000000-0008-0000-0400-00005573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74" name="Rectangle 1282">
            <a:extLst>
              <a:ext uri="{FF2B5EF4-FFF2-40B4-BE49-F238E27FC236}">
                <a16:creationId xmlns:a16="http://schemas.microsoft.com/office/drawing/2014/main" id="{00000000-0008-0000-0400-00005673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52" name="Group 1283">
          <a:extLst>
            <a:ext uri="{FF2B5EF4-FFF2-40B4-BE49-F238E27FC236}">
              <a16:creationId xmlns:a16="http://schemas.microsoft.com/office/drawing/2014/main" id="{00000000-0008-0000-0400-000014721200}"/>
            </a:ext>
          </a:extLst>
        </xdr:cNvPr>
        <xdr:cNvGrpSpPr>
          <a:grpSpLocks/>
        </xdr:cNvGrpSpPr>
      </xdr:nvGrpSpPr>
      <xdr:grpSpPr bwMode="auto">
        <a:xfrm>
          <a:off x="9622971" y="1308100"/>
          <a:ext cx="0" cy="792843"/>
          <a:chOff x="220" y="176"/>
          <a:chExt cx="556" cy="247"/>
        </a:xfrm>
      </xdr:grpSpPr>
      <xdr:sp macro="" textlink="">
        <xdr:nvSpPr>
          <xdr:cNvPr id="1209139" name="Rectangle 1284">
            <a:extLst>
              <a:ext uri="{FF2B5EF4-FFF2-40B4-BE49-F238E27FC236}">
                <a16:creationId xmlns:a16="http://schemas.microsoft.com/office/drawing/2014/main" id="{00000000-0008-0000-0400-000033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40" name="Line 1285">
            <a:extLst>
              <a:ext uri="{FF2B5EF4-FFF2-40B4-BE49-F238E27FC236}">
                <a16:creationId xmlns:a16="http://schemas.microsoft.com/office/drawing/2014/main" id="{00000000-0008-0000-0400-00003473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41" name="Line 1286">
            <a:extLst>
              <a:ext uri="{FF2B5EF4-FFF2-40B4-BE49-F238E27FC236}">
                <a16:creationId xmlns:a16="http://schemas.microsoft.com/office/drawing/2014/main" id="{00000000-0008-0000-0400-00003573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42" name="Rectangle 1287">
            <a:extLst>
              <a:ext uri="{FF2B5EF4-FFF2-40B4-BE49-F238E27FC236}">
                <a16:creationId xmlns:a16="http://schemas.microsoft.com/office/drawing/2014/main" id="{00000000-0008-0000-0400-00003673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43" name="Oval 1288">
            <a:extLst>
              <a:ext uri="{FF2B5EF4-FFF2-40B4-BE49-F238E27FC236}">
                <a16:creationId xmlns:a16="http://schemas.microsoft.com/office/drawing/2014/main" id="{00000000-0008-0000-0400-000037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44" name="Oval 1289">
            <a:extLst>
              <a:ext uri="{FF2B5EF4-FFF2-40B4-BE49-F238E27FC236}">
                <a16:creationId xmlns:a16="http://schemas.microsoft.com/office/drawing/2014/main" id="{00000000-0008-0000-0400-000038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45" name="Rectangle 1290">
            <a:extLst>
              <a:ext uri="{FF2B5EF4-FFF2-40B4-BE49-F238E27FC236}">
                <a16:creationId xmlns:a16="http://schemas.microsoft.com/office/drawing/2014/main" id="{00000000-0008-0000-0400-00003973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46" name="Rectangle 1291">
            <a:extLst>
              <a:ext uri="{FF2B5EF4-FFF2-40B4-BE49-F238E27FC236}">
                <a16:creationId xmlns:a16="http://schemas.microsoft.com/office/drawing/2014/main" id="{00000000-0008-0000-0400-00003A73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47" name="Rectangle 1292">
            <a:extLst>
              <a:ext uri="{FF2B5EF4-FFF2-40B4-BE49-F238E27FC236}">
                <a16:creationId xmlns:a16="http://schemas.microsoft.com/office/drawing/2014/main" id="{00000000-0008-0000-0400-00003B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48" name="Rectangle 1293">
            <a:extLst>
              <a:ext uri="{FF2B5EF4-FFF2-40B4-BE49-F238E27FC236}">
                <a16:creationId xmlns:a16="http://schemas.microsoft.com/office/drawing/2014/main" id="{00000000-0008-0000-0400-00003C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09149" name="Group 1294">
            <a:extLst>
              <a:ext uri="{FF2B5EF4-FFF2-40B4-BE49-F238E27FC236}">
                <a16:creationId xmlns:a16="http://schemas.microsoft.com/office/drawing/2014/main" id="{00000000-0008-0000-0400-00003D73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09152" name="Rectangle 1295">
              <a:extLst>
                <a:ext uri="{FF2B5EF4-FFF2-40B4-BE49-F238E27FC236}">
                  <a16:creationId xmlns:a16="http://schemas.microsoft.com/office/drawing/2014/main" id="{00000000-0008-0000-0400-000040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53" name="Line 1296">
              <a:extLst>
                <a:ext uri="{FF2B5EF4-FFF2-40B4-BE49-F238E27FC236}">
                  <a16:creationId xmlns:a16="http://schemas.microsoft.com/office/drawing/2014/main" id="{00000000-0008-0000-0400-00004173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54" name="Line 1297">
              <a:extLst>
                <a:ext uri="{FF2B5EF4-FFF2-40B4-BE49-F238E27FC236}">
                  <a16:creationId xmlns:a16="http://schemas.microsoft.com/office/drawing/2014/main" id="{00000000-0008-0000-0400-00004273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55" name="Rectangle 1298">
              <a:extLst>
                <a:ext uri="{FF2B5EF4-FFF2-40B4-BE49-F238E27FC236}">
                  <a16:creationId xmlns:a16="http://schemas.microsoft.com/office/drawing/2014/main" id="{00000000-0008-0000-0400-000043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56" name="Oval 1299">
              <a:extLst>
                <a:ext uri="{FF2B5EF4-FFF2-40B4-BE49-F238E27FC236}">
                  <a16:creationId xmlns:a16="http://schemas.microsoft.com/office/drawing/2014/main" id="{00000000-0008-0000-0400-000044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57" name="Oval 1300">
              <a:extLst>
                <a:ext uri="{FF2B5EF4-FFF2-40B4-BE49-F238E27FC236}">
                  <a16:creationId xmlns:a16="http://schemas.microsoft.com/office/drawing/2014/main" id="{00000000-0008-0000-0400-000045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58" name="Rectangle 1301">
              <a:extLst>
                <a:ext uri="{FF2B5EF4-FFF2-40B4-BE49-F238E27FC236}">
                  <a16:creationId xmlns:a16="http://schemas.microsoft.com/office/drawing/2014/main" id="{00000000-0008-0000-0400-000046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59" name="Rectangle 1302">
              <a:extLst>
                <a:ext uri="{FF2B5EF4-FFF2-40B4-BE49-F238E27FC236}">
                  <a16:creationId xmlns:a16="http://schemas.microsoft.com/office/drawing/2014/main" id="{00000000-0008-0000-0400-000047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60" name="Rectangle 1303">
              <a:extLst>
                <a:ext uri="{FF2B5EF4-FFF2-40B4-BE49-F238E27FC236}">
                  <a16:creationId xmlns:a16="http://schemas.microsoft.com/office/drawing/2014/main" id="{00000000-0008-0000-0400-000048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61" name="Rectangle 1304">
              <a:extLst>
                <a:ext uri="{FF2B5EF4-FFF2-40B4-BE49-F238E27FC236}">
                  <a16:creationId xmlns:a16="http://schemas.microsoft.com/office/drawing/2014/main" id="{00000000-0008-0000-0400-000049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9150" name="Rectangle 1305">
            <a:extLst>
              <a:ext uri="{FF2B5EF4-FFF2-40B4-BE49-F238E27FC236}">
                <a16:creationId xmlns:a16="http://schemas.microsoft.com/office/drawing/2014/main" id="{00000000-0008-0000-0400-00003E73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51" name="Rectangle 1306">
            <a:extLst>
              <a:ext uri="{FF2B5EF4-FFF2-40B4-BE49-F238E27FC236}">
                <a16:creationId xmlns:a16="http://schemas.microsoft.com/office/drawing/2014/main" id="{00000000-0008-0000-0400-00003F73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53" name="Group 1307">
          <a:extLst>
            <a:ext uri="{FF2B5EF4-FFF2-40B4-BE49-F238E27FC236}">
              <a16:creationId xmlns:a16="http://schemas.microsoft.com/office/drawing/2014/main" id="{00000000-0008-0000-0400-000015721200}"/>
            </a:ext>
          </a:extLst>
        </xdr:cNvPr>
        <xdr:cNvGrpSpPr>
          <a:grpSpLocks/>
        </xdr:cNvGrpSpPr>
      </xdr:nvGrpSpPr>
      <xdr:grpSpPr bwMode="auto">
        <a:xfrm>
          <a:off x="9622971" y="1308100"/>
          <a:ext cx="0" cy="792843"/>
          <a:chOff x="220" y="176"/>
          <a:chExt cx="556" cy="247"/>
        </a:xfrm>
      </xdr:grpSpPr>
      <xdr:sp macro="" textlink="">
        <xdr:nvSpPr>
          <xdr:cNvPr id="1209116" name="Rectangle 1308">
            <a:extLst>
              <a:ext uri="{FF2B5EF4-FFF2-40B4-BE49-F238E27FC236}">
                <a16:creationId xmlns:a16="http://schemas.microsoft.com/office/drawing/2014/main" id="{00000000-0008-0000-0400-00001C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17" name="Line 1309">
            <a:extLst>
              <a:ext uri="{FF2B5EF4-FFF2-40B4-BE49-F238E27FC236}">
                <a16:creationId xmlns:a16="http://schemas.microsoft.com/office/drawing/2014/main" id="{00000000-0008-0000-0400-00001D73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18" name="Line 1310">
            <a:extLst>
              <a:ext uri="{FF2B5EF4-FFF2-40B4-BE49-F238E27FC236}">
                <a16:creationId xmlns:a16="http://schemas.microsoft.com/office/drawing/2014/main" id="{00000000-0008-0000-0400-00001E73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19" name="Rectangle 1311">
            <a:extLst>
              <a:ext uri="{FF2B5EF4-FFF2-40B4-BE49-F238E27FC236}">
                <a16:creationId xmlns:a16="http://schemas.microsoft.com/office/drawing/2014/main" id="{00000000-0008-0000-0400-00001F73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20" name="Oval 1312">
            <a:extLst>
              <a:ext uri="{FF2B5EF4-FFF2-40B4-BE49-F238E27FC236}">
                <a16:creationId xmlns:a16="http://schemas.microsoft.com/office/drawing/2014/main" id="{00000000-0008-0000-0400-000020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21" name="Oval 1313">
            <a:extLst>
              <a:ext uri="{FF2B5EF4-FFF2-40B4-BE49-F238E27FC236}">
                <a16:creationId xmlns:a16="http://schemas.microsoft.com/office/drawing/2014/main" id="{00000000-0008-0000-0400-000021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22" name="Rectangle 1314">
            <a:extLst>
              <a:ext uri="{FF2B5EF4-FFF2-40B4-BE49-F238E27FC236}">
                <a16:creationId xmlns:a16="http://schemas.microsoft.com/office/drawing/2014/main" id="{00000000-0008-0000-0400-00002273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23" name="Rectangle 1315">
            <a:extLst>
              <a:ext uri="{FF2B5EF4-FFF2-40B4-BE49-F238E27FC236}">
                <a16:creationId xmlns:a16="http://schemas.microsoft.com/office/drawing/2014/main" id="{00000000-0008-0000-0400-00002373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24" name="Rectangle 1316">
            <a:extLst>
              <a:ext uri="{FF2B5EF4-FFF2-40B4-BE49-F238E27FC236}">
                <a16:creationId xmlns:a16="http://schemas.microsoft.com/office/drawing/2014/main" id="{00000000-0008-0000-0400-000024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25" name="Rectangle 1317">
            <a:extLst>
              <a:ext uri="{FF2B5EF4-FFF2-40B4-BE49-F238E27FC236}">
                <a16:creationId xmlns:a16="http://schemas.microsoft.com/office/drawing/2014/main" id="{00000000-0008-0000-0400-000025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09126" name="Group 1318">
            <a:extLst>
              <a:ext uri="{FF2B5EF4-FFF2-40B4-BE49-F238E27FC236}">
                <a16:creationId xmlns:a16="http://schemas.microsoft.com/office/drawing/2014/main" id="{00000000-0008-0000-0400-00002673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09129" name="Rectangle 1319">
              <a:extLst>
                <a:ext uri="{FF2B5EF4-FFF2-40B4-BE49-F238E27FC236}">
                  <a16:creationId xmlns:a16="http://schemas.microsoft.com/office/drawing/2014/main" id="{00000000-0008-0000-0400-000029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30" name="Line 1320">
              <a:extLst>
                <a:ext uri="{FF2B5EF4-FFF2-40B4-BE49-F238E27FC236}">
                  <a16:creationId xmlns:a16="http://schemas.microsoft.com/office/drawing/2014/main" id="{00000000-0008-0000-0400-00002A73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31" name="Line 1321">
              <a:extLst>
                <a:ext uri="{FF2B5EF4-FFF2-40B4-BE49-F238E27FC236}">
                  <a16:creationId xmlns:a16="http://schemas.microsoft.com/office/drawing/2014/main" id="{00000000-0008-0000-0400-00002B73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32" name="Rectangle 1322">
              <a:extLst>
                <a:ext uri="{FF2B5EF4-FFF2-40B4-BE49-F238E27FC236}">
                  <a16:creationId xmlns:a16="http://schemas.microsoft.com/office/drawing/2014/main" id="{00000000-0008-0000-0400-00002C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33" name="Oval 1323">
              <a:extLst>
                <a:ext uri="{FF2B5EF4-FFF2-40B4-BE49-F238E27FC236}">
                  <a16:creationId xmlns:a16="http://schemas.microsoft.com/office/drawing/2014/main" id="{00000000-0008-0000-0400-00002D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34" name="Oval 1324">
              <a:extLst>
                <a:ext uri="{FF2B5EF4-FFF2-40B4-BE49-F238E27FC236}">
                  <a16:creationId xmlns:a16="http://schemas.microsoft.com/office/drawing/2014/main" id="{00000000-0008-0000-0400-00002E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35" name="Rectangle 1325">
              <a:extLst>
                <a:ext uri="{FF2B5EF4-FFF2-40B4-BE49-F238E27FC236}">
                  <a16:creationId xmlns:a16="http://schemas.microsoft.com/office/drawing/2014/main" id="{00000000-0008-0000-0400-00002F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36" name="Rectangle 1326">
              <a:extLst>
                <a:ext uri="{FF2B5EF4-FFF2-40B4-BE49-F238E27FC236}">
                  <a16:creationId xmlns:a16="http://schemas.microsoft.com/office/drawing/2014/main" id="{00000000-0008-0000-0400-000030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37" name="Rectangle 1327">
              <a:extLst>
                <a:ext uri="{FF2B5EF4-FFF2-40B4-BE49-F238E27FC236}">
                  <a16:creationId xmlns:a16="http://schemas.microsoft.com/office/drawing/2014/main" id="{00000000-0008-0000-0400-000031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38" name="Rectangle 1328">
              <a:extLst>
                <a:ext uri="{FF2B5EF4-FFF2-40B4-BE49-F238E27FC236}">
                  <a16:creationId xmlns:a16="http://schemas.microsoft.com/office/drawing/2014/main" id="{00000000-0008-0000-0400-000032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9127" name="Rectangle 1329">
            <a:extLst>
              <a:ext uri="{FF2B5EF4-FFF2-40B4-BE49-F238E27FC236}">
                <a16:creationId xmlns:a16="http://schemas.microsoft.com/office/drawing/2014/main" id="{00000000-0008-0000-0400-00002773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28" name="Rectangle 1330">
            <a:extLst>
              <a:ext uri="{FF2B5EF4-FFF2-40B4-BE49-F238E27FC236}">
                <a16:creationId xmlns:a16="http://schemas.microsoft.com/office/drawing/2014/main" id="{00000000-0008-0000-0400-00002873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54" name="Group 1331">
          <a:extLst>
            <a:ext uri="{FF2B5EF4-FFF2-40B4-BE49-F238E27FC236}">
              <a16:creationId xmlns:a16="http://schemas.microsoft.com/office/drawing/2014/main" id="{00000000-0008-0000-0400-000016721200}"/>
            </a:ext>
          </a:extLst>
        </xdr:cNvPr>
        <xdr:cNvGrpSpPr>
          <a:grpSpLocks/>
        </xdr:cNvGrpSpPr>
      </xdr:nvGrpSpPr>
      <xdr:grpSpPr bwMode="auto">
        <a:xfrm>
          <a:off x="9622971" y="1308100"/>
          <a:ext cx="0" cy="792843"/>
          <a:chOff x="220" y="176"/>
          <a:chExt cx="556" cy="247"/>
        </a:xfrm>
      </xdr:grpSpPr>
      <xdr:sp macro="" textlink="">
        <xdr:nvSpPr>
          <xdr:cNvPr id="1209093" name="Rectangle 1332">
            <a:extLst>
              <a:ext uri="{FF2B5EF4-FFF2-40B4-BE49-F238E27FC236}">
                <a16:creationId xmlns:a16="http://schemas.microsoft.com/office/drawing/2014/main" id="{00000000-0008-0000-0400-000005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94" name="Line 1333">
            <a:extLst>
              <a:ext uri="{FF2B5EF4-FFF2-40B4-BE49-F238E27FC236}">
                <a16:creationId xmlns:a16="http://schemas.microsoft.com/office/drawing/2014/main" id="{00000000-0008-0000-0400-00000673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95" name="Line 1334">
            <a:extLst>
              <a:ext uri="{FF2B5EF4-FFF2-40B4-BE49-F238E27FC236}">
                <a16:creationId xmlns:a16="http://schemas.microsoft.com/office/drawing/2014/main" id="{00000000-0008-0000-0400-00000773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96" name="Rectangle 1335">
            <a:extLst>
              <a:ext uri="{FF2B5EF4-FFF2-40B4-BE49-F238E27FC236}">
                <a16:creationId xmlns:a16="http://schemas.microsoft.com/office/drawing/2014/main" id="{00000000-0008-0000-0400-00000873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97" name="Oval 1336">
            <a:extLst>
              <a:ext uri="{FF2B5EF4-FFF2-40B4-BE49-F238E27FC236}">
                <a16:creationId xmlns:a16="http://schemas.microsoft.com/office/drawing/2014/main" id="{00000000-0008-0000-0400-000009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98" name="Oval 1337">
            <a:extLst>
              <a:ext uri="{FF2B5EF4-FFF2-40B4-BE49-F238E27FC236}">
                <a16:creationId xmlns:a16="http://schemas.microsoft.com/office/drawing/2014/main" id="{00000000-0008-0000-0400-00000A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99" name="Rectangle 1338">
            <a:extLst>
              <a:ext uri="{FF2B5EF4-FFF2-40B4-BE49-F238E27FC236}">
                <a16:creationId xmlns:a16="http://schemas.microsoft.com/office/drawing/2014/main" id="{00000000-0008-0000-0400-00000B73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00" name="Rectangle 1339">
            <a:extLst>
              <a:ext uri="{FF2B5EF4-FFF2-40B4-BE49-F238E27FC236}">
                <a16:creationId xmlns:a16="http://schemas.microsoft.com/office/drawing/2014/main" id="{00000000-0008-0000-0400-00000C73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01" name="Rectangle 1340">
            <a:extLst>
              <a:ext uri="{FF2B5EF4-FFF2-40B4-BE49-F238E27FC236}">
                <a16:creationId xmlns:a16="http://schemas.microsoft.com/office/drawing/2014/main" id="{00000000-0008-0000-0400-00000D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02" name="Rectangle 1341">
            <a:extLst>
              <a:ext uri="{FF2B5EF4-FFF2-40B4-BE49-F238E27FC236}">
                <a16:creationId xmlns:a16="http://schemas.microsoft.com/office/drawing/2014/main" id="{00000000-0008-0000-0400-00000E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09103" name="Group 1342">
            <a:extLst>
              <a:ext uri="{FF2B5EF4-FFF2-40B4-BE49-F238E27FC236}">
                <a16:creationId xmlns:a16="http://schemas.microsoft.com/office/drawing/2014/main" id="{00000000-0008-0000-0400-00000F73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09106" name="Rectangle 1343">
              <a:extLst>
                <a:ext uri="{FF2B5EF4-FFF2-40B4-BE49-F238E27FC236}">
                  <a16:creationId xmlns:a16="http://schemas.microsoft.com/office/drawing/2014/main" id="{00000000-0008-0000-0400-000012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07" name="Line 1344">
              <a:extLst>
                <a:ext uri="{FF2B5EF4-FFF2-40B4-BE49-F238E27FC236}">
                  <a16:creationId xmlns:a16="http://schemas.microsoft.com/office/drawing/2014/main" id="{00000000-0008-0000-0400-00001373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08" name="Line 1345">
              <a:extLst>
                <a:ext uri="{FF2B5EF4-FFF2-40B4-BE49-F238E27FC236}">
                  <a16:creationId xmlns:a16="http://schemas.microsoft.com/office/drawing/2014/main" id="{00000000-0008-0000-0400-00001473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09" name="Rectangle 1346">
              <a:extLst>
                <a:ext uri="{FF2B5EF4-FFF2-40B4-BE49-F238E27FC236}">
                  <a16:creationId xmlns:a16="http://schemas.microsoft.com/office/drawing/2014/main" id="{00000000-0008-0000-0400-000015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10" name="Oval 1347">
              <a:extLst>
                <a:ext uri="{FF2B5EF4-FFF2-40B4-BE49-F238E27FC236}">
                  <a16:creationId xmlns:a16="http://schemas.microsoft.com/office/drawing/2014/main" id="{00000000-0008-0000-0400-000016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11" name="Oval 1348">
              <a:extLst>
                <a:ext uri="{FF2B5EF4-FFF2-40B4-BE49-F238E27FC236}">
                  <a16:creationId xmlns:a16="http://schemas.microsoft.com/office/drawing/2014/main" id="{00000000-0008-0000-0400-000017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12" name="Rectangle 1349">
              <a:extLst>
                <a:ext uri="{FF2B5EF4-FFF2-40B4-BE49-F238E27FC236}">
                  <a16:creationId xmlns:a16="http://schemas.microsoft.com/office/drawing/2014/main" id="{00000000-0008-0000-0400-000018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13" name="Rectangle 1350">
              <a:extLst>
                <a:ext uri="{FF2B5EF4-FFF2-40B4-BE49-F238E27FC236}">
                  <a16:creationId xmlns:a16="http://schemas.microsoft.com/office/drawing/2014/main" id="{00000000-0008-0000-0400-000019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14" name="Rectangle 1351">
              <a:extLst>
                <a:ext uri="{FF2B5EF4-FFF2-40B4-BE49-F238E27FC236}">
                  <a16:creationId xmlns:a16="http://schemas.microsoft.com/office/drawing/2014/main" id="{00000000-0008-0000-0400-00001A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15" name="Rectangle 1352">
              <a:extLst>
                <a:ext uri="{FF2B5EF4-FFF2-40B4-BE49-F238E27FC236}">
                  <a16:creationId xmlns:a16="http://schemas.microsoft.com/office/drawing/2014/main" id="{00000000-0008-0000-0400-00001B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9104" name="Rectangle 1353">
            <a:extLst>
              <a:ext uri="{FF2B5EF4-FFF2-40B4-BE49-F238E27FC236}">
                <a16:creationId xmlns:a16="http://schemas.microsoft.com/office/drawing/2014/main" id="{00000000-0008-0000-0400-00001073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05" name="Rectangle 1354">
            <a:extLst>
              <a:ext uri="{FF2B5EF4-FFF2-40B4-BE49-F238E27FC236}">
                <a16:creationId xmlns:a16="http://schemas.microsoft.com/office/drawing/2014/main" id="{00000000-0008-0000-0400-00001173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55" name="Group 1355">
          <a:extLst>
            <a:ext uri="{FF2B5EF4-FFF2-40B4-BE49-F238E27FC236}">
              <a16:creationId xmlns:a16="http://schemas.microsoft.com/office/drawing/2014/main" id="{00000000-0008-0000-0400-000017721200}"/>
            </a:ext>
          </a:extLst>
        </xdr:cNvPr>
        <xdr:cNvGrpSpPr>
          <a:grpSpLocks/>
        </xdr:cNvGrpSpPr>
      </xdr:nvGrpSpPr>
      <xdr:grpSpPr bwMode="auto">
        <a:xfrm>
          <a:off x="9622971" y="1308100"/>
          <a:ext cx="0" cy="792843"/>
          <a:chOff x="220" y="176"/>
          <a:chExt cx="556" cy="247"/>
        </a:xfrm>
      </xdr:grpSpPr>
      <xdr:sp macro="" textlink="">
        <xdr:nvSpPr>
          <xdr:cNvPr id="1209070" name="Rectangle 1356">
            <a:extLst>
              <a:ext uri="{FF2B5EF4-FFF2-40B4-BE49-F238E27FC236}">
                <a16:creationId xmlns:a16="http://schemas.microsoft.com/office/drawing/2014/main" id="{00000000-0008-0000-0400-0000EE7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71" name="Line 1357">
            <a:extLst>
              <a:ext uri="{FF2B5EF4-FFF2-40B4-BE49-F238E27FC236}">
                <a16:creationId xmlns:a16="http://schemas.microsoft.com/office/drawing/2014/main" id="{00000000-0008-0000-0400-0000EF72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72" name="Line 1358">
            <a:extLst>
              <a:ext uri="{FF2B5EF4-FFF2-40B4-BE49-F238E27FC236}">
                <a16:creationId xmlns:a16="http://schemas.microsoft.com/office/drawing/2014/main" id="{00000000-0008-0000-0400-0000F072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73" name="Rectangle 1359">
            <a:extLst>
              <a:ext uri="{FF2B5EF4-FFF2-40B4-BE49-F238E27FC236}">
                <a16:creationId xmlns:a16="http://schemas.microsoft.com/office/drawing/2014/main" id="{00000000-0008-0000-0400-0000F172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74" name="Oval 1360">
            <a:extLst>
              <a:ext uri="{FF2B5EF4-FFF2-40B4-BE49-F238E27FC236}">
                <a16:creationId xmlns:a16="http://schemas.microsoft.com/office/drawing/2014/main" id="{00000000-0008-0000-0400-0000F27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75" name="Oval 1361">
            <a:extLst>
              <a:ext uri="{FF2B5EF4-FFF2-40B4-BE49-F238E27FC236}">
                <a16:creationId xmlns:a16="http://schemas.microsoft.com/office/drawing/2014/main" id="{00000000-0008-0000-0400-0000F37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76" name="Rectangle 1362">
            <a:extLst>
              <a:ext uri="{FF2B5EF4-FFF2-40B4-BE49-F238E27FC236}">
                <a16:creationId xmlns:a16="http://schemas.microsoft.com/office/drawing/2014/main" id="{00000000-0008-0000-0400-0000F472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77" name="Rectangle 1363">
            <a:extLst>
              <a:ext uri="{FF2B5EF4-FFF2-40B4-BE49-F238E27FC236}">
                <a16:creationId xmlns:a16="http://schemas.microsoft.com/office/drawing/2014/main" id="{00000000-0008-0000-0400-0000F572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78" name="Rectangle 1364">
            <a:extLst>
              <a:ext uri="{FF2B5EF4-FFF2-40B4-BE49-F238E27FC236}">
                <a16:creationId xmlns:a16="http://schemas.microsoft.com/office/drawing/2014/main" id="{00000000-0008-0000-0400-0000F67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79" name="Rectangle 1365">
            <a:extLst>
              <a:ext uri="{FF2B5EF4-FFF2-40B4-BE49-F238E27FC236}">
                <a16:creationId xmlns:a16="http://schemas.microsoft.com/office/drawing/2014/main" id="{00000000-0008-0000-0400-0000F77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09080" name="Group 1366">
            <a:extLst>
              <a:ext uri="{FF2B5EF4-FFF2-40B4-BE49-F238E27FC236}">
                <a16:creationId xmlns:a16="http://schemas.microsoft.com/office/drawing/2014/main" id="{00000000-0008-0000-0400-0000F872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09083" name="Rectangle 1367">
              <a:extLst>
                <a:ext uri="{FF2B5EF4-FFF2-40B4-BE49-F238E27FC236}">
                  <a16:creationId xmlns:a16="http://schemas.microsoft.com/office/drawing/2014/main" id="{00000000-0008-0000-0400-0000FB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84" name="Line 1368">
              <a:extLst>
                <a:ext uri="{FF2B5EF4-FFF2-40B4-BE49-F238E27FC236}">
                  <a16:creationId xmlns:a16="http://schemas.microsoft.com/office/drawing/2014/main" id="{00000000-0008-0000-0400-0000FC7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85" name="Line 1369">
              <a:extLst>
                <a:ext uri="{FF2B5EF4-FFF2-40B4-BE49-F238E27FC236}">
                  <a16:creationId xmlns:a16="http://schemas.microsoft.com/office/drawing/2014/main" id="{00000000-0008-0000-0400-0000FD7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86" name="Rectangle 1370">
              <a:extLst>
                <a:ext uri="{FF2B5EF4-FFF2-40B4-BE49-F238E27FC236}">
                  <a16:creationId xmlns:a16="http://schemas.microsoft.com/office/drawing/2014/main" id="{00000000-0008-0000-0400-0000FE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87" name="Oval 1371">
              <a:extLst>
                <a:ext uri="{FF2B5EF4-FFF2-40B4-BE49-F238E27FC236}">
                  <a16:creationId xmlns:a16="http://schemas.microsoft.com/office/drawing/2014/main" id="{00000000-0008-0000-0400-0000FF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88" name="Oval 1372">
              <a:extLst>
                <a:ext uri="{FF2B5EF4-FFF2-40B4-BE49-F238E27FC236}">
                  <a16:creationId xmlns:a16="http://schemas.microsoft.com/office/drawing/2014/main" id="{00000000-0008-0000-0400-000000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89" name="Rectangle 1373">
              <a:extLst>
                <a:ext uri="{FF2B5EF4-FFF2-40B4-BE49-F238E27FC236}">
                  <a16:creationId xmlns:a16="http://schemas.microsoft.com/office/drawing/2014/main" id="{00000000-0008-0000-0400-000001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90" name="Rectangle 1374">
              <a:extLst>
                <a:ext uri="{FF2B5EF4-FFF2-40B4-BE49-F238E27FC236}">
                  <a16:creationId xmlns:a16="http://schemas.microsoft.com/office/drawing/2014/main" id="{00000000-0008-0000-0400-000002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91" name="Rectangle 1375">
              <a:extLst>
                <a:ext uri="{FF2B5EF4-FFF2-40B4-BE49-F238E27FC236}">
                  <a16:creationId xmlns:a16="http://schemas.microsoft.com/office/drawing/2014/main" id="{00000000-0008-0000-0400-000003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92" name="Rectangle 1376">
              <a:extLst>
                <a:ext uri="{FF2B5EF4-FFF2-40B4-BE49-F238E27FC236}">
                  <a16:creationId xmlns:a16="http://schemas.microsoft.com/office/drawing/2014/main" id="{00000000-0008-0000-0400-000004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9081" name="Rectangle 1377">
            <a:extLst>
              <a:ext uri="{FF2B5EF4-FFF2-40B4-BE49-F238E27FC236}">
                <a16:creationId xmlns:a16="http://schemas.microsoft.com/office/drawing/2014/main" id="{00000000-0008-0000-0400-0000F972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82" name="Rectangle 1378">
            <a:extLst>
              <a:ext uri="{FF2B5EF4-FFF2-40B4-BE49-F238E27FC236}">
                <a16:creationId xmlns:a16="http://schemas.microsoft.com/office/drawing/2014/main" id="{00000000-0008-0000-0400-0000FA72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56" name="Group 1379">
          <a:extLst>
            <a:ext uri="{FF2B5EF4-FFF2-40B4-BE49-F238E27FC236}">
              <a16:creationId xmlns:a16="http://schemas.microsoft.com/office/drawing/2014/main" id="{00000000-0008-0000-0400-000018721200}"/>
            </a:ext>
          </a:extLst>
        </xdr:cNvPr>
        <xdr:cNvGrpSpPr>
          <a:grpSpLocks/>
        </xdr:cNvGrpSpPr>
      </xdr:nvGrpSpPr>
      <xdr:grpSpPr bwMode="auto">
        <a:xfrm>
          <a:off x="9622971" y="1308100"/>
          <a:ext cx="0" cy="792843"/>
          <a:chOff x="220" y="176"/>
          <a:chExt cx="556" cy="247"/>
        </a:xfrm>
      </xdr:grpSpPr>
      <xdr:sp macro="" textlink="">
        <xdr:nvSpPr>
          <xdr:cNvPr id="1209047" name="Rectangle 1380">
            <a:extLst>
              <a:ext uri="{FF2B5EF4-FFF2-40B4-BE49-F238E27FC236}">
                <a16:creationId xmlns:a16="http://schemas.microsoft.com/office/drawing/2014/main" id="{00000000-0008-0000-0400-0000D77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48" name="Line 1381">
            <a:extLst>
              <a:ext uri="{FF2B5EF4-FFF2-40B4-BE49-F238E27FC236}">
                <a16:creationId xmlns:a16="http://schemas.microsoft.com/office/drawing/2014/main" id="{00000000-0008-0000-0400-0000D872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49" name="Line 1382">
            <a:extLst>
              <a:ext uri="{FF2B5EF4-FFF2-40B4-BE49-F238E27FC236}">
                <a16:creationId xmlns:a16="http://schemas.microsoft.com/office/drawing/2014/main" id="{00000000-0008-0000-0400-0000D972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50" name="Rectangle 1383">
            <a:extLst>
              <a:ext uri="{FF2B5EF4-FFF2-40B4-BE49-F238E27FC236}">
                <a16:creationId xmlns:a16="http://schemas.microsoft.com/office/drawing/2014/main" id="{00000000-0008-0000-0400-0000DA72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51" name="Oval 1384">
            <a:extLst>
              <a:ext uri="{FF2B5EF4-FFF2-40B4-BE49-F238E27FC236}">
                <a16:creationId xmlns:a16="http://schemas.microsoft.com/office/drawing/2014/main" id="{00000000-0008-0000-0400-0000DB7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52" name="Oval 1385">
            <a:extLst>
              <a:ext uri="{FF2B5EF4-FFF2-40B4-BE49-F238E27FC236}">
                <a16:creationId xmlns:a16="http://schemas.microsoft.com/office/drawing/2014/main" id="{00000000-0008-0000-0400-0000DC7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53" name="Rectangle 1386">
            <a:extLst>
              <a:ext uri="{FF2B5EF4-FFF2-40B4-BE49-F238E27FC236}">
                <a16:creationId xmlns:a16="http://schemas.microsoft.com/office/drawing/2014/main" id="{00000000-0008-0000-0400-0000DD72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54" name="Rectangle 1387">
            <a:extLst>
              <a:ext uri="{FF2B5EF4-FFF2-40B4-BE49-F238E27FC236}">
                <a16:creationId xmlns:a16="http://schemas.microsoft.com/office/drawing/2014/main" id="{00000000-0008-0000-0400-0000DE72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55" name="Rectangle 1388">
            <a:extLst>
              <a:ext uri="{FF2B5EF4-FFF2-40B4-BE49-F238E27FC236}">
                <a16:creationId xmlns:a16="http://schemas.microsoft.com/office/drawing/2014/main" id="{00000000-0008-0000-0400-0000DF7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56" name="Rectangle 1389">
            <a:extLst>
              <a:ext uri="{FF2B5EF4-FFF2-40B4-BE49-F238E27FC236}">
                <a16:creationId xmlns:a16="http://schemas.microsoft.com/office/drawing/2014/main" id="{00000000-0008-0000-0400-0000E07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09057" name="Group 1390">
            <a:extLst>
              <a:ext uri="{FF2B5EF4-FFF2-40B4-BE49-F238E27FC236}">
                <a16:creationId xmlns:a16="http://schemas.microsoft.com/office/drawing/2014/main" id="{00000000-0008-0000-0400-0000E172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09060" name="Rectangle 1391">
              <a:extLst>
                <a:ext uri="{FF2B5EF4-FFF2-40B4-BE49-F238E27FC236}">
                  <a16:creationId xmlns:a16="http://schemas.microsoft.com/office/drawing/2014/main" id="{00000000-0008-0000-0400-0000E4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61" name="Line 1392">
              <a:extLst>
                <a:ext uri="{FF2B5EF4-FFF2-40B4-BE49-F238E27FC236}">
                  <a16:creationId xmlns:a16="http://schemas.microsoft.com/office/drawing/2014/main" id="{00000000-0008-0000-0400-0000E57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62" name="Line 1393">
              <a:extLst>
                <a:ext uri="{FF2B5EF4-FFF2-40B4-BE49-F238E27FC236}">
                  <a16:creationId xmlns:a16="http://schemas.microsoft.com/office/drawing/2014/main" id="{00000000-0008-0000-0400-0000E67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63" name="Rectangle 1394">
              <a:extLst>
                <a:ext uri="{FF2B5EF4-FFF2-40B4-BE49-F238E27FC236}">
                  <a16:creationId xmlns:a16="http://schemas.microsoft.com/office/drawing/2014/main" id="{00000000-0008-0000-0400-0000E7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64" name="Oval 1395">
              <a:extLst>
                <a:ext uri="{FF2B5EF4-FFF2-40B4-BE49-F238E27FC236}">
                  <a16:creationId xmlns:a16="http://schemas.microsoft.com/office/drawing/2014/main" id="{00000000-0008-0000-0400-0000E8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65" name="Oval 1396">
              <a:extLst>
                <a:ext uri="{FF2B5EF4-FFF2-40B4-BE49-F238E27FC236}">
                  <a16:creationId xmlns:a16="http://schemas.microsoft.com/office/drawing/2014/main" id="{00000000-0008-0000-0400-0000E9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66" name="Rectangle 1397">
              <a:extLst>
                <a:ext uri="{FF2B5EF4-FFF2-40B4-BE49-F238E27FC236}">
                  <a16:creationId xmlns:a16="http://schemas.microsoft.com/office/drawing/2014/main" id="{00000000-0008-0000-0400-0000EA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67" name="Rectangle 1398">
              <a:extLst>
                <a:ext uri="{FF2B5EF4-FFF2-40B4-BE49-F238E27FC236}">
                  <a16:creationId xmlns:a16="http://schemas.microsoft.com/office/drawing/2014/main" id="{00000000-0008-0000-0400-0000EB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68" name="Rectangle 1399">
              <a:extLst>
                <a:ext uri="{FF2B5EF4-FFF2-40B4-BE49-F238E27FC236}">
                  <a16:creationId xmlns:a16="http://schemas.microsoft.com/office/drawing/2014/main" id="{00000000-0008-0000-0400-0000EC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69" name="Rectangle 1400">
              <a:extLst>
                <a:ext uri="{FF2B5EF4-FFF2-40B4-BE49-F238E27FC236}">
                  <a16:creationId xmlns:a16="http://schemas.microsoft.com/office/drawing/2014/main" id="{00000000-0008-0000-0400-0000ED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9058" name="Rectangle 1401">
            <a:extLst>
              <a:ext uri="{FF2B5EF4-FFF2-40B4-BE49-F238E27FC236}">
                <a16:creationId xmlns:a16="http://schemas.microsoft.com/office/drawing/2014/main" id="{00000000-0008-0000-0400-0000E272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59" name="Rectangle 1402">
            <a:extLst>
              <a:ext uri="{FF2B5EF4-FFF2-40B4-BE49-F238E27FC236}">
                <a16:creationId xmlns:a16="http://schemas.microsoft.com/office/drawing/2014/main" id="{00000000-0008-0000-0400-0000E372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57" name="Group 1403">
          <a:extLst>
            <a:ext uri="{FF2B5EF4-FFF2-40B4-BE49-F238E27FC236}">
              <a16:creationId xmlns:a16="http://schemas.microsoft.com/office/drawing/2014/main" id="{00000000-0008-0000-0400-000019721200}"/>
            </a:ext>
          </a:extLst>
        </xdr:cNvPr>
        <xdr:cNvGrpSpPr>
          <a:grpSpLocks/>
        </xdr:cNvGrpSpPr>
      </xdr:nvGrpSpPr>
      <xdr:grpSpPr bwMode="auto">
        <a:xfrm>
          <a:off x="9622971" y="1308100"/>
          <a:ext cx="0" cy="792843"/>
          <a:chOff x="220" y="176"/>
          <a:chExt cx="556" cy="247"/>
        </a:xfrm>
      </xdr:grpSpPr>
      <xdr:sp macro="" textlink="">
        <xdr:nvSpPr>
          <xdr:cNvPr id="1209024" name="Rectangle 1404">
            <a:extLst>
              <a:ext uri="{FF2B5EF4-FFF2-40B4-BE49-F238E27FC236}">
                <a16:creationId xmlns:a16="http://schemas.microsoft.com/office/drawing/2014/main" id="{00000000-0008-0000-0400-0000C07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25" name="Line 1405">
            <a:extLst>
              <a:ext uri="{FF2B5EF4-FFF2-40B4-BE49-F238E27FC236}">
                <a16:creationId xmlns:a16="http://schemas.microsoft.com/office/drawing/2014/main" id="{00000000-0008-0000-0400-0000C172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26" name="Line 1406">
            <a:extLst>
              <a:ext uri="{FF2B5EF4-FFF2-40B4-BE49-F238E27FC236}">
                <a16:creationId xmlns:a16="http://schemas.microsoft.com/office/drawing/2014/main" id="{00000000-0008-0000-0400-0000C272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27" name="Rectangle 1407">
            <a:extLst>
              <a:ext uri="{FF2B5EF4-FFF2-40B4-BE49-F238E27FC236}">
                <a16:creationId xmlns:a16="http://schemas.microsoft.com/office/drawing/2014/main" id="{00000000-0008-0000-0400-0000C372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28" name="Oval 1408">
            <a:extLst>
              <a:ext uri="{FF2B5EF4-FFF2-40B4-BE49-F238E27FC236}">
                <a16:creationId xmlns:a16="http://schemas.microsoft.com/office/drawing/2014/main" id="{00000000-0008-0000-0400-0000C47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29" name="Oval 1409">
            <a:extLst>
              <a:ext uri="{FF2B5EF4-FFF2-40B4-BE49-F238E27FC236}">
                <a16:creationId xmlns:a16="http://schemas.microsoft.com/office/drawing/2014/main" id="{00000000-0008-0000-0400-0000C57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30" name="Rectangle 1410">
            <a:extLst>
              <a:ext uri="{FF2B5EF4-FFF2-40B4-BE49-F238E27FC236}">
                <a16:creationId xmlns:a16="http://schemas.microsoft.com/office/drawing/2014/main" id="{00000000-0008-0000-0400-0000C672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31" name="Rectangle 1411">
            <a:extLst>
              <a:ext uri="{FF2B5EF4-FFF2-40B4-BE49-F238E27FC236}">
                <a16:creationId xmlns:a16="http://schemas.microsoft.com/office/drawing/2014/main" id="{00000000-0008-0000-0400-0000C772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32" name="Rectangle 1412">
            <a:extLst>
              <a:ext uri="{FF2B5EF4-FFF2-40B4-BE49-F238E27FC236}">
                <a16:creationId xmlns:a16="http://schemas.microsoft.com/office/drawing/2014/main" id="{00000000-0008-0000-0400-0000C87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33" name="Rectangle 1413">
            <a:extLst>
              <a:ext uri="{FF2B5EF4-FFF2-40B4-BE49-F238E27FC236}">
                <a16:creationId xmlns:a16="http://schemas.microsoft.com/office/drawing/2014/main" id="{00000000-0008-0000-0400-0000C97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09034" name="Group 1414">
            <a:extLst>
              <a:ext uri="{FF2B5EF4-FFF2-40B4-BE49-F238E27FC236}">
                <a16:creationId xmlns:a16="http://schemas.microsoft.com/office/drawing/2014/main" id="{00000000-0008-0000-0400-0000CA72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09037" name="Rectangle 1415">
              <a:extLst>
                <a:ext uri="{FF2B5EF4-FFF2-40B4-BE49-F238E27FC236}">
                  <a16:creationId xmlns:a16="http://schemas.microsoft.com/office/drawing/2014/main" id="{00000000-0008-0000-0400-0000CD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38" name="Line 1416">
              <a:extLst>
                <a:ext uri="{FF2B5EF4-FFF2-40B4-BE49-F238E27FC236}">
                  <a16:creationId xmlns:a16="http://schemas.microsoft.com/office/drawing/2014/main" id="{00000000-0008-0000-0400-0000CE7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39" name="Line 1417">
              <a:extLst>
                <a:ext uri="{FF2B5EF4-FFF2-40B4-BE49-F238E27FC236}">
                  <a16:creationId xmlns:a16="http://schemas.microsoft.com/office/drawing/2014/main" id="{00000000-0008-0000-0400-0000CF7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40" name="Rectangle 1418">
              <a:extLst>
                <a:ext uri="{FF2B5EF4-FFF2-40B4-BE49-F238E27FC236}">
                  <a16:creationId xmlns:a16="http://schemas.microsoft.com/office/drawing/2014/main" id="{00000000-0008-0000-0400-0000D0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41" name="Oval 1419">
              <a:extLst>
                <a:ext uri="{FF2B5EF4-FFF2-40B4-BE49-F238E27FC236}">
                  <a16:creationId xmlns:a16="http://schemas.microsoft.com/office/drawing/2014/main" id="{00000000-0008-0000-0400-0000D1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42" name="Oval 1420">
              <a:extLst>
                <a:ext uri="{FF2B5EF4-FFF2-40B4-BE49-F238E27FC236}">
                  <a16:creationId xmlns:a16="http://schemas.microsoft.com/office/drawing/2014/main" id="{00000000-0008-0000-0400-0000D2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43" name="Rectangle 1421">
              <a:extLst>
                <a:ext uri="{FF2B5EF4-FFF2-40B4-BE49-F238E27FC236}">
                  <a16:creationId xmlns:a16="http://schemas.microsoft.com/office/drawing/2014/main" id="{00000000-0008-0000-0400-0000D3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44" name="Rectangle 1422">
              <a:extLst>
                <a:ext uri="{FF2B5EF4-FFF2-40B4-BE49-F238E27FC236}">
                  <a16:creationId xmlns:a16="http://schemas.microsoft.com/office/drawing/2014/main" id="{00000000-0008-0000-0400-0000D4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45" name="Rectangle 1423">
              <a:extLst>
                <a:ext uri="{FF2B5EF4-FFF2-40B4-BE49-F238E27FC236}">
                  <a16:creationId xmlns:a16="http://schemas.microsoft.com/office/drawing/2014/main" id="{00000000-0008-0000-0400-0000D5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46" name="Rectangle 1424">
              <a:extLst>
                <a:ext uri="{FF2B5EF4-FFF2-40B4-BE49-F238E27FC236}">
                  <a16:creationId xmlns:a16="http://schemas.microsoft.com/office/drawing/2014/main" id="{00000000-0008-0000-0400-0000D6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9035" name="Rectangle 1425">
            <a:extLst>
              <a:ext uri="{FF2B5EF4-FFF2-40B4-BE49-F238E27FC236}">
                <a16:creationId xmlns:a16="http://schemas.microsoft.com/office/drawing/2014/main" id="{00000000-0008-0000-0400-0000CB72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36" name="Rectangle 1426">
            <a:extLst>
              <a:ext uri="{FF2B5EF4-FFF2-40B4-BE49-F238E27FC236}">
                <a16:creationId xmlns:a16="http://schemas.microsoft.com/office/drawing/2014/main" id="{00000000-0008-0000-0400-0000CC72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58" name="Group 1427">
          <a:extLst>
            <a:ext uri="{FF2B5EF4-FFF2-40B4-BE49-F238E27FC236}">
              <a16:creationId xmlns:a16="http://schemas.microsoft.com/office/drawing/2014/main" id="{00000000-0008-0000-0400-00001A721200}"/>
            </a:ext>
          </a:extLst>
        </xdr:cNvPr>
        <xdr:cNvGrpSpPr>
          <a:grpSpLocks/>
        </xdr:cNvGrpSpPr>
      </xdr:nvGrpSpPr>
      <xdr:grpSpPr bwMode="auto">
        <a:xfrm>
          <a:off x="9622971" y="1308100"/>
          <a:ext cx="0" cy="792843"/>
          <a:chOff x="220" y="176"/>
          <a:chExt cx="556" cy="247"/>
        </a:xfrm>
      </xdr:grpSpPr>
      <xdr:sp macro="" textlink="">
        <xdr:nvSpPr>
          <xdr:cNvPr id="1209001" name="Rectangle 1428">
            <a:extLst>
              <a:ext uri="{FF2B5EF4-FFF2-40B4-BE49-F238E27FC236}">
                <a16:creationId xmlns:a16="http://schemas.microsoft.com/office/drawing/2014/main" id="{00000000-0008-0000-0400-0000A97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02" name="Line 1429">
            <a:extLst>
              <a:ext uri="{FF2B5EF4-FFF2-40B4-BE49-F238E27FC236}">
                <a16:creationId xmlns:a16="http://schemas.microsoft.com/office/drawing/2014/main" id="{00000000-0008-0000-0400-0000AA72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03" name="Line 1430">
            <a:extLst>
              <a:ext uri="{FF2B5EF4-FFF2-40B4-BE49-F238E27FC236}">
                <a16:creationId xmlns:a16="http://schemas.microsoft.com/office/drawing/2014/main" id="{00000000-0008-0000-0400-0000AB72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04" name="Rectangle 1431">
            <a:extLst>
              <a:ext uri="{FF2B5EF4-FFF2-40B4-BE49-F238E27FC236}">
                <a16:creationId xmlns:a16="http://schemas.microsoft.com/office/drawing/2014/main" id="{00000000-0008-0000-0400-0000AC72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05" name="Oval 1432">
            <a:extLst>
              <a:ext uri="{FF2B5EF4-FFF2-40B4-BE49-F238E27FC236}">
                <a16:creationId xmlns:a16="http://schemas.microsoft.com/office/drawing/2014/main" id="{00000000-0008-0000-0400-0000AD7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06" name="Oval 1433">
            <a:extLst>
              <a:ext uri="{FF2B5EF4-FFF2-40B4-BE49-F238E27FC236}">
                <a16:creationId xmlns:a16="http://schemas.microsoft.com/office/drawing/2014/main" id="{00000000-0008-0000-0400-0000AE7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07" name="Rectangle 1434">
            <a:extLst>
              <a:ext uri="{FF2B5EF4-FFF2-40B4-BE49-F238E27FC236}">
                <a16:creationId xmlns:a16="http://schemas.microsoft.com/office/drawing/2014/main" id="{00000000-0008-0000-0400-0000AF72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08" name="Rectangle 1435">
            <a:extLst>
              <a:ext uri="{FF2B5EF4-FFF2-40B4-BE49-F238E27FC236}">
                <a16:creationId xmlns:a16="http://schemas.microsoft.com/office/drawing/2014/main" id="{00000000-0008-0000-0400-0000B072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09" name="Rectangle 1436">
            <a:extLst>
              <a:ext uri="{FF2B5EF4-FFF2-40B4-BE49-F238E27FC236}">
                <a16:creationId xmlns:a16="http://schemas.microsoft.com/office/drawing/2014/main" id="{00000000-0008-0000-0400-0000B17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10" name="Rectangle 1437">
            <a:extLst>
              <a:ext uri="{FF2B5EF4-FFF2-40B4-BE49-F238E27FC236}">
                <a16:creationId xmlns:a16="http://schemas.microsoft.com/office/drawing/2014/main" id="{00000000-0008-0000-0400-0000B27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09011" name="Group 1438">
            <a:extLst>
              <a:ext uri="{FF2B5EF4-FFF2-40B4-BE49-F238E27FC236}">
                <a16:creationId xmlns:a16="http://schemas.microsoft.com/office/drawing/2014/main" id="{00000000-0008-0000-0400-0000B372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09014" name="Rectangle 1439">
              <a:extLst>
                <a:ext uri="{FF2B5EF4-FFF2-40B4-BE49-F238E27FC236}">
                  <a16:creationId xmlns:a16="http://schemas.microsoft.com/office/drawing/2014/main" id="{00000000-0008-0000-0400-0000B6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15" name="Line 1440">
              <a:extLst>
                <a:ext uri="{FF2B5EF4-FFF2-40B4-BE49-F238E27FC236}">
                  <a16:creationId xmlns:a16="http://schemas.microsoft.com/office/drawing/2014/main" id="{00000000-0008-0000-0400-0000B77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16" name="Line 1441">
              <a:extLst>
                <a:ext uri="{FF2B5EF4-FFF2-40B4-BE49-F238E27FC236}">
                  <a16:creationId xmlns:a16="http://schemas.microsoft.com/office/drawing/2014/main" id="{00000000-0008-0000-0400-0000B87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17" name="Rectangle 1442">
              <a:extLst>
                <a:ext uri="{FF2B5EF4-FFF2-40B4-BE49-F238E27FC236}">
                  <a16:creationId xmlns:a16="http://schemas.microsoft.com/office/drawing/2014/main" id="{00000000-0008-0000-0400-0000B9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18" name="Oval 1443">
              <a:extLst>
                <a:ext uri="{FF2B5EF4-FFF2-40B4-BE49-F238E27FC236}">
                  <a16:creationId xmlns:a16="http://schemas.microsoft.com/office/drawing/2014/main" id="{00000000-0008-0000-0400-0000BA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19" name="Oval 1444">
              <a:extLst>
                <a:ext uri="{FF2B5EF4-FFF2-40B4-BE49-F238E27FC236}">
                  <a16:creationId xmlns:a16="http://schemas.microsoft.com/office/drawing/2014/main" id="{00000000-0008-0000-0400-0000BB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20" name="Rectangle 1445">
              <a:extLst>
                <a:ext uri="{FF2B5EF4-FFF2-40B4-BE49-F238E27FC236}">
                  <a16:creationId xmlns:a16="http://schemas.microsoft.com/office/drawing/2014/main" id="{00000000-0008-0000-0400-0000BC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21" name="Rectangle 1446">
              <a:extLst>
                <a:ext uri="{FF2B5EF4-FFF2-40B4-BE49-F238E27FC236}">
                  <a16:creationId xmlns:a16="http://schemas.microsoft.com/office/drawing/2014/main" id="{00000000-0008-0000-0400-0000BD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22" name="Rectangle 1447">
              <a:extLst>
                <a:ext uri="{FF2B5EF4-FFF2-40B4-BE49-F238E27FC236}">
                  <a16:creationId xmlns:a16="http://schemas.microsoft.com/office/drawing/2014/main" id="{00000000-0008-0000-0400-0000BE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23" name="Rectangle 1448">
              <a:extLst>
                <a:ext uri="{FF2B5EF4-FFF2-40B4-BE49-F238E27FC236}">
                  <a16:creationId xmlns:a16="http://schemas.microsoft.com/office/drawing/2014/main" id="{00000000-0008-0000-0400-0000BF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9012" name="Rectangle 1449">
            <a:extLst>
              <a:ext uri="{FF2B5EF4-FFF2-40B4-BE49-F238E27FC236}">
                <a16:creationId xmlns:a16="http://schemas.microsoft.com/office/drawing/2014/main" id="{00000000-0008-0000-0400-0000B472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13" name="Rectangle 1450">
            <a:extLst>
              <a:ext uri="{FF2B5EF4-FFF2-40B4-BE49-F238E27FC236}">
                <a16:creationId xmlns:a16="http://schemas.microsoft.com/office/drawing/2014/main" id="{00000000-0008-0000-0400-0000B572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593725</xdr:colOff>
      <xdr:row>0</xdr:row>
      <xdr:rowOff>787400</xdr:rowOff>
    </xdr:to>
    <xdr:pic>
      <xdr:nvPicPr>
        <xdr:cNvPr id="1208859" name="1034 Imagen" descr="logo masercon ultimo.jpg">
          <a:extLst>
            <a:ext uri="{FF2B5EF4-FFF2-40B4-BE49-F238E27FC236}">
              <a16:creationId xmlns:a16="http://schemas.microsoft.com/office/drawing/2014/main" id="{00000000-0008-0000-0400-00001B721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4798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50800</xdr:colOff>
      <xdr:row>2</xdr:row>
      <xdr:rowOff>317500</xdr:rowOff>
    </xdr:from>
    <xdr:to>
      <xdr:col>6</xdr:col>
      <xdr:colOff>2540</xdr:colOff>
      <xdr:row>2</xdr:row>
      <xdr:rowOff>723900</xdr:rowOff>
    </xdr:to>
    <xdr:grpSp>
      <xdr:nvGrpSpPr>
        <xdr:cNvPr id="1208860" name="Group 425">
          <a:extLst>
            <a:ext uri="{FF2B5EF4-FFF2-40B4-BE49-F238E27FC236}">
              <a16:creationId xmlns:a16="http://schemas.microsoft.com/office/drawing/2014/main" id="{00000000-0008-0000-0400-00001C721200}"/>
            </a:ext>
          </a:extLst>
        </xdr:cNvPr>
        <xdr:cNvGrpSpPr>
          <a:grpSpLocks/>
        </xdr:cNvGrpSpPr>
      </xdr:nvGrpSpPr>
      <xdr:grpSpPr bwMode="auto">
        <a:xfrm>
          <a:off x="4535714" y="1460500"/>
          <a:ext cx="604883" cy="406400"/>
          <a:chOff x="220" y="176"/>
          <a:chExt cx="556" cy="247"/>
        </a:xfrm>
      </xdr:grpSpPr>
      <xdr:sp macro="" textlink="">
        <xdr:nvSpPr>
          <xdr:cNvPr id="1208978" name="Rectangle 391">
            <a:extLst>
              <a:ext uri="{FF2B5EF4-FFF2-40B4-BE49-F238E27FC236}">
                <a16:creationId xmlns:a16="http://schemas.microsoft.com/office/drawing/2014/main" id="{00000000-0008-0000-0400-0000927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8979" name="Line 392">
            <a:extLst>
              <a:ext uri="{FF2B5EF4-FFF2-40B4-BE49-F238E27FC236}">
                <a16:creationId xmlns:a16="http://schemas.microsoft.com/office/drawing/2014/main" id="{00000000-0008-0000-0400-00009372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8980" name="Line 393">
            <a:extLst>
              <a:ext uri="{FF2B5EF4-FFF2-40B4-BE49-F238E27FC236}">
                <a16:creationId xmlns:a16="http://schemas.microsoft.com/office/drawing/2014/main" id="{00000000-0008-0000-0400-00009472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8981" name="Rectangle 394">
            <a:extLst>
              <a:ext uri="{FF2B5EF4-FFF2-40B4-BE49-F238E27FC236}">
                <a16:creationId xmlns:a16="http://schemas.microsoft.com/office/drawing/2014/main" id="{00000000-0008-0000-0400-00009572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8982" name="Oval 395">
            <a:extLst>
              <a:ext uri="{FF2B5EF4-FFF2-40B4-BE49-F238E27FC236}">
                <a16:creationId xmlns:a16="http://schemas.microsoft.com/office/drawing/2014/main" id="{00000000-0008-0000-0400-0000967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8983" name="Oval 396">
            <a:extLst>
              <a:ext uri="{FF2B5EF4-FFF2-40B4-BE49-F238E27FC236}">
                <a16:creationId xmlns:a16="http://schemas.microsoft.com/office/drawing/2014/main" id="{00000000-0008-0000-0400-0000977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8984" name="Rectangle 397">
            <a:extLst>
              <a:ext uri="{FF2B5EF4-FFF2-40B4-BE49-F238E27FC236}">
                <a16:creationId xmlns:a16="http://schemas.microsoft.com/office/drawing/2014/main" id="{00000000-0008-0000-0400-00009872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8985" name="Rectangle 398">
            <a:extLst>
              <a:ext uri="{FF2B5EF4-FFF2-40B4-BE49-F238E27FC236}">
                <a16:creationId xmlns:a16="http://schemas.microsoft.com/office/drawing/2014/main" id="{00000000-0008-0000-0400-00009972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8986" name="Rectangle 399">
            <a:extLst>
              <a:ext uri="{FF2B5EF4-FFF2-40B4-BE49-F238E27FC236}">
                <a16:creationId xmlns:a16="http://schemas.microsoft.com/office/drawing/2014/main" id="{00000000-0008-0000-0400-00009A7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8987" name="Rectangle 400">
            <a:extLst>
              <a:ext uri="{FF2B5EF4-FFF2-40B4-BE49-F238E27FC236}">
                <a16:creationId xmlns:a16="http://schemas.microsoft.com/office/drawing/2014/main" id="{00000000-0008-0000-0400-00009B7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08988" name="Group 401">
            <a:extLst>
              <a:ext uri="{FF2B5EF4-FFF2-40B4-BE49-F238E27FC236}">
                <a16:creationId xmlns:a16="http://schemas.microsoft.com/office/drawing/2014/main" id="{00000000-0008-0000-0400-00009C72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08991" name="Rectangle 402">
              <a:extLst>
                <a:ext uri="{FF2B5EF4-FFF2-40B4-BE49-F238E27FC236}">
                  <a16:creationId xmlns:a16="http://schemas.microsoft.com/office/drawing/2014/main" id="{00000000-0008-0000-0400-00009F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8992" name="Line 403">
              <a:extLst>
                <a:ext uri="{FF2B5EF4-FFF2-40B4-BE49-F238E27FC236}">
                  <a16:creationId xmlns:a16="http://schemas.microsoft.com/office/drawing/2014/main" id="{00000000-0008-0000-0400-0000A07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8993" name="Line 404">
              <a:extLst>
                <a:ext uri="{FF2B5EF4-FFF2-40B4-BE49-F238E27FC236}">
                  <a16:creationId xmlns:a16="http://schemas.microsoft.com/office/drawing/2014/main" id="{00000000-0008-0000-0400-0000A17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8994" name="Rectangle 405">
              <a:extLst>
                <a:ext uri="{FF2B5EF4-FFF2-40B4-BE49-F238E27FC236}">
                  <a16:creationId xmlns:a16="http://schemas.microsoft.com/office/drawing/2014/main" id="{00000000-0008-0000-0400-0000A2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8995" name="Oval 406">
              <a:extLst>
                <a:ext uri="{FF2B5EF4-FFF2-40B4-BE49-F238E27FC236}">
                  <a16:creationId xmlns:a16="http://schemas.microsoft.com/office/drawing/2014/main" id="{00000000-0008-0000-0400-0000A3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8996" name="Oval 407">
              <a:extLst>
                <a:ext uri="{FF2B5EF4-FFF2-40B4-BE49-F238E27FC236}">
                  <a16:creationId xmlns:a16="http://schemas.microsoft.com/office/drawing/2014/main" id="{00000000-0008-0000-0400-0000A4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8997" name="Rectangle 408">
              <a:extLst>
                <a:ext uri="{FF2B5EF4-FFF2-40B4-BE49-F238E27FC236}">
                  <a16:creationId xmlns:a16="http://schemas.microsoft.com/office/drawing/2014/main" id="{00000000-0008-0000-0400-0000A5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8998" name="Rectangle 409">
              <a:extLst>
                <a:ext uri="{FF2B5EF4-FFF2-40B4-BE49-F238E27FC236}">
                  <a16:creationId xmlns:a16="http://schemas.microsoft.com/office/drawing/2014/main" id="{00000000-0008-0000-0400-0000A6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8999" name="Rectangle 410">
              <a:extLst>
                <a:ext uri="{FF2B5EF4-FFF2-40B4-BE49-F238E27FC236}">
                  <a16:creationId xmlns:a16="http://schemas.microsoft.com/office/drawing/2014/main" id="{00000000-0008-0000-0400-0000A7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00" name="Rectangle 411">
              <a:extLst>
                <a:ext uri="{FF2B5EF4-FFF2-40B4-BE49-F238E27FC236}">
                  <a16:creationId xmlns:a16="http://schemas.microsoft.com/office/drawing/2014/main" id="{00000000-0008-0000-0400-0000A8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8989" name="Rectangle 423">
            <a:extLst>
              <a:ext uri="{FF2B5EF4-FFF2-40B4-BE49-F238E27FC236}">
                <a16:creationId xmlns:a16="http://schemas.microsoft.com/office/drawing/2014/main" id="{00000000-0008-0000-0400-00009D72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8990" name="Rectangle 424">
            <a:extLst>
              <a:ext uri="{FF2B5EF4-FFF2-40B4-BE49-F238E27FC236}">
                <a16:creationId xmlns:a16="http://schemas.microsoft.com/office/drawing/2014/main" id="{00000000-0008-0000-0400-00009E72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38100</xdr:colOff>
      <xdr:row>2</xdr:row>
      <xdr:rowOff>266700</xdr:rowOff>
    </xdr:from>
    <xdr:to>
      <xdr:col>8</xdr:col>
      <xdr:colOff>2540</xdr:colOff>
      <xdr:row>2</xdr:row>
      <xdr:rowOff>838200</xdr:rowOff>
    </xdr:to>
    <xdr:grpSp>
      <xdr:nvGrpSpPr>
        <xdr:cNvPr id="1208861" name="5 Grupo">
          <a:extLst>
            <a:ext uri="{FF2B5EF4-FFF2-40B4-BE49-F238E27FC236}">
              <a16:creationId xmlns:a16="http://schemas.microsoft.com/office/drawing/2014/main" id="{00000000-0008-0000-0400-00001D721200}"/>
            </a:ext>
          </a:extLst>
        </xdr:cNvPr>
        <xdr:cNvGrpSpPr>
          <a:grpSpLocks/>
        </xdr:cNvGrpSpPr>
      </xdr:nvGrpSpPr>
      <xdr:grpSpPr bwMode="auto">
        <a:xfrm>
          <a:off x="5829300" y="1409700"/>
          <a:ext cx="617583" cy="571500"/>
          <a:chOff x="4962525" y="171450"/>
          <a:chExt cx="561975" cy="571500"/>
        </a:xfrm>
      </xdr:grpSpPr>
      <xdr:grpSp>
        <xdr:nvGrpSpPr>
          <xdr:cNvPr id="1208954" name="2 Grupo">
            <a:extLst>
              <a:ext uri="{FF2B5EF4-FFF2-40B4-BE49-F238E27FC236}">
                <a16:creationId xmlns:a16="http://schemas.microsoft.com/office/drawing/2014/main" id="{00000000-0008-0000-0400-00007A721200}"/>
              </a:ext>
            </a:extLst>
          </xdr:cNvPr>
          <xdr:cNvGrpSpPr>
            <a:grpSpLocks/>
          </xdr:cNvGrpSpPr>
        </xdr:nvGrpSpPr>
        <xdr:grpSpPr bwMode="auto">
          <a:xfrm>
            <a:off x="4962525" y="171450"/>
            <a:ext cx="561975" cy="571500"/>
            <a:chOff x="4962525" y="171450"/>
            <a:chExt cx="561975" cy="571500"/>
          </a:xfrm>
        </xdr:grpSpPr>
        <xdr:sp macro="" textlink="">
          <xdr:nvSpPr>
            <xdr:cNvPr id="1208959" name="Rectangle 400">
              <a:extLst>
                <a:ext uri="{FF2B5EF4-FFF2-40B4-BE49-F238E27FC236}">
                  <a16:creationId xmlns:a16="http://schemas.microsoft.com/office/drawing/2014/main" id="{00000000-0008-0000-0400-00007F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257800" y="723900"/>
              <a:ext cx="0" cy="19050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grpSp>
          <xdr:nvGrpSpPr>
            <xdr:cNvPr id="1208960" name="1 Grupo">
              <a:extLst>
                <a:ext uri="{FF2B5EF4-FFF2-40B4-BE49-F238E27FC236}">
                  <a16:creationId xmlns:a16="http://schemas.microsoft.com/office/drawing/2014/main" id="{00000000-0008-0000-0400-00008072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62525" y="171450"/>
              <a:ext cx="561975" cy="571500"/>
              <a:chOff x="4962525" y="171450"/>
              <a:chExt cx="561975" cy="571500"/>
            </a:xfrm>
          </xdr:grpSpPr>
          <xdr:sp macro="" textlink="">
            <xdr:nvSpPr>
              <xdr:cNvPr id="1208961" name="Rectangle 423">
                <a:extLst>
                  <a:ext uri="{FF2B5EF4-FFF2-40B4-BE49-F238E27FC236}">
                    <a16:creationId xmlns:a16="http://schemas.microsoft.com/office/drawing/2014/main" id="{00000000-0008-0000-0400-000081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114925" y="171450"/>
                <a:ext cx="409575" cy="552450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208962" name="Rectangle 391">
                <a:extLst>
                  <a:ext uri="{FF2B5EF4-FFF2-40B4-BE49-F238E27FC236}">
                    <a16:creationId xmlns:a16="http://schemas.microsoft.com/office/drawing/2014/main" id="{00000000-0008-0000-0400-000082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257800" y="333375"/>
                <a:ext cx="133350" cy="390525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208963" name="Line 392">
                <a:extLst>
                  <a:ext uri="{FF2B5EF4-FFF2-40B4-BE49-F238E27FC236}">
                    <a16:creationId xmlns:a16="http://schemas.microsoft.com/office/drawing/2014/main" id="{00000000-0008-0000-0400-0000837212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264943" y="333375"/>
                <a:ext cx="133350" cy="1905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208964" name="Line 393">
                <a:extLst>
                  <a:ext uri="{FF2B5EF4-FFF2-40B4-BE49-F238E27FC236}">
                    <a16:creationId xmlns:a16="http://schemas.microsoft.com/office/drawing/2014/main" id="{00000000-0008-0000-0400-0000847212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57800" y="533400"/>
                <a:ext cx="133350" cy="1905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grpSp>
            <xdr:nvGrpSpPr>
              <xdr:cNvPr id="1208965" name="Group 401">
                <a:extLst>
                  <a:ext uri="{FF2B5EF4-FFF2-40B4-BE49-F238E27FC236}">
                    <a16:creationId xmlns:a16="http://schemas.microsoft.com/office/drawing/2014/main" id="{00000000-0008-0000-0400-000085721200}"/>
                  </a:ext>
                </a:extLst>
              </xdr:cNvPr>
              <xdr:cNvGrpSpPr>
                <a:grpSpLocks/>
              </xdr:cNvGrpSpPr>
            </xdr:nvGrpSpPr>
            <xdr:grpSpPr bwMode="auto">
              <a:xfrm flipH="1">
                <a:off x="5391150" y="333375"/>
                <a:ext cx="133350" cy="409575"/>
                <a:chOff x="333" y="153"/>
                <a:chExt cx="219" cy="333"/>
              </a:xfrm>
            </xdr:grpSpPr>
            <xdr:sp macro="" textlink="">
              <xdr:nvSpPr>
                <xdr:cNvPr id="1208968" name="Rectangle 402">
                  <a:extLst>
                    <a:ext uri="{FF2B5EF4-FFF2-40B4-BE49-F238E27FC236}">
                      <a16:creationId xmlns:a16="http://schemas.microsoft.com/office/drawing/2014/main" id="{00000000-0008-0000-0400-000088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153"/>
                  <a:ext cx="218" cy="31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69" name="Line 403">
                  <a:extLst>
                    <a:ext uri="{FF2B5EF4-FFF2-40B4-BE49-F238E27FC236}">
                      <a16:creationId xmlns:a16="http://schemas.microsoft.com/office/drawing/2014/main" id="{00000000-0008-0000-0400-0000897212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33" y="153"/>
                  <a:ext cx="218" cy="15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70" name="Line 404">
                  <a:extLst>
                    <a:ext uri="{FF2B5EF4-FFF2-40B4-BE49-F238E27FC236}">
                      <a16:creationId xmlns:a16="http://schemas.microsoft.com/office/drawing/2014/main" id="{00000000-0008-0000-0400-00008A7212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333" y="314"/>
                  <a:ext cx="216" cy="15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71" name="Rectangle 405">
                  <a:extLst>
                    <a:ext uri="{FF2B5EF4-FFF2-40B4-BE49-F238E27FC236}">
                      <a16:creationId xmlns:a16="http://schemas.microsoft.com/office/drawing/2014/main" id="{00000000-0008-0000-0400-00008B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08" y="291"/>
                  <a:ext cx="23" cy="4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72" name="Oval 406">
                  <a:extLst>
                    <a:ext uri="{FF2B5EF4-FFF2-40B4-BE49-F238E27FC236}">
                      <a16:creationId xmlns:a16="http://schemas.microsoft.com/office/drawing/2014/main" id="{00000000-0008-0000-0400-00008C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5" y="320"/>
                  <a:ext cx="8" cy="8"/>
                </a:xfrm>
                <a:prstGeom prst="ellipse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73" name="Oval 407">
                  <a:extLst>
                    <a:ext uri="{FF2B5EF4-FFF2-40B4-BE49-F238E27FC236}">
                      <a16:creationId xmlns:a16="http://schemas.microsoft.com/office/drawing/2014/main" id="{00000000-0008-0000-0400-00008D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5" y="301"/>
                  <a:ext cx="8" cy="8"/>
                </a:xfrm>
                <a:prstGeom prst="ellipse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74" name="Rectangle 408">
                  <a:extLst>
                    <a:ext uri="{FF2B5EF4-FFF2-40B4-BE49-F238E27FC236}">
                      <a16:creationId xmlns:a16="http://schemas.microsoft.com/office/drawing/2014/main" id="{00000000-0008-0000-0400-00008E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44" y="302"/>
                  <a:ext cx="8" cy="2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75" name="Rectangle 409">
                  <a:extLst>
                    <a:ext uri="{FF2B5EF4-FFF2-40B4-BE49-F238E27FC236}">
                      <a16:creationId xmlns:a16="http://schemas.microsoft.com/office/drawing/2014/main" id="{00000000-0008-0000-0400-00008F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4" y="460"/>
                  <a:ext cx="32" cy="1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76" name="Rectangle 410">
                  <a:extLst>
                    <a:ext uri="{FF2B5EF4-FFF2-40B4-BE49-F238E27FC236}">
                      <a16:creationId xmlns:a16="http://schemas.microsoft.com/office/drawing/2014/main" id="{00000000-0008-0000-0400-000090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153"/>
                  <a:ext cx="32" cy="1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77" name="Rectangle 411">
                  <a:extLst>
                    <a:ext uri="{FF2B5EF4-FFF2-40B4-BE49-F238E27FC236}">
                      <a16:creationId xmlns:a16="http://schemas.microsoft.com/office/drawing/2014/main" id="{00000000-0008-0000-0400-000091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474"/>
                  <a:ext cx="12" cy="12"/>
                </a:xfrm>
                <a:prstGeom prst="rect">
                  <a:avLst/>
                </a:prstGeom>
                <a:gradFill rotWithShape="0">
                  <a:gsLst>
                    <a:gs pos="0">
                      <a:srgbClr val="DCEBF5"/>
                    </a:gs>
                    <a:gs pos="8000">
                      <a:srgbClr val="83A7C3"/>
                    </a:gs>
                    <a:gs pos="13000">
                      <a:srgbClr val="768FB9"/>
                    </a:gs>
                    <a:gs pos="21001">
                      <a:srgbClr val="83A7C3"/>
                    </a:gs>
                    <a:gs pos="52000">
                      <a:srgbClr val="FFFFFF"/>
                    </a:gs>
                    <a:gs pos="56000">
                      <a:srgbClr val="9C6563"/>
                    </a:gs>
                    <a:gs pos="58000">
                      <a:srgbClr val="80302D"/>
                    </a:gs>
                    <a:gs pos="71001">
                      <a:srgbClr val="C0524E"/>
                    </a:gs>
                    <a:gs pos="94000">
                      <a:srgbClr val="EBDAD4"/>
                    </a:gs>
                    <a:gs pos="100000">
                      <a:srgbClr val="55261C"/>
                    </a:gs>
                  </a:gsLst>
                  <a:lin ang="5400000" scaled="1"/>
                </a:gra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</xdr:grpSp>
          <xdr:sp macro="" textlink="">
            <xdr:nvSpPr>
              <xdr:cNvPr id="1208966" name="Rectangle 424">
                <a:extLst>
                  <a:ext uri="{FF2B5EF4-FFF2-40B4-BE49-F238E27FC236}">
                    <a16:creationId xmlns:a16="http://schemas.microsoft.com/office/drawing/2014/main" id="{00000000-0008-0000-0400-000086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962525" y="171450"/>
                <a:ext cx="152400" cy="552450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cxnSp macro="">
            <xdr:nvCxnSpPr>
              <xdr:cNvPr id="1208967" name="10 Conector recto">
                <a:extLst>
                  <a:ext uri="{FF2B5EF4-FFF2-40B4-BE49-F238E27FC236}">
                    <a16:creationId xmlns:a16="http://schemas.microsoft.com/office/drawing/2014/main" id="{00000000-0008-0000-0400-00008772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257800" y="171450"/>
                <a:ext cx="0" cy="161925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sp macro="" textlink="">
        <xdr:nvSpPr>
          <xdr:cNvPr id="1208955" name="Rectangle 394">
            <a:extLst>
              <a:ext uri="{FF2B5EF4-FFF2-40B4-BE49-F238E27FC236}">
                <a16:creationId xmlns:a16="http://schemas.microsoft.com/office/drawing/2014/main" id="{00000000-0008-0000-0400-00007B721200}"/>
              </a:ext>
            </a:extLst>
          </xdr:cNvPr>
          <xdr:cNvSpPr>
            <a:spLocks noChangeArrowheads="1"/>
          </xdr:cNvSpPr>
        </xdr:nvSpPr>
        <xdr:spPr bwMode="auto">
          <a:xfrm>
            <a:off x="5362575" y="504825"/>
            <a:ext cx="19050" cy="571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8956" name="Oval 395">
            <a:extLst>
              <a:ext uri="{FF2B5EF4-FFF2-40B4-BE49-F238E27FC236}">
                <a16:creationId xmlns:a16="http://schemas.microsoft.com/office/drawing/2014/main" id="{00000000-0008-0000-0400-00007C721200}"/>
              </a:ext>
            </a:extLst>
          </xdr:cNvPr>
          <xdr:cNvSpPr>
            <a:spLocks noChangeArrowheads="1"/>
          </xdr:cNvSpPr>
        </xdr:nvSpPr>
        <xdr:spPr bwMode="auto">
          <a:xfrm>
            <a:off x="5372100" y="533400"/>
            <a:ext cx="0" cy="19050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8957" name="Rectangle 398">
            <a:extLst>
              <a:ext uri="{FF2B5EF4-FFF2-40B4-BE49-F238E27FC236}">
                <a16:creationId xmlns:a16="http://schemas.microsoft.com/office/drawing/2014/main" id="{00000000-0008-0000-0400-00007D721200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714375"/>
            <a:ext cx="19050" cy="9525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8958" name="Rectangle 399">
            <a:extLst>
              <a:ext uri="{FF2B5EF4-FFF2-40B4-BE49-F238E27FC236}">
                <a16:creationId xmlns:a16="http://schemas.microsoft.com/office/drawing/2014/main" id="{00000000-0008-0000-0400-00007E721200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333375"/>
            <a:ext cx="19050" cy="9525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38100</xdr:colOff>
      <xdr:row>2</xdr:row>
      <xdr:rowOff>292100</xdr:rowOff>
    </xdr:from>
    <xdr:to>
      <xdr:col>9</xdr:col>
      <xdr:colOff>0</xdr:colOff>
      <xdr:row>2</xdr:row>
      <xdr:rowOff>850900</xdr:rowOff>
    </xdr:to>
    <xdr:grpSp>
      <xdr:nvGrpSpPr>
        <xdr:cNvPr id="1208862" name="6 Grupo">
          <a:extLst>
            <a:ext uri="{FF2B5EF4-FFF2-40B4-BE49-F238E27FC236}">
              <a16:creationId xmlns:a16="http://schemas.microsoft.com/office/drawing/2014/main" id="{00000000-0008-0000-0400-00001E721200}"/>
            </a:ext>
          </a:extLst>
        </xdr:cNvPr>
        <xdr:cNvGrpSpPr>
          <a:grpSpLocks/>
        </xdr:cNvGrpSpPr>
      </xdr:nvGrpSpPr>
      <xdr:grpSpPr bwMode="auto">
        <a:xfrm>
          <a:off x="6482443" y="1435100"/>
          <a:ext cx="615043" cy="558800"/>
          <a:chOff x="5840414" y="190500"/>
          <a:chExt cx="861152" cy="571500"/>
        </a:xfrm>
      </xdr:grpSpPr>
      <xdr:grpSp>
        <xdr:nvGrpSpPr>
          <xdr:cNvPr id="1208927" name="1356 Grupo">
            <a:extLst>
              <a:ext uri="{FF2B5EF4-FFF2-40B4-BE49-F238E27FC236}">
                <a16:creationId xmlns:a16="http://schemas.microsoft.com/office/drawing/2014/main" id="{00000000-0008-0000-0400-00005F721200}"/>
              </a:ext>
            </a:extLst>
          </xdr:cNvPr>
          <xdr:cNvGrpSpPr>
            <a:grpSpLocks/>
          </xdr:cNvGrpSpPr>
        </xdr:nvGrpSpPr>
        <xdr:grpSpPr bwMode="auto">
          <a:xfrm>
            <a:off x="5840414" y="190500"/>
            <a:ext cx="558800" cy="571500"/>
            <a:chOff x="4962525" y="171450"/>
            <a:chExt cx="561975" cy="571500"/>
          </a:xfrm>
        </xdr:grpSpPr>
        <xdr:grpSp>
          <xdr:nvGrpSpPr>
            <xdr:cNvPr id="1208930" name="1357 Grupo">
              <a:extLst>
                <a:ext uri="{FF2B5EF4-FFF2-40B4-BE49-F238E27FC236}">
                  <a16:creationId xmlns:a16="http://schemas.microsoft.com/office/drawing/2014/main" id="{00000000-0008-0000-0400-00006272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62525" y="171450"/>
              <a:ext cx="561975" cy="571500"/>
              <a:chOff x="4962525" y="171450"/>
              <a:chExt cx="561975" cy="571500"/>
            </a:xfrm>
          </xdr:grpSpPr>
          <xdr:sp macro="" textlink="">
            <xdr:nvSpPr>
              <xdr:cNvPr id="1208935" name="Rectangle 400">
                <a:extLst>
                  <a:ext uri="{FF2B5EF4-FFF2-40B4-BE49-F238E27FC236}">
                    <a16:creationId xmlns:a16="http://schemas.microsoft.com/office/drawing/2014/main" id="{00000000-0008-0000-0400-000067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257800" y="723900"/>
                <a:ext cx="0" cy="19050"/>
              </a:xfrm>
              <a:prstGeom prst="rect">
                <a:avLst/>
              </a:prstGeom>
              <a:gradFill rotWithShape="0">
                <a:gsLst>
                  <a:gs pos="0">
                    <a:srgbClr val="DCEBF5"/>
                  </a:gs>
                  <a:gs pos="8000">
                    <a:srgbClr val="83A7C3"/>
                  </a:gs>
                  <a:gs pos="13000">
                    <a:srgbClr val="768FB9"/>
                  </a:gs>
                  <a:gs pos="21001">
                    <a:srgbClr val="83A7C3"/>
                  </a:gs>
                  <a:gs pos="52000">
                    <a:srgbClr val="FFFFFF"/>
                  </a:gs>
                  <a:gs pos="56000">
                    <a:srgbClr val="9C6563"/>
                  </a:gs>
                  <a:gs pos="58000">
                    <a:srgbClr val="80302D"/>
                  </a:gs>
                  <a:gs pos="71001">
                    <a:srgbClr val="C0524E"/>
                  </a:gs>
                  <a:gs pos="94000">
                    <a:srgbClr val="EBDAD4"/>
                  </a:gs>
                  <a:gs pos="100000">
                    <a:srgbClr val="55261C"/>
                  </a:gs>
                </a:gsLst>
                <a:lin ang="5400000" scaled="1"/>
              </a:gra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grpSp>
            <xdr:nvGrpSpPr>
              <xdr:cNvPr id="1208936" name="1363 Grupo">
                <a:extLst>
                  <a:ext uri="{FF2B5EF4-FFF2-40B4-BE49-F238E27FC236}">
                    <a16:creationId xmlns:a16="http://schemas.microsoft.com/office/drawing/2014/main" id="{00000000-0008-0000-0400-0000687212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4962525" y="171450"/>
                <a:ext cx="561975" cy="571500"/>
                <a:chOff x="4962525" y="171450"/>
                <a:chExt cx="561975" cy="571500"/>
              </a:xfrm>
            </xdr:grpSpPr>
            <xdr:sp macro="" textlink="">
              <xdr:nvSpPr>
                <xdr:cNvPr id="1208937" name="Rectangle 423">
                  <a:extLst>
                    <a:ext uri="{FF2B5EF4-FFF2-40B4-BE49-F238E27FC236}">
                      <a16:creationId xmlns:a16="http://schemas.microsoft.com/office/drawing/2014/main" id="{00000000-0008-0000-0400-000069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14925" y="171450"/>
                  <a:ext cx="409575" cy="552450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38" name="Rectangle 391">
                  <a:extLst>
                    <a:ext uri="{FF2B5EF4-FFF2-40B4-BE49-F238E27FC236}">
                      <a16:creationId xmlns:a16="http://schemas.microsoft.com/office/drawing/2014/main" id="{00000000-0008-0000-0400-00006A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257800" y="333375"/>
                  <a:ext cx="133350" cy="390525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39" name="Line 392">
                  <a:extLst>
                    <a:ext uri="{FF2B5EF4-FFF2-40B4-BE49-F238E27FC236}">
                      <a16:creationId xmlns:a16="http://schemas.microsoft.com/office/drawing/2014/main" id="{00000000-0008-0000-0400-00006B7212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5264943" y="333375"/>
                  <a:ext cx="133350" cy="19050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40" name="Line 393">
                  <a:extLst>
                    <a:ext uri="{FF2B5EF4-FFF2-40B4-BE49-F238E27FC236}">
                      <a16:creationId xmlns:a16="http://schemas.microsoft.com/office/drawing/2014/main" id="{00000000-0008-0000-0400-00006C7212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257800" y="533400"/>
                  <a:ext cx="133350" cy="19050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grpSp>
              <xdr:nvGrpSpPr>
                <xdr:cNvPr id="1208941" name="Group 401">
                  <a:extLst>
                    <a:ext uri="{FF2B5EF4-FFF2-40B4-BE49-F238E27FC236}">
                      <a16:creationId xmlns:a16="http://schemas.microsoft.com/office/drawing/2014/main" id="{00000000-0008-0000-0400-00006D7212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flipH="1">
                  <a:off x="5391150" y="333375"/>
                  <a:ext cx="133350" cy="409575"/>
                  <a:chOff x="333" y="153"/>
                  <a:chExt cx="219" cy="333"/>
                </a:xfrm>
              </xdr:grpSpPr>
              <xdr:sp macro="" textlink="">
                <xdr:nvSpPr>
                  <xdr:cNvPr id="1208944" name="Rectangle 402">
                    <a:extLst>
                      <a:ext uri="{FF2B5EF4-FFF2-40B4-BE49-F238E27FC236}">
                        <a16:creationId xmlns:a16="http://schemas.microsoft.com/office/drawing/2014/main" id="{00000000-0008-0000-0400-0000707212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3" y="153"/>
                    <a:ext cx="218" cy="317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  <xdr:txBody>
                  <a:bodyPr rtlCol="0"/>
                  <a:lstStyle/>
                  <a:p>
                    <a:pPr algn="ctr"/>
                    <a:endParaRPr lang="es-ES_tradnl"/>
                  </a:p>
                </xdr:txBody>
              </xdr:sp>
              <xdr:sp macro="" textlink="">
                <xdr:nvSpPr>
                  <xdr:cNvPr id="1208945" name="Line 403">
                    <a:extLst>
                      <a:ext uri="{FF2B5EF4-FFF2-40B4-BE49-F238E27FC236}">
                        <a16:creationId xmlns:a16="http://schemas.microsoft.com/office/drawing/2014/main" id="{00000000-0008-0000-0400-0000717212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>
                    <a:off x="333" y="153"/>
                    <a:ext cx="218" cy="15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prstDash val="sysDot"/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  <xdr:txBody>
                  <a:bodyPr rtlCol="0"/>
                  <a:lstStyle/>
                  <a:p>
                    <a:pPr algn="ctr"/>
                    <a:endParaRPr lang="es-ES_tradnl"/>
                  </a:p>
                </xdr:txBody>
              </xdr:sp>
              <xdr:sp macro="" textlink="">
                <xdr:nvSpPr>
                  <xdr:cNvPr id="1208946" name="Line 404">
                    <a:extLst>
                      <a:ext uri="{FF2B5EF4-FFF2-40B4-BE49-F238E27FC236}">
                        <a16:creationId xmlns:a16="http://schemas.microsoft.com/office/drawing/2014/main" id="{00000000-0008-0000-0400-0000727212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333" y="314"/>
                    <a:ext cx="216" cy="15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prstDash val="sysDot"/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  <xdr:txBody>
                  <a:bodyPr rtlCol="0"/>
                  <a:lstStyle/>
                  <a:p>
                    <a:pPr algn="ctr"/>
                    <a:endParaRPr lang="es-ES_tradnl"/>
                  </a:p>
                </xdr:txBody>
              </xdr:sp>
              <xdr:sp macro="" textlink="">
                <xdr:nvSpPr>
                  <xdr:cNvPr id="1208947" name="Rectangle 405">
                    <a:extLst>
                      <a:ext uri="{FF2B5EF4-FFF2-40B4-BE49-F238E27FC236}">
                        <a16:creationId xmlns:a16="http://schemas.microsoft.com/office/drawing/2014/main" id="{00000000-0008-0000-0400-0000737212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508" y="291"/>
                    <a:ext cx="23" cy="47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  <xdr:txBody>
                  <a:bodyPr rtlCol="0"/>
                  <a:lstStyle/>
                  <a:p>
                    <a:pPr algn="ctr"/>
                    <a:endParaRPr lang="es-ES_tradnl"/>
                  </a:p>
                </xdr:txBody>
              </xdr:sp>
              <xdr:sp macro="" textlink="">
                <xdr:nvSpPr>
                  <xdr:cNvPr id="1208948" name="Oval 406">
                    <a:extLst>
                      <a:ext uri="{FF2B5EF4-FFF2-40B4-BE49-F238E27FC236}">
                        <a16:creationId xmlns:a16="http://schemas.microsoft.com/office/drawing/2014/main" id="{00000000-0008-0000-0400-0000747212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515" y="320"/>
                    <a:ext cx="8" cy="8"/>
                  </a:xfrm>
                  <a:prstGeom prst="ellipse">
                    <a:avLst/>
                  </a:prstGeom>
                  <a:solidFill>
                    <a:srgbClr val="000000"/>
                  </a:solidFill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  <xdr:txBody>
                  <a:bodyPr rtlCol="0"/>
                  <a:lstStyle/>
                  <a:p>
                    <a:pPr algn="ctr"/>
                    <a:endParaRPr lang="es-ES_tradnl"/>
                  </a:p>
                </xdr:txBody>
              </xdr:sp>
              <xdr:sp macro="" textlink="">
                <xdr:nvSpPr>
                  <xdr:cNvPr id="1208949" name="Oval 407">
                    <a:extLst>
                      <a:ext uri="{FF2B5EF4-FFF2-40B4-BE49-F238E27FC236}">
                        <a16:creationId xmlns:a16="http://schemas.microsoft.com/office/drawing/2014/main" id="{00000000-0008-0000-0400-0000757212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515" y="301"/>
                    <a:ext cx="8" cy="8"/>
                  </a:xfrm>
                  <a:prstGeom prst="ellipse">
                    <a:avLst/>
                  </a:prstGeom>
                  <a:solidFill>
                    <a:srgbClr val="000000"/>
                  </a:solidFill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  <xdr:txBody>
                  <a:bodyPr rtlCol="0"/>
                  <a:lstStyle/>
                  <a:p>
                    <a:pPr algn="ctr"/>
                    <a:endParaRPr lang="es-ES_tradnl"/>
                  </a:p>
                </xdr:txBody>
              </xdr:sp>
              <xdr:sp macro="" textlink="">
                <xdr:nvSpPr>
                  <xdr:cNvPr id="1208950" name="Rectangle 408">
                    <a:extLst>
                      <a:ext uri="{FF2B5EF4-FFF2-40B4-BE49-F238E27FC236}">
                        <a16:creationId xmlns:a16="http://schemas.microsoft.com/office/drawing/2014/main" id="{00000000-0008-0000-0400-0000767212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544" y="302"/>
                    <a:ext cx="8" cy="20"/>
                  </a:xfrm>
                  <a:prstGeom prst="rect">
                    <a:avLst/>
                  </a:prstGeom>
                  <a:solidFill>
                    <a:srgbClr val="000000"/>
                  </a:solidFill>
                  <a:ln w="952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  <xdr:txBody>
                  <a:bodyPr rtlCol="0"/>
                  <a:lstStyle/>
                  <a:p>
                    <a:pPr algn="ctr"/>
                    <a:endParaRPr lang="es-ES_tradnl"/>
                  </a:p>
                </xdr:txBody>
              </xdr:sp>
              <xdr:sp macro="" textlink="">
                <xdr:nvSpPr>
                  <xdr:cNvPr id="1208951" name="Rectangle 409">
                    <a:extLst>
                      <a:ext uri="{FF2B5EF4-FFF2-40B4-BE49-F238E27FC236}">
                        <a16:creationId xmlns:a16="http://schemas.microsoft.com/office/drawing/2014/main" id="{00000000-0008-0000-0400-0000777212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4" y="460"/>
                    <a:ext cx="32" cy="10"/>
                  </a:xfrm>
                  <a:prstGeom prst="rect">
                    <a:avLst/>
                  </a:prstGeom>
                  <a:solidFill>
                    <a:srgbClr val="000000"/>
                  </a:solidFill>
                  <a:ln w="952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  <xdr:txBody>
                  <a:bodyPr rtlCol="0"/>
                  <a:lstStyle/>
                  <a:p>
                    <a:pPr algn="ctr"/>
                    <a:endParaRPr lang="es-ES_tradnl"/>
                  </a:p>
                </xdr:txBody>
              </xdr:sp>
              <xdr:sp macro="" textlink="">
                <xdr:nvSpPr>
                  <xdr:cNvPr id="1208952" name="Rectangle 410">
                    <a:extLst>
                      <a:ext uri="{FF2B5EF4-FFF2-40B4-BE49-F238E27FC236}">
                        <a16:creationId xmlns:a16="http://schemas.microsoft.com/office/drawing/2014/main" id="{00000000-0008-0000-0400-0000787212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3" y="153"/>
                    <a:ext cx="32" cy="10"/>
                  </a:xfrm>
                  <a:prstGeom prst="rect">
                    <a:avLst/>
                  </a:prstGeom>
                  <a:solidFill>
                    <a:srgbClr val="000000"/>
                  </a:solidFill>
                  <a:ln w="952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  <xdr:txBody>
                  <a:bodyPr rtlCol="0"/>
                  <a:lstStyle/>
                  <a:p>
                    <a:pPr algn="ctr"/>
                    <a:endParaRPr lang="es-ES_tradnl"/>
                  </a:p>
                </xdr:txBody>
              </xdr:sp>
              <xdr:sp macro="" textlink="">
                <xdr:nvSpPr>
                  <xdr:cNvPr id="1208953" name="Rectangle 411">
                    <a:extLst>
                      <a:ext uri="{FF2B5EF4-FFF2-40B4-BE49-F238E27FC236}">
                        <a16:creationId xmlns:a16="http://schemas.microsoft.com/office/drawing/2014/main" id="{00000000-0008-0000-0400-0000797212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3" y="474"/>
                    <a:ext cx="12" cy="12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DCEBF5"/>
                      </a:gs>
                      <a:gs pos="8000">
                        <a:srgbClr val="83A7C3"/>
                      </a:gs>
                      <a:gs pos="13000">
                        <a:srgbClr val="768FB9"/>
                      </a:gs>
                      <a:gs pos="21001">
                        <a:srgbClr val="83A7C3"/>
                      </a:gs>
                      <a:gs pos="52000">
                        <a:srgbClr val="FFFFFF"/>
                      </a:gs>
                      <a:gs pos="56000">
                        <a:srgbClr val="9C6563"/>
                      </a:gs>
                      <a:gs pos="58000">
                        <a:srgbClr val="80302D"/>
                      </a:gs>
                      <a:gs pos="71001">
                        <a:srgbClr val="C0524E"/>
                      </a:gs>
                      <a:gs pos="94000">
                        <a:srgbClr val="EBDAD4"/>
                      </a:gs>
                      <a:gs pos="100000">
                        <a:srgbClr val="55261C"/>
                      </a:gs>
                    </a:gsLst>
                    <a:lin ang="5400000" scaled="1"/>
                  </a:gradFill>
                  <a:ln w="952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  <xdr:txBody>
                  <a:bodyPr rtlCol="0"/>
                  <a:lstStyle/>
                  <a:p>
                    <a:pPr algn="ctr"/>
                    <a:endParaRPr lang="es-ES_tradnl"/>
                  </a:p>
                </xdr:txBody>
              </xdr:sp>
            </xdr:grpSp>
            <xdr:sp macro="" textlink="">
              <xdr:nvSpPr>
                <xdr:cNvPr id="1208942" name="Rectangle 424">
                  <a:extLst>
                    <a:ext uri="{FF2B5EF4-FFF2-40B4-BE49-F238E27FC236}">
                      <a16:creationId xmlns:a16="http://schemas.microsoft.com/office/drawing/2014/main" id="{00000000-0008-0000-0400-00006E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962525" y="171450"/>
                  <a:ext cx="152400" cy="552450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cxnSp macro="">
              <xdr:nvCxnSpPr>
                <xdr:cNvPr id="1208943" name="10 Conector recto">
                  <a:extLst>
                    <a:ext uri="{FF2B5EF4-FFF2-40B4-BE49-F238E27FC236}">
                      <a16:creationId xmlns:a16="http://schemas.microsoft.com/office/drawing/2014/main" id="{00000000-0008-0000-0400-00006F7212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5257800" y="171450"/>
                  <a:ext cx="0" cy="16192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</xdr:grpSp>
        <xdr:sp macro="" textlink="">
          <xdr:nvSpPr>
            <xdr:cNvPr id="1208931" name="Rectangle 394">
              <a:extLst>
                <a:ext uri="{FF2B5EF4-FFF2-40B4-BE49-F238E27FC236}">
                  <a16:creationId xmlns:a16="http://schemas.microsoft.com/office/drawing/2014/main" id="{00000000-0008-0000-0400-000063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362575" y="504825"/>
              <a:ext cx="19050" cy="5715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8932" name="Oval 395">
              <a:extLst>
                <a:ext uri="{FF2B5EF4-FFF2-40B4-BE49-F238E27FC236}">
                  <a16:creationId xmlns:a16="http://schemas.microsoft.com/office/drawing/2014/main" id="{00000000-0008-0000-0400-000064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372100" y="533400"/>
              <a:ext cx="0" cy="19050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8933" name="Rectangle 398">
              <a:extLst>
                <a:ext uri="{FF2B5EF4-FFF2-40B4-BE49-F238E27FC236}">
                  <a16:creationId xmlns:a16="http://schemas.microsoft.com/office/drawing/2014/main" id="{00000000-0008-0000-0400-000065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257800" y="714375"/>
              <a:ext cx="19050" cy="9525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8934" name="Rectangle 399">
              <a:extLst>
                <a:ext uri="{FF2B5EF4-FFF2-40B4-BE49-F238E27FC236}">
                  <a16:creationId xmlns:a16="http://schemas.microsoft.com/office/drawing/2014/main" id="{00000000-0008-0000-0400-000066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257800" y="333375"/>
              <a:ext cx="19050" cy="9525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8928" name="Rectangle 424">
            <a:extLst>
              <a:ext uri="{FF2B5EF4-FFF2-40B4-BE49-F238E27FC236}">
                <a16:creationId xmlns:a16="http://schemas.microsoft.com/office/drawing/2014/main" id="{00000000-0008-0000-0400-000060721200}"/>
              </a:ext>
            </a:extLst>
          </xdr:cNvPr>
          <xdr:cNvSpPr>
            <a:spLocks noChangeArrowheads="1"/>
          </xdr:cNvSpPr>
        </xdr:nvSpPr>
        <xdr:spPr bwMode="auto">
          <a:xfrm>
            <a:off x="6397627" y="192088"/>
            <a:ext cx="151539" cy="552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8929" name="Rectangle 424">
            <a:extLst>
              <a:ext uri="{FF2B5EF4-FFF2-40B4-BE49-F238E27FC236}">
                <a16:creationId xmlns:a16="http://schemas.microsoft.com/office/drawing/2014/main" id="{00000000-0008-0000-0400-000061721200}"/>
              </a:ext>
            </a:extLst>
          </xdr:cNvPr>
          <xdr:cNvSpPr>
            <a:spLocks noChangeArrowheads="1"/>
          </xdr:cNvSpPr>
        </xdr:nvSpPr>
        <xdr:spPr bwMode="auto">
          <a:xfrm>
            <a:off x="6550027" y="193675"/>
            <a:ext cx="151539" cy="552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9</xdr:col>
      <xdr:colOff>38100</xdr:colOff>
      <xdr:row>2</xdr:row>
      <xdr:rowOff>292100</xdr:rowOff>
    </xdr:from>
    <xdr:to>
      <xdr:col>9</xdr:col>
      <xdr:colOff>673100</xdr:colOff>
      <xdr:row>2</xdr:row>
      <xdr:rowOff>863600</xdr:rowOff>
    </xdr:to>
    <xdr:grpSp>
      <xdr:nvGrpSpPr>
        <xdr:cNvPr id="1208863" name="13 Grupo">
          <a:extLst>
            <a:ext uri="{FF2B5EF4-FFF2-40B4-BE49-F238E27FC236}">
              <a16:creationId xmlns:a16="http://schemas.microsoft.com/office/drawing/2014/main" id="{00000000-0008-0000-0400-00001F721200}"/>
            </a:ext>
          </a:extLst>
        </xdr:cNvPr>
        <xdr:cNvGrpSpPr>
          <a:grpSpLocks/>
        </xdr:cNvGrpSpPr>
      </xdr:nvGrpSpPr>
      <xdr:grpSpPr bwMode="auto">
        <a:xfrm>
          <a:off x="7135586" y="1435100"/>
          <a:ext cx="612140" cy="571500"/>
          <a:chOff x="5212462" y="206375"/>
          <a:chExt cx="563240" cy="571500"/>
        </a:xfrm>
      </xdr:grpSpPr>
      <xdr:grpSp>
        <xdr:nvGrpSpPr>
          <xdr:cNvPr id="1208911" name="1419 Grupo">
            <a:extLst>
              <a:ext uri="{FF2B5EF4-FFF2-40B4-BE49-F238E27FC236}">
                <a16:creationId xmlns:a16="http://schemas.microsoft.com/office/drawing/2014/main" id="{00000000-0008-0000-0400-00004F721200}"/>
              </a:ext>
            </a:extLst>
          </xdr:cNvPr>
          <xdr:cNvGrpSpPr>
            <a:grpSpLocks/>
          </xdr:cNvGrpSpPr>
        </xdr:nvGrpSpPr>
        <xdr:grpSpPr bwMode="auto">
          <a:xfrm>
            <a:off x="5212462" y="206375"/>
            <a:ext cx="563240" cy="571500"/>
            <a:chOff x="4962525" y="171450"/>
            <a:chExt cx="561975" cy="571500"/>
          </a:xfrm>
        </xdr:grpSpPr>
        <xdr:sp macro="" textlink="">
          <xdr:nvSpPr>
            <xdr:cNvPr id="1208913" name="Rectangle 423">
              <a:extLst>
                <a:ext uri="{FF2B5EF4-FFF2-40B4-BE49-F238E27FC236}">
                  <a16:creationId xmlns:a16="http://schemas.microsoft.com/office/drawing/2014/main" id="{00000000-0008-0000-0400-000051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14925" y="171450"/>
              <a:ext cx="409575" cy="55245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grpSp>
          <xdr:nvGrpSpPr>
            <xdr:cNvPr id="1208914" name="Group 401">
              <a:extLst>
                <a:ext uri="{FF2B5EF4-FFF2-40B4-BE49-F238E27FC236}">
                  <a16:creationId xmlns:a16="http://schemas.microsoft.com/office/drawing/2014/main" id="{00000000-0008-0000-0400-000052721200}"/>
                </a:ext>
              </a:extLst>
            </xdr:cNvPr>
            <xdr:cNvGrpSpPr>
              <a:grpSpLocks/>
            </xdr:cNvGrpSpPr>
          </xdr:nvGrpSpPr>
          <xdr:grpSpPr bwMode="auto">
            <a:xfrm flipH="1">
              <a:off x="5391150" y="333375"/>
              <a:ext cx="133350" cy="409575"/>
              <a:chOff x="333" y="153"/>
              <a:chExt cx="219" cy="333"/>
            </a:xfrm>
          </xdr:grpSpPr>
          <xdr:sp macro="" textlink="">
            <xdr:nvSpPr>
              <xdr:cNvPr id="1208917" name="Rectangle 402">
                <a:extLst>
                  <a:ext uri="{FF2B5EF4-FFF2-40B4-BE49-F238E27FC236}">
                    <a16:creationId xmlns:a16="http://schemas.microsoft.com/office/drawing/2014/main" id="{00000000-0008-0000-0400-000055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33" y="153"/>
                <a:ext cx="218" cy="317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208918" name="Line 403">
                <a:extLst>
                  <a:ext uri="{FF2B5EF4-FFF2-40B4-BE49-F238E27FC236}">
                    <a16:creationId xmlns:a16="http://schemas.microsoft.com/office/drawing/2014/main" id="{00000000-0008-0000-0400-0000567212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333" y="153"/>
                <a:ext cx="218" cy="159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208919" name="Line 404">
                <a:extLst>
                  <a:ext uri="{FF2B5EF4-FFF2-40B4-BE49-F238E27FC236}">
                    <a16:creationId xmlns:a16="http://schemas.microsoft.com/office/drawing/2014/main" id="{00000000-0008-0000-0400-0000577212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333" y="314"/>
                <a:ext cx="216" cy="15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208920" name="Rectangle 405">
                <a:extLst>
                  <a:ext uri="{FF2B5EF4-FFF2-40B4-BE49-F238E27FC236}">
                    <a16:creationId xmlns:a16="http://schemas.microsoft.com/office/drawing/2014/main" id="{00000000-0008-0000-0400-000058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08" y="291"/>
                <a:ext cx="23" cy="47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208921" name="Oval 406">
                <a:extLst>
                  <a:ext uri="{FF2B5EF4-FFF2-40B4-BE49-F238E27FC236}">
                    <a16:creationId xmlns:a16="http://schemas.microsoft.com/office/drawing/2014/main" id="{00000000-0008-0000-0400-000059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15" y="320"/>
                <a:ext cx="8" cy="8"/>
              </a:xfrm>
              <a:prstGeom prst="ellipse">
                <a:avLst/>
              </a:prstGeom>
              <a:solidFill>
                <a:srgbClr val="00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208922" name="Oval 407">
                <a:extLst>
                  <a:ext uri="{FF2B5EF4-FFF2-40B4-BE49-F238E27FC236}">
                    <a16:creationId xmlns:a16="http://schemas.microsoft.com/office/drawing/2014/main" id="{00000000-0008-0000-0400-00005A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15" y="301"/>
                <a:ext cx="8" cy="8"/>
              </a:xfrm>
              <a:prstGeom prst="ellipse">
                <a:avLst/>
              </a:prstGeom>
              <a:solidFill>
                <a:srgbClr val="00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208923" name="Rectangle 408">
                <a:extLst>
                  <a:ext uri="{FF2B5EF4-FFF2-40B4-BE49-F238E27FC236}">
                    <a16:creationId xmlns:a16="http://schemas.microsoft.com/office/drawing/2014/main" id="{00000000-0008-0000-0400-00005B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44" y="302"/>
                <a:ext cx="8" cy="20"/>
              </a:xfrm>
              <a:prstGeom prst="rect">
                <a:avLst/>
              </a:prstGeom>
              <a:solidFill>
                <a:srgbClr val="000000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208924" name="Rectangle 409">
                <a:extLst>
                  <a:ext uri="{FF2B5EF4-FFF2-40B4-BE49-F238E27FC236}">
                    <a16:creationId xmlns:a16="http://schemas.microsoft.com/office/drawing/2014/main" id="{00000000-0008-0000-0400-00005C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34" y="460"/>
                <a:ext cx="32" cy="10"/>
              </a:xfrm>
              <a:prstGeom prst="rect">
                <a:avLst/>
              </a:prstGeom>
              <a:solidFill>
                <a:srgbClr val="000000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208925" name="Rectangle 410">
                <a:extLst>
                  <a:ext uri="{FF2B5EF4-FFF2-40B4-BE49-F238E27FC236}">
                    <a16:creationId xmlns:a16="http://schemas.microsoft.com/office/drawing/2014/main" id="{00000000-0008-0000-0400-00005D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33" y="153"/>
                <a:ext cx="32" cy="10"/>
              </a:xfrm>
              <a:prstGeom prst="rect">
                <a:avLst/>
              </a:prstGeom>
              <a:solidFill>
                <a:srgbClr val="000000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208926" name="Rectangle 411">
                <a:extLst>
                  <a:ext uri="{FF2B5EF4-FFF2-40B4-BE49-F238E27FC236}">
                    <a16:creationId xmlns:a16="http://schemas.microsoft.com/office/drawing/2014/main" id="{00000000-0008-0000-0400-00005E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33" y="474"/>
                <a:ext cx="12" cy="12"/>
              </a:xfrm>
              <a:prstGeom prst="rect">
                <a:avLst/>
              </a:prstGeom>
              <a:gradFill rotWithShape="0">
                <a:gsLst>
                  <a:gs pos="0">
                    <a:srgbClr val="DCEBF5"/>
                  </a:gs>
                  <a:gs pos="8000">
                    <a:srgbClr val="83A7C3"/>
                  </a:gs>
                  <a:gs pos="13000">
                    <a:srgbClr val="768FB9"/>
                  </a:gs>
                  <a:gs pos="21001">
                    <a:srgbClr val="83A7C3"/>
                  </a:gs>
                  <a:gs pos="52000">
                    <a:srgbClr val="FFFFFF"/>
                  </a:gs>
                  <a:gs pos="56000">
                    <a:srgbClr val="9C6563"/>
                  </a:gs>
                  <a:gs pos="58000">
                    <a:srgbClr val="80302D"/>
                  </a:gs>
                  <a:gs pos="71001">
                    <a:srgbClr val="C0524E"/>
                  </a:gs>
                  <a:gs pos="94000">
                    <a:srgbClr val="EBDAD4"/>
                  </a:gs>
                  <a:gs pos="100000">
                    <a:srgbClr val="55261C"/>
                  </a:gs>
                </a:gsLst>
                <a:lin ang="5400000" scaled="1"/>
              </a:gra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</xdr:grpSp>
        <xdr:sp macro="" textlink="">
          <xdr:nvSpPr>
            <xdr:cNvPr id="1208915" name="Rectangle 424">
              <a:extLst>
                <a:ext uri="{FF2B5EF4-FFF2-40B4-BE49-F238E27FC236}">
                  <a16:creationId xmlns:a16="http://schemas.microsoft.com/office/drawing/2014/main" id="{00000000-0008-0000-0400-000053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62525" y="171450"/>
              <a:ext cx="152400" cy="55245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cxnSp macro="">
          <xdr:nvCxnSpPr>
            <xdr:cNvPr id="1208916" name="10 Conector recto">
              <a:extLst>
                <a:ext uri="{FF2B5EF4-FFF2-40B4-BE49-F238E27FC236}">
                  <a16:creationId xmlns:a16="http://schemas.microsoft.com/office/drawing/2014/main" id="{00000000-0008-0000-0400-0000547212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5257802" y="171452"/>
              <a:ext cx="9523" cy="55244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1208912" name="10 Conector recto">
            <a:extLst>
              <a:ext uri="{FF2B5EF4-FFF2-40B4-BE49-F238E27FC236}">
                <a16:creationId xmlns:a16="http://schemas.microsoft.com/office/drawing/2014/main" id="{00000000-0008-0000-0400-000050721200}"/>
              </a:ext>
            </a:extLst>
          </xdr:cNvPr>
          <xdr:cNvCxnSpPr>
            <a:cxnSpLocks noChangeShapeType="1"/>
            <a:stCxn id="1208917" idx="3"/>
          </xdr:cNvCxnSpPr>
        </xdr:nvCxnSpPr>
        <xdr:spPr bwMode="auto">
          <a:xfrm flipV="1">
            <a:off x="5642662" y="207964"/>
            <a:ext cx="14" cy="355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6</xdr:col>
      <xdr:colOff>215900</xdr:colOff>
      <xdr:row>2</xdr:row>
      <xdr:rowOff>254000</xdr:rowOff>
    </xdr:from>
    <xdr:to>
      <xdr:col>6</xdr:col>
      <xdr:colOff>508000</xdr:colOff>
      <xdr:row>2</xdr:row>
      <xdr:rowOff>825500</xdr:rowOff>
    </xdr:to>
    <xdr:grpSp>
      <xdr:nvGrpSpPr>
        <xdr:cNvPr id="1208864" name="1448 Grupo">
          <a:extLst>
            <a:ext uri="{FF2B5EF4-FFF2-40B4-BE49-F238E27FC236}">
              <a16:creationId xmlns:a16="http://schemas.microsoft.com/office/drawing/2014/main" id="{00000000-0008-0000-0400-000020721200}"/>
            </a:ext>
          </a:extLst>
        </xdr:cNvPr>
        <xdr:cNvGrpSpPr>
          <a:grpSpLocks/>
        </xdr:cNvGrpSpPr>
      </xdr:nvGrpSpPr>
      <xdr:grpSpPr bwMode="auto">
        <a:xfrm>
          <a:off x="5353957" y="1397000"/>
          <a:ext cx="292100" cy="571500"/>
          <a:chOff x="5257800" y="171450"/>
          <a:chExt cx="266700" cy="571500"/>
        </a:xfrm>
      </xdr:grpSpPr>
      <xdr:grpSp>
        <xdr:nvGrpSpPr>
          <xdr:cNvPr id="1208888" name="1449 Grupo">
            <a:extLst>
              <a:ext uri="{FF2B5EF4-FFF2-40B4-BE49-F238E27FC236}">
                <a16:creationId xmlns:a16="http://schemas.microsoft.com/office/drawing/2014/main" id="{00000000-0008-0000-0400-000038721200}"/>
              </a:ext>
            </a:extLst>
          </xdr:cNvPr>
          <xdr:cNvGrpSpPr>
            <a:grpSpLocks/>
          </xdr:cNvGrpSpPr>
        </xdr:nvGrpSpPr>
        <xdr:grpSpPr bwMode="auto">
          <a:xfrm>
            <a:off x="5257800" y="171450"/>
            <a:ext cx="266700" cy="571500"/>
            <a:chOff x="5257800" y="171450"/>
            <a:chExt cx="266700" cy="571500"/>
          </a:xfrm>
        </xdr:grpSpPr>
        <xdr:sp macro="" textlink="">
          <xdr:nvSpPr>
            <xdr:cNvPr id="1208893" name="Rectangle 400">
              <a:extLst>
                <a:ext uri="{FF2B5EF4-FFF2-40B4-BE49-F238E27FC236}">
                  <a16:creationId xmlns:a16="http://schemas.microsoft.com/office/drawing/2014/main" id="{00000000-0008-0000-0400-00003D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257800" y="723900"/>
              <a:ext cx="0" cy="19050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grpSp>
          <xdr:nvGrpSpPr>
            <xdr:cNvPr id="1208894" name="1455 Grupo">
              <a:extLst>
                <a:ext uri="{FF2B5EF4-FFF2-40B4-BE49-F238E27FC236}">
                  <a16:creationId xmlns:a16="http://schemas.microsoft.com/office/drawing/2014/main" id="{00000000-0008-0000-0400-00003E72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257800" y="171450"/>
              <a:ext cx="266700" cy="571500"/>
              <a:chOff x="5257800" y="171450"/>
              <a:chExt cx="266700" cy="571500"/>
            </a:xfrm>
          </xdr:grpSpPr>
          <xdr:sp macro="" textlink="">
            <xdr:nvSpPr>
              <xdr:cNvPr id="1208895" name="Rectangle 423">
                <a:extLst>
                  <a:ext uri="{FF2B5EF4-FFF2-40B4-BE49-F238E27FC236}">
                    <a16:creationId xmlns:a16="http://schemas.microsoft.com/office/drawing/2014/main" id="{00000000-0008-0000-0400-00003F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261074" y="171450"/>
                <a:ext cx="263426" cy="552450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208896" name="Rectangle 391">
                <a:extLst>
                  <a:ext uri="{FF2B5EF4-FFF2-40B4-BE49-F238E27FC236}">
                    <a16:creationId xmlns:a16="http://schemas.microsoft.com/office/drawing/2014/main" id="{00000000-0008-0000-0400-000040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257800" y="333375"/>
                <a:ext cx="133350" cy="390525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208897" name="Line 392">
                <a:extLst>
                  <a:ext uri="{FF2B5EF4-FFF2-40B4-BE49-F238E27FC236}">
                    <a16:creationId xmlns:a16="http://schemas.microsoft.com/office/drawing/2014/main" id="{00000000-0008-0000-0400-0000417212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264943" y="333375"/>
                <a:ext cx="133350" cy="1905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208898" name="Line 393">
                <a:extLst>
                  <a:ext uri="{FF2B5EF4-FFF2-40B4-BE49-F238E27FC236}">
                    <a16:creationId xmlns:a16="http://schemas.microsoft.com/office/drawing/2014/main" id="{00000000-0008-0000-0400-0000427212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57800" y="533400"/>
                <a:ext cx="133350" cy="1905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grpSp>
            <xdr:nvGrpSpPr>
              <xdr:cNvPr id="1208899" name="Group 401">
                <a:extLst>
                  <a:ext uri="{FF2B5EF4-FFF2-40B4-BE49-F238E27FC236}">
                    <a16:creationId xmlns:a16="http://schemas.microsoft.com/office/drawing/2014/main" id="{00000000-0008-0000-0400-000043721200}"/>
                  </a:ext>
                </a:extLst>
              </xdr:cNvPr>
              <xdr:cNvGrpSpPr>
                <a:grpSpLocks/>
              </xdr:cNvGrpSpPr>
            </xdr:nvGrpSpPr>
            <xdr:grpSpPr bwMode="auto">
              <a:xfrm flipH="1">
                <a:off x="5391150" y="333375"/>
                <a:ext cx="133350" cy="409575"/>
                <a:chOff x="333" y="153"/>
                <a:chExt cx="219" cy="333"/>
              </a:xfrm>
            </xdr:grpSpPr>
            <xdr:sp macro="" textlink="">
              <xdr:nvSpPr>
                <xdr:cNvPr id="1208901" name="Rectangle 402">
                  <a:extLst>
                    <a:ext uri="{FF2B5EF4-FFF2-40B4-BE49-F238E27FC236}">
                      <a16:creationId xmlns:a16="http://schemas.microsoft.com/office/drawing/2014/main" id="{00000000-0008-0000-0400-000045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153"/>
                  <a:ext cx="218" cy="31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02" name="Line 403">
                  <a:extLst>
                    <a:ext uri="{FF2B5EF4-FFF2-40B4-BE49-F238E27FC236}">
                      <a16:creationId xmlns:a16="http://schemas.microsoft.com/office/drawing/2014/main" id="{00000000-0008-0000-0400-0000467212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33" y="153"/>
                  <a:ext cx="218" cy="15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03" name="Line 404">
                  <a:extLst>
                    <a:ext uri="{FF2B5EF4-FFF2-40B4-BE49-F238E27FC236}">
                      <a16:creationId xmlns:a16="http://schemas.microsoft.com/office/drawing/2014/main" id="{00000000-0008-0000-0400-0000477212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333" y="314"/>
                  <a:ext cx="216" cy="15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04" name="Rectangle 405">
                  <a:extLst>
                    <a:ext uri="{FF2B5EF4-FFF2-40B4-BE49-F238E27FC236}">
                      <a16:creationId xmlns:a16="http://schemas.microsoft.com/office/drawing/2014/main" id="{00000000-0008-0000-0400-000048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08" y="291"/>
                  <a:ext cx="23" cy="4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05" name="Oval 406">
                  <a:extLst>
                    <a:ext uri="{FF2B5EF4-FFF2-40B4-BE49-F238E27FC236}">
                      <a16:creationId xmlns:a16="http://schemas.microsoft.com/office/drawing/2014/main" id="{00000000-0008-0000-0400-000049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5" y="320"/>
                  <a:ext cx="8" cy="8"/>
                </a:xfrm>
                <a:prstGeom prst="ellipse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06" name="Oval 407">
                  <a:extLst>
                    <a:ext uri="{FF2B5EF4-FFF2-40B4-BE49-F238E27FC236}">
                      <a16:creationId xmlns:a16="http://schemas.microsoft.com/office/drawing/2014/main" id="{00000000-0008-0000-0400-00004A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5" y="301"/>
                  <a:ext cx="8" cy="8"/>
                </a:xfrm>
                <a:prstGeom prst="ellipse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07" name="Rectangle 408">
                  <a:extLst>
                    <a:ext uri="{FF2B5EF4-FFF2-40B4-BE49-F238E27FC236}">
                      <a16:creationId xmlns:a16="http://schemas.microsoft.com/office/drawing/2014/main" id="{00000000-0008-0000-0400-00004B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44" y="302"/>
                  <a:ext cx="8" cy="2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08" name="Rectangle 409">
                  <a:extLst>
                    <a:ext uri="{FF2B5EF4-FFF2-40B4-BE49-F238E27FC236}">
                      <a16:creationId xmlns:a16="http://schemas.microsoft.com/office/drawing/2014/main" id="{00000000-0008-0000-0400-00004C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4" y="460"/>
                  <a:ext cx="32" cy="1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09" name="Rectangle 410">
                  <a:extLst>
                    <a:ext uri="{FF2B5EF4-FFF2-40B4-BE49-F238E27FC236}">
                      <a16:creationId xmlns:a16="http://schemas.microsoft.com/office/drawing/2014/main" id="{00000000-0008-0000-0400-00004D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153"/>
                  <a:ext cx="32" cy="1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10" name="Rectangle 411">
                  <a:extLst>
                    <a:ext uri="{FF2B5EF4-FFF2-40B4-BE49-F238E27FC236}">
                      <a16:creationId xmlns:a16="http://schemas.microsoft.com/office/drawing/2014/main" id="{00000000-0008-0000-0400-00004E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474"/>
                  <a:ext cx="12" cy="12"/>
                </a:xfrm>
                <a:prstGeom prst="rect">
                  <a:avLst/>
                </a:prstGeom>
                <a:gradFill rotWithShape="0">
                  <a:gsLst>
                    <a:gs pos="0">
                      <a:srgbClr val="DCEBF5"/>
                    </a:gs>
                    <a:gs pos="8000">
                      <a:srgbClr val="83A7C3"/>
                    </a:gs>
                    <a:gs pos="13000">
                      <a:srgbClr val="768FB9"/>
                    </a:gs>
                    <a:gs pos="21001">
                      <a:srgbClr val="83A7C3"/>
                    </a:gs>
                    <a:gs pos="52000">
                      <a:srgbClr val="FFFFFF"/>
                    </a:gs>
                    <a:gs pos="56000">
                      <a:srgbClr val="9C6563"/>
                    </a:gs>
                    <a:gs pos="58000">
                      <a:srgbClr val="80302D"/>
                    </a:gs>
                    <a:gs pos="71001">
                      <a:srgbClr val="C0524E"/>
                    </a:gs>
                    <a:gs pos="94000">
                      <a:srgbClr val="EBDAD4"/>
                    </a:gs>
                    <a:gs pos="100000">
                      <a:srgbClr val="55261C"/>
                    </a:gs>
                  </a:gsLst>
                  <a:lin ang="5400000" scaled="1"/>
                </a:gra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</xdr:grpSp>
          <xdr:cxnSp macro="">
            <xdr:nvCxnSpPr>
              <xdr:cNvPr id="1208900" name="10 Conector recto">
                <a:extLst>
                  <a:ext uri="{FF2B5EF4-FFF2-40B4-BE49-F238E27FC236}">
                    <a16:creationId xmlns:a16="http://schemas.microsoft.com/office/drawing/2014/main" id="{00000000-0008-0000-0400-00004472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257800" y="171450"/>
                <a:ext cx="0" cy="161925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sp macro="" textlink="">
        <xdr:nvSpPr>
          <xdr:cNvPr id="1208889" name="Rectangle 394">
            <a:extLst>
              <a:ext uri="{FF2B5EF4-FFF2-40B4-BE49-F238E27FC236}">
                <a16:creationId xmlns:a16="http://schemas.microsoft.com/office/drawing/2014/main" id="{00000000-0008-0000-0400-000039721200}"/>
              </a:ext>
            </a:extLst>
          </xdr:cNvPr>
          <xdr:cNvSpPr>
            <a:spLocks noChangeArrowheads="1"/>
          </xdr:cNvSpPr>
        </xdr:nvSpPr>
        <xdr:spPr bwMode="auto">
          <a:xfrm>
            <a:off x="5362575" y="504825"/>
            <a:ext cx="19050" cy="571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8890" name="Oval 395">
            <a:extLst>
              <a:ext uri="{FF2B5EF4-FFF2-40B4-BE49-F238E27FC236}">
                <a16:creationId xmlns:a16="http://schemas.microsoft.com/office/drawing/2014/main" id="{00000000-0008-0000-0400-00003A721200}"/>
              </a:ext>
            </a:extLst>
          </xdr:cNvPr>
          <xdr:cNvSpPr>
            <a:spLocks noChangeArrowheads="1"/>
          </xdr:cNvSpPr>
        </xdr:nvSpPr>
        <xdr:spPr bwMode="auto">
          <a:xfrm>
            <a:off x="5372100" y="533400"/>
            <a:ext cx="0" cy="19050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8891" name="Rectangle 398">
            <a:extLst>
              <a:ext uri="{FF2B5EF4-FFF2-40B4-BE49-F238E27FC236}">
                <a16:creationId xmlns:a16="http://schemas.microsoft.com/office/drawing/2014/main" id="{00000000-0008-0000-0400-00003B721200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714375"/>
            <a:ext cx="19050" cy="9525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8892" name="Rectangle 399">
            <a:extLst>
              <a:ext uri="{FF2B5EF4-FFF2-40B4-BE49-F238E27FC236}">
                <a16:creationId xmlns:a16="http://schemas.microsoft.com/office/drawing/2014/main" id="{00000000-0008-0000-0400-00003C721200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333375"/>
            <a:ext cx="19050" cy="9525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38100</xdr:colOff>
      <xdr:row>2</xdr:row>
      <xdr:rowOff>266700</xdr:rowOff>
    </xdr:from>
    <xdr:to>
      <xdr:col>13</xdr:col>
      <xdr:colOff>673100</xdr:colOff>
      <xdr:row>2</xdr:row>
      <xdr:rowOff>838200</xdr:rowOff>
    </xdr:to>
    <xdr:grpSp>
      <xdr:nvGrpSpPr>
        <xdr:cNvPr id="1433" name="5 Grupo">
          <a:extLst>
            <a:ext uri="{FF2B5EF4-FFF2-40B4-BE49-F238E27FC236}">
              <a16:creationId xmlns:a16="http://schemas.microsoft.com/office/drawing/2014/main" id="{00000000-0008-0000-0400-000099050000}"/>
            </a:ext>
          </a:extLst>
        </xdr:cNvPr>
        <xdr:cNvGrpSpPr>
          <a:grpSpLocks/>
        </xdr:cNvGrpSpPr>
      </xdr:nvGrpSpPr>
      <xdr:grpSpPr bwMode="auto">
        <a:xfrm>
          <a:off x="9661071" y="1409700"/>
          <a:ext cx="612140" cy="571500"/>
          <a:chOff x="4962525" y="171450"/>
          <a:chExt cx="561975" cy="571500"/>
        </a:xfrm>
      </xdr:grpSpPr>
      <xdr:grpSp>
        <xdr:nvGrpSpPr>
          <xdr:cNvPr id="1434" name="2 Grupo">
            <a:extLst>
              <a:ext uri="{FF2B5EF4-FFF2-40B4-BE49-F238E27FC236}">
                <a16:creationId xmlns:a16="http://schemas.microsoft.com/office/drawing/2014/main" id="{00000000-0008-0000-0400-00009A050000}"/>
              </a:ext>
            </a:extLst>
          </xdr:cNvPr>
          <xdr:cNvGrpSpPr>
            <a:grpSpLocks/>
          </xdr:cNvGrpSpPr>
        </xdr:nvGrpSpPr>
        <xdr:grpSpPr bwMode="auto">
          <a:xfrm>
            <a:off x="4962525" y="171450"/>
            <a:ext cx="561975" cy="571500"/>
            <a:chOff x="4962525" y="171450"/>
            <a:chExt cx="561975" cy="571500"/>
          </a:xfrm>
        </xdr:grpSpPr>
        <xdr:sp macro="" textlink="">
          <xdr:nvSpPr>
            <xdr:cNvPr id="1439" name="Rectangle 400">
              <a:extLst>
                <a:ext uri="{FF2B5EF4-FFF2-40B4-BE49-F238E27FC236}">
                  <a16:creationId xmlns:a16="http://schemas.microsoft.com/office/drawing/2014/main" id="{00000000-0008-0000-0400-00009F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257800" y="723900"/>
              <a:ext cx="0" cy="19050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grpSp>
          <xdr:nvGrpSpPr>
            <xdr:cNvPr id="1440" name="1 Grupo">
              <a:extLst>
                <a:ext uri="{FF2B5EF4-FFF2-40B4-BE49-F238E27FC236}">
                  <a16:creationId xmlns:a16="http://schemas.microsoft.com/office/drawing/2014/main" id="{00000000-0008-0000-0400-0000A0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62525" y="171450"/>
              <a:ext cx="561975" cy="571500"/>
              <a:chOff x="4962525" y="171450"/>
              <a:chExt cx="561975" cy="571500"/>
            </a:xfrm>
          </xdr:grpSpPr>
          <xdr:sp macro="" textlink="">
            <xdr:nvSpPr>
              <xdr:cNvPr id="1441" name="Rectangle 423">
                <a:extLst>
                  <a:ext uri="{FF2B5EF4-FFF2-40B4-BE49-F238E27FC236}">
                    <a16:creationId xmlns:a16="http://schemas.microsoft.com/office/drawing/2014/main" id="{00000000-0008-0000-0400-0000A105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114925" y="171450"/>
                <a:ext cx="409575" cy="552450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442" name="Rectangle 391">
                <a:extLst>
                  <a:ext uri="{FF2B5EF4-FFF2-40B4-BE49-F238E27FC236}">
                    <a16:creationId xmlns:a16="http://schemas.microsoft.com/office/drawing/2014/main" id="{00000000-0008-0000-0400-0000A205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257800" y="333375"/>
                <a:ext cx="133350" cy="390525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443" name="Line 392">
                <a:extLst>
                  <a:ext uri="{FF2B5EF4-FFF2-40B4-BE49-F238E27FC236}">
                    <a16:creationId xmlns:a16="http://schemas.microsoft.com/office/drawing/2014/main" id="{00000000-0008-0000-0400-0000A305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264943" y="333375"/>
                <a:ext cx="133350" cy="1905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444" name="Line 393">
                <a:extLst>
                  <a:ext uri="{FF2B5EF4-FFF2-40B4-BE49-F238E27FC236}">
                    <a16:creationId xmlns:a16="http://schemas.microsoft.com/office/drawing/2014/main" id="{00000000-0008-0000-0400-0000A405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57800" y="533400"/>
                <a:ext cx="133350" cy="1905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grpSp>
            <xdr:nvGrpSpPr>
              <xdr:cNvPr id="1445" name="Group 401">
                <a:extLst>
                  <a:ext uri="{FF2B5EF4-FFF2-40B4-BE49-F238E27FC236}">
                    <a16:creationId xmlns:a16="http://schemas.microsoft.com/office/drawing/2014/main" id="{00000000-0008-0000-0400-0000A5050000}"/>
                  </a:ext>
                </a:extLst>
              </xdr:cNvPr>
              <xdr:cNvGrpSpPr>
                <a:grpSpLocks/>
              </xdr:cNvGrpSpPr>
            </xdr:nvGrpSpPr>
            <xdr:grpSpPr bwMode="auto">
              <a:xfrm flipH="1">
                <a:off x="5391150" y="333375"/>
                <a:ext cx="133350" cy="409575"/>
                <a:chOff x="333" y="153"/>
                <a:chExt cx="219" cy="333"/>
              </a:xfrm>
            </xdr:grpSpPr>
            <xdr:sp macro="" textlink="">
              <xdr:nvSpPr>
                <xdr:cNvPr id="1448" name="Rectangle 402">
                  <a:extLst>
                    <a:ext uri="{FF2B5EF4-FFF2-40B4-BE49-F238E27FC236}">
                      <a16:creationId xmlns:a16="http://schemas.microsoft.com/office/drawing/2014/main" id="{00000000-0008-0000-0400-0000A8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153"/>
                  <a:ext cx="218" cy="31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49" name="Line 403">
                  <a:extLst>
                    <a:ext uri="{FF2B5EF4-FFF2-40B4-BE49-F238E27FC236}">
                      <a16:creationId xmlns:a16="http://schemas.microsoft.com/office/drawing/2014/main" id="{00000000-0008-0000-0400-0000A905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33" y="153"/>
                  <a:ext cx="218" cy="15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50" name="Line 404">
                  <a:extLst>
                    <a:ext uri="{FF2B5EF4-FFF2-40B4-BE49-F238E27FC236}">
                      <a16:creationId xmlns:a16="http://schemas.microsoft.com/office/drawing/2014/main" id="{00000000-0008-0000-0400-0000AA05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333" y="314"/>
                  <a:ext cx="216" cy="15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51" name="Rectangle 405">
                  <a:extLst>
                    <a:ext uri="{FF2B5EF4-FFF2-40B4-BE49-F238E27FC236}">
                      <a16:creationId xmlns:a16="http://schemas.microsoft.com/office/drawing/2014/main" id="{00000000-0008-0000-0400-0000AB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08" y="291"/>
                  <a:ext cx="23" cy="4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52" name="Oval 406">
                  <a:extLst>
                    <a:ext uri="{FF2B5EF4-FFF2-40B4-BE49-F238E27FC236}">
                      <a16:creationId xmlns:a16="http://schemas.microsoft.com/office/drawing/2014/main" id="{00000000-0008-0000-0400-0000AC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5" y="320"/>
                  <a:ext cx="8" cy="8"/>
                </a:xfrm>
                <a:prstGeom prst="ellipse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53" name="Oval 407">
                  <a:extLst>
                    <a:ext uri="{FF2B5EF4-FFF2-40B4-BE49-F238E27FC236}">
                      <a16:creationId xmlns:a16="http://schemas.microsoft.com/office/drawing/2014/main" id="{00000000-0008-0000-0400-0000AD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5" y="301"/>
                  <a:ext cx="8" cy="8"/>
                </a:xfrm>
                <a:prstGeom prst="ellipse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54" name="Rectangle 408">
                  <a:extLst>
                    <a:ext uri="{FF2B5EF4-FFF2-40B4-BE49-F238E27FC236}">
                      <a16:creationId xmlns:a16="http://schemas.microsoft.com/office/drawing/2014/main" id="{00000000-0008-0000-0400-0000AE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44" y="302"/>
                  <a:ext cx="8" cy="2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55" name="Rectangle 409">
                  <a:extLst>
                    <a:ext uri="{FF2B5EF4-FFF2-40B4-BE49-F238E27FC236}">
                      <a16:creationId xmlns:a16="http://schemas.microsoft.com/office/drawing/2014/main" id="{00000000-0008-0000-0400-0000AF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4" y="460"/>
                  <a:ext cx="32" cy="1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56" name="Rectangle 410">
                  <a:extLst>
                    <a:ext uri="{FF2B5EF4-FFF2-40B4-BE49-F238E27FC236}">
                      <a16:creationId xmlns:a16="http://schemas.microsoft.com/office/drawing/2014/main" id="{00000000-0008-0000-0400-0000B0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153"/>
                  <a:ext cx="32" cy="1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57" name="Rectangle 411">
                  <a:extLst>
                    <a:ext uri="{FF2B5EF4-FFF2-40B4-BE49-F238E27FC236}">
                      <a16:creationId xmlns:a16="http://schemas.microsoft.com/office/drawing/2014/main" id="{00000000-0008-0000-0400-0000B1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474"/>
                  <a:ext cx="12" cy="12"/>
                </a:xfrm>
                <a:prstGeom prst="rect">
                  <a:avLst/>
                </a:prstGeom>
                <a:gradFill rotWithShape="0">
                  <a:gsLst>
                    <a:gs pos="0">
                      <a:srgbClr val="DCEBF5"/>
                    </a:gs>
                    <a:gs pos="8000">
                      <a:srgbClr val="83A7C3"/>
                    </a:gs>
                    <a:gs pos="13000">
                      <a:srgbClr val="768FB9"/>
                    </a:gs>
                    <a:gs pos="21001">
                      <a:srgbClr val="83A7C3"/>
                    </a:gs>
                    <a:gs pos="52000">
                      <a:srgbClr val="FFFFFF"/>
                    </a:gs>
                    <a:gs pos="56000">
                      <a:srgbClr val="9C6563"/>
                    </a:gs>
                    <a:gs pos="58000">
                      <a:srgbClr val="80302D"/>
                    </a:gs>
                    <a:gs pos="71001">
                      <a:srgbClr val="C0524E"/>
                    </a:gs>
                    <a:gs pos="94000">
                      <a:srgbClr val="EBDAD4"/>
                    </a:gs>
                    <a:gs pos="100000">
                      <a:srgbClr val="55261C"/>
                    </a:gs>
                  </a:gsLst>
                  <a:lin ang="5400000" scaled="1"/>
                </a:gra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</xdr:grpSp>
          <xdr:sp macro="" textlink="">
            <xdr:nvSpPr>
              <xdr:cNvPr id="1446" name="Rectangle 424">
                <a:extLst>
                  <a:ext uri="{FF2B5EF4-FFF2-40B4-BE49-F238E27FC236}">
                    <a16:creationId xmlns:a16="http://schemas.microsoft.com/office/drawing/2014/main" id="{00000000-0008-0000-0400-0000A605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962525" y="171450"/>
                <a:ext cx="152400" cy="552450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cxnSp macro="">
            <xdr:nvCxnSpPr>
              <xdr:cNvPr id="1447" name="10 Conector recto">
                <a:extLst>
                  <a:ext uri="{FF2B5EF4-FFF2-40B4-BE49-F238E27FC236}">
                    <a16:creationId xmlns:a16="http://schemas.microsoft.com/office/drawing/2014/main" id="{00000000-0008-0000-0400-0000A7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257800" y="171450"/>
                <a:ext cx="0" cy="161925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sp macro="" textlink="">
        <xdr:nvSpPr>
          <xdr:cNvPr id="1435" name="Rectangle 394">
            <a:extLst>
              <a:ext uri="{FF2B5EF4-FFF2-40B4-BE49-F238E27FC236}">
                <a16:creationId xmlns:a16="http://schemas.microsoft.com/office/drawing/2014/main" id="{00000000-0008-0000-0400-00009B050000}"/>
              </a:ext>
            </a:extLst>
          </xdr:cNvPr>
          <xdr:cNvSpPr>
            <a:spLocks noChangeArrowheads="1"/>
          </xdr:cNvSpPr>
        </xdr:nvSpPr>
        <xdr:spPr bwMode="auto">
          <a:xfrm>
            <a:off x="5362575" y="504825"/>
            <a:ext cx="19050" cy="571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436" name="Oval 395">
            <a:extLst>
              <a:ext uri="{FF2B5EF4-FFF2-40B4-BE49-F238E27FC236}">
                <a16:creationId xmlns:a16="http://schemas.microsoft.com/office/drawing/2014/main" id="{00000000-0008-0000-0400-00009C050000}"/>
              </a:ext>
            </a:extLst>
          </xdr:cNvPr>
          <xdr:cNvSpPr>
            <a:spLocks noChangeArrowheads="1"/>
          </xdr:cNvSpPr>
        </xdr:nvSpPr>
        <xdr:spPr bwMode="auto">
          <a:xfrm>
            <a:off x="5372100" y="533400"/>
            <a:ext cx="0" cy="19050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437" name="Rectangle 398">
            <a:extLst>
              <a:ext uri="{FF2B5EF4-FFF2-40B4-BE49-F238E27FC236}">
                <a16:creationId xmlns:a16="http://schemas.microsoft.com/office/drawing/2014/main" id="{00000000-0008-0000-0400-00009D050000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714375"/>
            <a:ext cx="19050" cy="9525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438" name="Rectangle 399">
            <a:extLst>
              <a:ext uri="{FF2B5EF4-FFF2-40B4-BE49-F238E27FC236}">
                <a16:creationId xmlns:a16="http://schemas.microsoft.com/office/drawing/2014/main" id="{00000000-0008-0000-0400-00009E050000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333375"/>
            <a:ext cx="19050" cy="9525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14</xdr:col>
      <xdr:colOff>38100</xdr:colOff>
      <xdr:row>2</xdr:row>
      <xdr:rowOff>266700</xdr:rowOff>
    </xdr:from>
    <xdr:to>
      <xdr:col>14</xdr:col>
      <xdr:colOff>673100</xdr:colOff>
      <xdr:row>2</xdr:row>
      <xdr:rowOff>838200</xdr:rowOff>
    </xdr:to>
    <xdr:grpSp>
      <xdr:nvGrpSpPr>
        <xdr:cNvPr id="1458" name="5 Grupo">
          <a:extLst>
            <a:ext uri="{FF2B5EF4-FFF2-40B4-BE49-F238E27FC236}">
              <a16:creationId xmlns:a16="http://schemas.microsoft.com/office/drawing/2014/main" id="{00000000-0008-0000-0400-0000B2050000}"/>
            </a:ext>
          </a:extLst>
        </xdr:cNvPr>
        <xdr:cNvGrpSpPr>
          <a:grpSpLocks/>
        </xdr:cNvGrpSpPr>
      </xdr:nvGrpSpPr>
      <xdr:grpSpPr bwMode="auto">
        <a:xfrm>
          <a:off x="10314214" y="1409700"/>
          <a:ext cx="612140" cy="571500"/>
          <a:chOff x="4962525" y="171450"/>
          <a:chExt cx="561975" cy="571500"/>
        </a:xfrm>
      </xdr:grpSpPr>
      <xdr:grpSp>
        <xdr:nvGrpSpPr>
          <xdr:cNvPr id="1459" name="2 Grupo">
            <a:extLst>
              <a:ext uri="{FF2B5EF4-FFF2-40B4-BE49-F238E27FC236}">
                <a16:creationId xmlns:a16="http://schemas.microsoft.com/office/drawing/2014/main" id="{00000000-0008-0000-0400-0000B3050000}"/>
              </a:ext>
            </a:extLst>
          </xdr:cNvPr>
          <xdr:cNvGrpSpPr>
            <a:grpSpLocks/>
          </xdr:cNvGrpSpPr>
        </xdr:nvGrpSpPr>
        <xdr:grpSpPr bwMode="auto">
          <a:xfrm>
            <a:off x="4962525" y="171450"/>
            <a:ext cx="561975" cy="571500"/>
            <a:chOff x="4962525" y="171450"/>
            <a:chExt cx="561975" cy="571500"/>
          </a:xfrm>
        </xdr:grpSpPr>
        <xdr:sp macro="" textlink="">
          <xdr:nvSpPr>
            <xdr:cNvPr id="1464" name="Rectangle 400">
              <a:extLst>
                <a:ext uri="{FF2B5EF4-FFF2-40B4-BE49-F238E27FC236}">
                  <a16:creationId xmlns:a16="http://schemas.microsoft.com/office/drawing/2014/main" id="{00000000-0008-0000-0400-0000B8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257800" y="723900"/>
              <a:ext cx="0" cy="19050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grpSp>
          <xdr:nvGrpSpPr>
            <xdr:cNvPr id="1465" name="1 Grupo">
              <a:extLst>
                <a:ext uri="{FF2B5EF4-FFF2-40B4-BE49-F238E27FC236}">
                  <a16:creationId xmlns:a16="http://schemas.microsoft.com/office/drawing/2014/main" id="{00000000-0008-0000-0400-0000B9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62525" y="171450"/>
              <a:ext cx="561975" cy="571500"/>
              <a:chOff x="4962525" y="171450"/>
              <a:chExt cx="561975" cy="571500"/>
            </a:xfrm>
          </xdr:grpSpPr>
          <xdr:sp macro="" textlink="">
            <xdr:nvSpPr>
              <xdr:cNvPr id="1466" name="Rectangle 423">
                <a:extLst>
                  <a:ext uri="{FF2B5EF4-FFF2-40B4-BE49-F238E27FC236}">
                    <a16:creationId xmlns:a16="http://schemas.microsoft.com/office/drawing/2014/main" id="{00000000-0008-0000-0400-0000BA05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114925" y="171450"/>
                <a:ext cx="409575" cy="552450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467" name="Rectangle 391">
                <a:extLst>
                  <a:ext uri="{FF2B5EF4-FFF2-40B4-BE49-F238E27FC236}">
                    <a16:creationId xmlns:a16="http://schemas.microsoft.com/office/drawing/2014/main" id="{00000000-0008-0000-0400-0000BB05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257800" y="333375"/>
                <a:ext cx="133350" cy="390525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468" name="Line 392">
                <a:extLst>
                  <a:ext uri="{FF2B5EF4-FFF2-40B4-BE49-F238E27FC236}">
                    <a16:creationId xmlns:a16="http://schemas.microsoft.com/office/drawing/2014/main" id="{00000000-0008-0000-0400-0000BC05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264943" y="333375"/>
                <a:ext cx="133350" cy="1905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469" name="Line 393">
                <a:extLst>
                  <a:ext uri="{FF2B5EF4-FFF2-40B4-BE49-F238E27FC236}">
                    <a16:creationId xmlns:a16="http://schemas.microsoft.com/office/drawing/2014/main" id="{00000000-0008-0000-0400-0000BD05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57800" y="533400"/>
                <a:ext cx="133350" cy="1905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grpSp>
            <xdr:nvGrpSpPr>
              <xdr:cNvPr id="1470" name="Group 401">
                <a:extLst>
                  <a:ext uri="{FF2B5EF4-FFF2-40B4-BE49-F238E27FC236}">
                    <a16:creationId xmlns:a16="http://schemas.microsoft.com/office/drawing/2014/main" id="{00000000-0008-0000-0400-0000BE050000}"/>
                  </a:ext>
                </a:extLst>
              </xdr:cNvPr>
              <xdr:cNvGrpSpPr>
                <a:grpSpLocks/>
              </xdr:cNvGrpSpPr>
            </xdr:nvGrpSpPr>
            <xdr:grpSpPr bwMode="auto">
              <a:xfrm flipH="1">
                <a:off x="5391150" y="333375"/>
                <a:ext cx="133350" cy="409575"/>
                <a:chOff x="333" y="153"/>
                <a:chExt cx="219" cy="333"/>
              </a:xfrm>
            </xdr:grpSpPr>
            <xdr:sp macro="" textlink="">
              <xdr:nvSpPr>
                <xdr:cNvPr id="1473" name="Rectangle 402">
                  <a:extLst>
                    <a:ext uri="{FF2B5EF4-FFF2-40B4-BE49-F238E27FC236}">
                      <a16:creationId xmlns:a16="http://schemas.microsoft.com/office/drawing/2014/main" id="{00000000-0008-0000-0400-0000C1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153"/>
                  <a:ext cx="218" cy="31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74" name="Line 403">
                  <a:extLst>
                    <a:ext uri="{FF2B5EF4-FFF2-40B4-BE49-F238E27FC236}">
                      <a16:creationId xmlns:a16="http://schemas.microsoft.com/office/drawing/2014/main" id="{00000000-0008-0000-0400-0000C205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33" y="153"/>
                  <a:ext cx="218" cy="15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75" name="Line 404">
                  <a:extLst>
                    <a:ext uri="{FF2B5EF4-FFF2-40B4-BE49-F238E27FC236}">
                      <a16:creationId xmlns:a16="http://schemas.microsoft.com/office/drawing/2014/main" id="{00000000-0008-0000-0400-0000C305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333" y="314"/>
                  <a:ext cx="216" cy="15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76" name="Rectangle 405">
                  <a:extLst>
                    <a:ext uri="{FF2B5EF4-FFF2-40B4-BE49-F238E27FC236}">
                      <a16:creationId xmlns:a16="http://schemas.microsoft.com/office/drawing/2014/main" id="{00000000-0008-0000-0400-0000C4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08" y="291"/>
                  <a:ext cx="23" cy="4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77" name="Oval 406">
                  <a:extLst>
                    <a:ext uri="{FF2B5EF4-FFF2-40B4-BE49-F238E27FC236}">
                      <a16:creationId xmlns:a16="http://schemas.microsoft.com/office/drawing/2014/main" id="{00000000-0008-0000-0400-0000C5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5" y="320"/>
                  <a:ext cx="8" cy="8"/>
                </a:xfrm>
                <a:prstGeom prst="ellipse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78" name="Oval 407">
                  <a:extLst>
                    <a:ext uri="{FF2B5EF4-FFF2-40B4-BE49-F238E27FC236}">
                      <a16:creationId xmlns:a16="http://schemas.microsoft.com/office/drawing/2014/main" id="{00000000-0008-0000-0400-0000C6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5" y="301"/>
                  <a:ext cx="8" cy="8"/>
                </a:xfrm>
                <a:prstGeom prst="ellipse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79" name="Rectangle 408">
                  <a:extLst>
                    <a:ext uri="{FF2B5EF4-FFF2-40B4-BE49-F238E27FC236}">
                      <a16:creationId xmlns:a16="http://schemas.microsoft.com/office/drawing/2014/main" id="{00000000-0008-0000-0400-0000C7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44" y="302"/>
                  <a:ext cx="8" cy="2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80" name="Rectangle 409">
                  <a:extLst>
                    <a:ext uri="{FF2B5EF4-FFF2-40B4-BE49-F238E27FC236}">
                      <a16:creationId xmlns:a16="http://schemas.microsoft.com/office/drawing/2014/main" id="{00000000-0008-0000-0400-0000C8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4" y="460"/>
                  <a:ext cx="32" cy="1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81" name="Rectangle 410">
                  <a:extLst>
                    <a:ext uri="{FF2B5EF4-FFF2-40B4-BE49-F238E27FC236}">
                      <a16:creationId xmlns:a16="http://schemas.microsoft.com/office/drawing/2014/main" id="{00000000-0008-0000-0400-0000C9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153"/>
                  <a:ext cx="32" cy="1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82" name="Rectangle 411">
                  <a:extLst>
                    <a:ext uri="{FF2B5EF4-FFF2-40B4-BE49-F238E27FC236}">
                      <a16:creationId xmlns:a16="http://schemas.microsoft.com/office/drawing/2014/main" id="{00000000-0008-0000-0400-0000CA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474"/>
                  <a:ext cx="12" cy="12"/>
                </a:xfrm>
                <a:prstGeom prst="rect">
                  <a:avLst/>
                </a:prstGeom>
                <a:gradFill rotWithShape="0">
                  <a:gsLst>
                    <a:gs pos="0">
                      <a:srgbClr val="DCEBF5"/>
                    </a:gs>
                    <a:gs pos="8000">
                      <a:srgbClr val="83A7C3"/>
                    </a:gs>
                    <a:gs pos="13000">
                      <a:srgbClr val="768FB9"/>
                    </a:gs>
                    <a:gs pos="21001">
                      <a:srgbClr val="83A7C3"/>
                    </a:gs>
                    <a:gs pos="52000">
                      <a:srgbClr val="FFFFFF"/>
                    </a:gs>
                    <a:gs pos="56000">
                      <a:srgbClr val="9C6563"/>
                    </a:gs>
                    <a:gs pos="58000">
                      <a:srgbClr val="80302D"/>
                    </a:gs>
                    <a:gs pos="71001">
                      <a:srgbClr val="C0524E"/>
                    </a:gs>
                    <a:gs pos="94000">
                      <a:srgbClr val="EBDAD4"/>
                    </a:gs>
                    <a:gs pos="100000">
                      <a:srgbClr val="55261C"/>
                    </a:gs>
                  </a:gsLst>
                  <a:lin ang="5400000" scaled="1"/>
                </a:gra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</xdr:grpSp>
          <xdr:sp macro="" textlink="">
            <xdr:nvSpPr>
              <xdr:cNvPr id="1471" name="Rectangle 424">
                <a:extLst>
                  <a:ext uri="{FF2B5EF4-FFF2-40B4-BE49-F238E27FC236}">
                    <a16:creationId xmlns:a16="http://schemas.microsoft.com/office/drawing/2014/main" id="{00000000-0008-0000-0400-0000BF05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962525" y="171450"/>
                <a:ext cx="152400" cy="552450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cxnSp macro="">
            <xdr:nvCxnSpPr>
              <xdr:cNvPr id="1472" name="10 Conector recto">
                <a:extLst>
                  <a:ext uri="{FF2B5EF4-FFF2-40B4-BE49-F238E27FC236}">
                    <a16:creationId xmlns:a16="http://schemas.microsoft.com/office/drawing/2014/main" id="{00000000-0008-0000-0400-0000C0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257800" y="171450"/>
                <a:ext cx="0" cy="161925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sp macro="" textlink="">
        <xdr:nvSpPr>
          <xdr:cNvPr id="1460" name="Rectangle 394">
            <a:extLst>
              <a:ext uri="{FF2B5EF4-FFF2-40B4-BE49-F238E27FC236}">
                <a16:creationId xmlns:a16="http://schemas.microsoft.com/office/drawing/2014/main" id="{00000000-0008-0000-0400-0000B4050000}"/>
              </a:ext>
            </a:extLst>
          </xdr:cNvPr>
          <xdr:cNvSpPr>
            <a:spLocks noChangeArrowheads="1"/>
          </xdr:cNvSpPr>
        </xdr:nvSpPr>
        <xdr:spPr bwMode="auto">
          <a:xfrm>
            <a:off x="5362575" y="504825"/>
            <a:ext cx="19050" cy="571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461" name="Oval 395">
            <a:extLst>
              <a:ext uri="{FF2B5EF4-FFF2-40B4-BE49-F238E27FC236}">
                <a16:creationId xmlns:a16="http://schemas.microsoft.com/office/drawing/2014/main" id="{00000000-0008-0000-0400-0000B5050000}"/>
              </a:ext>
            </a:extLst>
          </xdr:cNvPr>
          <xdr:cNvSpPr>
            <a:spLocks noChangeArrowheads="1"/>
          </xdr:cNvSpPr>
        </xdr:nvSpPr>
        <xdr:spPr bwMode="auto">
          <a:xfrm>
            <a:off x="5372100" y="533400"/>
            <a:ext cx="0" cy="19050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462" name="Rectangle 398">
            <a:extLst>
              <a:ext uri="{FF2B5EF4-FFF2-40B4-BE49-F238E27FC236}">
                <a16:creationId xmlns:a16="http://schemas.microsoft.com/office/drawing/2014/main" id="{00000000-0008-0000-0400-0000B6050000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714375"/>
            <a:ext cx="19050" cy="9525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463" name="Rectangle 399">
            <a:extLst>
              <a:ext uri="{FF2B5EF4-FFF2-40B4-BE49-F238E27FC236}">
                <a16:creationId xmlns:a16="http://schemas.microsoft.com/office/drawing/2014/main" id="{00000000-0008-0000-0400-0000B7050000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333375"/>
            <a:ext cx="19050" cy="9525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15</xdr:col>
      <xdr:colOff>38100</xdr:colOff>
      <xdr:row>2</xdr:row>
      <xdr:rowOff>266700</xdr:rowOff>
    </xdr:from>
    <xdr:to>
      <xdr:col>15</xdr:col>
      <xdr:colOff>673100</xdr:colOff>
      <xdr:row>2</xdr:row>
      <xdr:rowOff>838200</xdr:rowOff>
    </xdr:to>
    <xdr:grpSp>
      <xdr:nvGrpSpPr>
        <xdr:cNvPr id="1483" name="5 Grupo">
          <a:extLst>
            <a:ext uri="{FF2B5EF4-FFF2-40B4-BE49-F238E27FC236}">
              <a16:creationId xmlns:a16="http://schemas.microsoft.com/office/drawing/2014/main" id="{00000000-0008-0000-0400-0000CB050000}"/>
            </a:ext>
          </a:extLst>
        </xdr:cNvPr>
        <xdr:cNvGrpSpPr>
          <a:grpSpLocks/>
        </xdr:cNvGrpSpPr>
      </xdr:nvGrpSpPr>
      <xdr:grpSpPr bwMode="auto">
        <a:xfrm>
          <a:off x="10967357" y="1409700"/>
          <a:ext cx="612140" cy="571500"/>
          <a:chOff x="4962525" y="171450"/>
          <a:chExt cx="561975" cy="571500"/>
        </a:xfrm>
      </xdr:grpSpPr>
      <xdr:grpSp>
        <xdr:nvGrpSpPr>
          <xdr:cNvPr id="1484" name="2 Grupo">
            <a:extLst>
              <a:ext uri="{FF2B5EF4-FFF2-40B4-BE49-F238E27FC236}">
                <a16:creationId xmlns:a16="http://schemas.microsoft.com/office/drawing/2014/main" id="{00000000-0008-0000-0400-0000CC050000}"/>
              </a:ext>
            </a:extLst>
          </xdr:cNvPr>
          <xdr:cNvGrpSpPr>
            <a:grpSpLocks/>
          </xdr:cNvGrpSpPr>
        </xdr:nvGrpSpPr>
        <xdr:grpSpPr bwMode="auto">
          <a:xfrm>
            <a:off x="4962525" y="171450"/>
            <a:ext cx="561975" cy="571500"/>
            <a:chOff x="4962525" y="171450"/>
            <a:chExt cx="561975" cy="571500"/>
          </a:xfrm>
        </xdr:grpSpPr>
        <xdr:sp macro="" textlink="">
          <xdr:nvSpPr>
            <xdr:cNvPr id="1489" name="Rectangle 400">
              <a:extLst>
                <a:ext uri="{FF2B5EF4-FFF2-40B4-BE49-F238E27FC236}">
                  <a16:creationId xmlns:a16="http://schemas.microsoft.com/office/drawing/2014/main" id="{00000000-0008-0000-0400-0000D1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257800" y="723900"/>
              <a:ext cx="0" cy="19050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grpSp>
          <xdr:nvGrpSpPr>
            <xdr:cNvPr id="1490" name="1 Grupo">
              <a:extLst>
                <a:ext uri="{FF2B5EF4-FFF2-40B4-BE49-F238E27FC236}">
                  <a16:creationId xmlns:a16="http://schemas.microsoft.com/office/drawing/2014/main" id="{00000000-0008-0000-0400-0000D2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62525" y="171450"/>
              <a:ext cx="561975" cy="571500"/>
              <a:chOff x="4962525" y="171450"/>
              <a:chExt cx="561975" cy="571500"/>
            </a:xfrm>
          </xdr:grpSpPr>
          <xdr:sp macro="" textlink="">
            <xdr:nvSpPr>
              <xdr:cNvPr id="1491" name="Rectangle 423">
                <a:extLst>
                  <a:ext uri="{FF2B5EF4-FFF2-40B4-BE49-F238E27FC236}">
                    <a16:creationId xmlns:a16="http://schemas.microsoft.com/office/drawing/2014/main" id="{00000000-0008-0000-0400-0000D305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114925" y="171450"/>
                <a:ext cx="409575" cy="552450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492" name="Rectangle 391">
                <a:extLst>
                  <a:ext uri="{FF2B5EF4-FFF2-40B4-BE49-F238E27FC236}">
                    <a16:creationId xmlns:a16="http://schemas.microsoft.com/office/drawing/2014/main" id="{00000000-0008-0000-0400-0000D405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257800" y="333375"/>
                <a:ext cx="133350" cy="390525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493" name="Line 392">
                <a:extLst>
                  <a:ext uri="{FF2B5EF4-FFF2-40B4-BE49-F238E27FC236}">
                    <a16:creationId xmlns:a16="http://schemas.microsoft.com/office/drawing/2014/main" id="{00000000-0008-0000-0400-0000D505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264943" y="333375"/>
                <a:ext cx="133350" cy="1905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494" name="Line 393">
                <a:extLst>
                  <a:ext uri="{FF2B5EF4-FFF2-40B4-BE49-F238E27FC236}">
                    <a16:creationId xmlns:a16="http://schemas.microsoft.com/office/drawing/2014/main" id="{00000000-0008-0000-0400-0000D605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57800" y="533400"/>
                <a:ext cx="133350" cy="1905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grpSp>
            <xdr:nvGrpSpPr>
              <xdr:cNvPr id="1495" name="Group 401">
                <a:extLst>
                  <a:ext uri="{FF2B5EF4-FFF2-40B4-BE49-F238E27FC236}">
                    <a16:creationId xmlns:a16="http://schemas.microsoft.com/office/drawing/2014/main" id="{00000000-0008-0000-0400-0000D7050000}"/>
                  </a:ext>
                </a:extLst>
              </xdr:cNvPr>
              <xdr:cNvGrpSpPr>
                <a:grpSpLocks/>
              </xdr:cNvGrpSpPr>
            </xdr:nvGrpSpPr>
            <xdr:grpSpPr bwMode="auto">
              <a:xfrm flipH="1">
                <a:off x="5391150" y="333375"/>
                <a:ext cx="133350" cy="409575"/>
                <a:chOff x="333" y="153"/>
                <a:chExt cx="219" cy="333"/>
              </a:xfrm>
            </xdr:grpSpPr>
            <xdr:sp macro="" textlink="">
              <xdr:nvSpPr>
                <xdr:cNvPr id="1498" name="Rectangle 402">
                  <a:extLst>
                    <a:ext uri="{FF2B5EF4-FFF2-40B4-BE49-F238E27FC236}">
                      <a16:creationId xmlns:a16="http://schemas.microsoft.com/office/drawing/2014/main" id="{00000000-0008-0000-0400-0000DA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153"/>
                  <a:ext cx="218" cy="31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99" name="Line 403">
                  <a:extLst>
                    <a:ext uri="{FF2B5EF4-FFF2-40B4-BE49-F238E27FC236}">
                      <a16:creationId xmlns:a16="http://schemas.microsoft.com/office/drawing/2014/main" id="{00000000-0008-0000-0400-0000DB05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33" y="153"/>
                  <a:ext cx="218" cy="15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00" name="Line 404">
                  <a:extLst>
                    <a:ext uri="{FF2B5EF4-FFF2-40B4-BE49-F238E27FC236}">
                      <a16:creationId xmlns:a16="http://schemas.microsoft.com/office/drawing/2014/main" id="{00000000-0008-0000-0400-0000DC05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333" y="314"/>
                  <a:ext cx="216" cy="15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01" name="Rectangle 405">
                  <a:extLst>
                    <a:ext uri="{FF2B5EF4-FFF2-40B4-BE49-F238E27FC236}">
                      <a16:creationId xmlns:a16="http://schemas.microsoft.com/office/drawing/2014/main" id="{00000000-0008-0000-0400-0000DD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08" y="291"/>
                  <a:ext cx="23" cy="4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02" name="Oval 406">
                  <a:extLst>
                    <a:ext uri="{FF2B5EF4-FFF2-40B4-BE49-F238E27FC236}">
                      <a16:creationId xmlns:a16="http://schemas.microsoft.com/office/drawing/2014/main" id="{00000000-0008-0000-0400-0000DE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5" y="320"/>
                  <a:ext cx="8" cy="8"/>
                </a:xfrm>
                <a:prstGeom prst="ellipse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03" name="Oval 407">
                  <a:extLst>
                    <a:ext uri="{FF2B5EF4-FFF2-40B4-BE49-F238E27FC236}">
                      <a16:creationId xmlns:a16="http://schemas.microsoft.com/office/drawing/2014/main" id="{00000000-0008-0000-0400-0000DF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5" y="301"/>
                  <a:ext cx="8" cy="8"/>
                </a:xfrm>
                <a:prstGeom prst="ellipse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04" name="Rectangle 408">
                  <a:extLst>
                    <a:ext uri="{FF2B5EF4-FFF2-40B4-BE49-F238E27FC236}">
                      <a16:creationId xmlns:a16="http://schemas.microsoft.com/office/drawing/2014/main" id="{00000000-0008-0000-0400-0000E0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44" y="302"/>
                  <a:ext cx="8" cy="2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05" name="Rectangle 409">
                  <a:extLst>
                    <a:ext uri="{FF2B5EF4-FFF2-40B4-BE49-F238E27FC236}">
                      <a16:creationId xmlns:a16="http://schemas.microsoft.com/office/drawing/2014/main" id="{00000000-0008-0000-0400-0000E1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4" y="460"/>
                  <a:ext cx="32" cy="1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06" name="Rectangle 410">
                  <a:extLst>
                    <a:ext uri="{FF2B5EF4-FFF2-40B4-BE49-F238E27FC236}">
                      <a16:creationId xmlns:a16="http://schemas.microsoft.com/office/drawing/2014/main" id="{00000000-0008-0000-0400-0000E2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153"/>
                  <a:ext cx="32" cy="1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07" name="Rectangle 411">
                  <a:extLst>
                    <a:ext uri="{FF2B5EF4-FFF2-40B4-BE49-F238E27FC236}">
                      <a16:creationId xmlns:a16="http://schemas.microsoft.com/office/drawing/2014/main" id="{00000000-0008-0000-0400-0000E3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474"/>
                  <a:ext cx="12" cy="12"/>
                </a:xfrm>
                <a:prstGeom prst="rect">
                  <a:avLst/>
                </a:prstGeom>
                <a:gradFill rotWithShape="0">
                  <a:gsLst>
                    <a:gs pos="0">
                      <a:srgbClr val="DCEBF5"/>
                    </a:gs>
                    <a:gs pos="8000">
                      <a:srgbClr val="83A7C3"/>
                    </a:gs>
                    <a:gs pos="13000">
                      <a:srgbClr val="768FB9"/>
                    </a:gs>
                    <a:gs pos="21001">
                      <a:srgbClr val="83A7C3"/>
                    </a:gs>
                    <a:gs pos="52000">
                      <a:srgbClr val="FFFFFF"/>
                    </a:gs>
                    <a:gs pos="56000">
                      <a:srgbClr val="9C6563"/>
                    </a:gs>
                    <a:gs pos="58000">
                      <a:srgbClr val="80302D"/>
                    </a:gs>
                    <a:gs pos="71001">
                      <a:srgbClr val="C0524E"/>
                    </a:gs>
                    <a:gs pos="94000">
                      <a:srgbClr val="EBDAD4"/>
                    </a:gs>
                    <a:gs pos="100000">
                      <a:srgbClr val="55261C"/>
                    </a:gs>
                  </a:gsLst>
                  <a:lin ang="5400000" scaled="1"/>
                </a:gra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</xdr:grpSp>
          <xdr:sp macro="" textlink="">
            <xdr:nvSpPr>
              <xdr:cNvPr id="1496" name="Rectangle 424">
                <a:extLst>
                  <a:ext uri="{FF2B5EF4-FFF2-40B4-BE49-F238E27FC236}">
                    <a16:creationId xmlns:a16="http://schemas.microsoft.com/office/drawing/2014/main" id="{00000000-0008-0000-0400-0000D805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962525" y="171450"/>
                <a:ext cx="152400" cy="552450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cxnSp macro="">
            <xdr:nvCxnSpPr>
              <xdr:cNvPr id="1497" name="10 Conector recto">
                <a:extLst>
                  <a:ext uri="{FF2B5EF4-FFF2-40B4-BE49-F238E27FC236}">
                    <a16:creationId xmlns:a16="http://schemas.microsoft.com/office/drawing/2014/main" id="{00000000-0008-0000-0400-0000D9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257800" y="171450"/>
                <a:ext cx="0" cy="161925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sp macro="" textlink="">
        <xdr:nvSpPr>
          <xdr:cNvPr id="1485" name="Rectangle 394">
            <a:extLst>
              <a:ext uri="{FF2B5EF4-FFF2-40B4-BE49-F238E27FC236}">
                <a16:creationId xmlns:a16="http://schemas.microsoft.com/office/drawing/2014/main" id="{00000000-0008-0000-0400-0000CD050000}"/>
              </a:ext>
            </a:extLst>
          </xdr:cNvPr>
          <xdr:cNvSpPr>
            <a:spLocks noChangeArrowheads="1"/>
          </xdr:cNvSpPr>
        </xdr:nvSpPr>
        <xdr:spPr bwMode="auto">
          <a:xfrm>
            <a:off x="5362575" y="504825"/>
            <a:ext cx="19050" cy="571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486" name="Oval 395">
            <a:extLst>
              <a:ext uri="{FF2B5EF4-FFF2-40B4-BE49-F238E27FC236}">
                <a16:creationId xmlns:a16="http://schemas.microsoft.com/office/drawing/2014/main" id="{00000000-0008-0000-0400-0000CE050000}"/>
              </a:ext>
            </a:extLst>
          </xdr:cNvPr>
          <xdr:cNvSpPr>
            <a:spLocks noChangeArrowheads="1"/>
          </xdr:cNvSpPr>
        </xdr:nvSpPr>
        <xdr:spPr bwMode="auto">
          <a:xfrm>
            <a:off x="5372100" y="533400"/>
            <a:ext cx="0" cy="19050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487" name="Rectangle 398">
            <a:extLst>
              <a:ext uri="{FF2B5EF4-FFF2-40B4-BE49-F238E27FC236}">
                <a16:creationId xmlns:a16="http://schemas.microsoft.com/office/drawing/2014/main" id="{00000000-0008-0000-0400-0000CF050000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714375"/>
            <a:ext cx="19050" cy="9525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488" name="Rectangle 399">
            <a:extLst>
              <a:ext uri="{FF2B5EF4-FFF2-40B4-BE49-F238E27FC236}">
                <a16:creationId xmlns:a16="http://schemas.microsoft.com/office/drawing/2014/main" id="{00000000-0008-0000-0400-0000D0050000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333375"/>
            <a:ext cx="19050" cy="9525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16</xdr:col>
      <xdr:colOff>38100</xdr:colOff>
      <xdr:row>2</xdr:row>
      <xdr:rowOff>266700</xdr:rowOff>
    </xdr:from>
    <xdr:to>
      <xdr:col>16</xdr:col>
      <xdr:colOff>673100</xdr:colOff>
      <xdr:row>2</xdr:row>
      <xdr:rowOff>838200</xdr:rowOff>
    </xdr:to>
    <xdr:grpSp>
      <xdr:nvGrpSpPr>
        <xdr:cNvPr id="1508" name="5 Grupo">
          <a:extLst>
            <a:ext uri="{FF2B5EF4-FFF2-40B4-BE49-F238E27FC236}">
              <a16:creationId xmlns:a16="http://schemas.microsoft.com/office/drawing/2014/main" id="{00000000-0008-0000-0400-0000E4050000}"/>
            </a:ext>
          </a:extLst>
        </xdr:cNvPr>
        <xdr:cNvGrpSpPr>
          <a:grpSpLocks/>
        </xdr:cNvGrpSpPr>
      </xdr:nvGrpSpPr>
      <xdr:grpSpPr bwMode="auto">
        <a:xfrm>
          <a:off x="11620500" y="1409700"/>
          <a:ext cx="612140" cy="571500"/>
          <a:chOff x="4962525" y="171450"/>
          <a:chExt cx="561975" cy="571500"/>
        </a:xfrm>
      </xdr:grpSpPr>
      <xdr:grpSp>
        <xdr:nvGrpSpPr>
          <xdr:cNvPr id="1509" name="2 Grupo">
            <a:extLst>
              <a:ext uri="{FF2B5EF4-FFF2-40B4-BE49-F238E27FC236}">
                <a16:creationId xmlns:a16="http://schemas.microsoft.com/office/drawing/2014/main" id="{00000000-0008-0000-0400-0000E5050000}"/>
              </a:ext>
            </a:extLst>
          </xdr:cNvPr>
          <xdr:cNvGrpSpPr>
            <a:grpSpLocks/>
          </xdr:cNvGrpSpPr>
        </xdr:nvGrpSpPr>
        <xdr:grpSpPr bwMode="auto">
          <a:xfrm>
            <a:off x="4962525" y="171450"/>
            <a:ext cx="561975" cy="571500"/>
            <a:chOff x="4962525" y="171450"/>
            <a:chExt cx="561975" cy="571500"/>
          </a:xfrm>
        </xdr:grpSpPr>
        <xdr:sp macro="" textlink="">
          <xdr:nvSpPr>
            <xdr:cNvPr id="1514" name="Rectangle 400">
              <a:extLst>
                <a:ext uri="{FF2B5EF4-FFF2-40B4-BE49-F238E27FC236}">
                  <a16:creationId xmlns:a16="http://schemas.microsoft.com/office/drawing/2014/main" id="{00000000-0008-0000-0400-0000EA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257800" y="723900"/>
              <a:ext cx="0" cy="19050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grpSp>
          <xdr:nvGrpSpPr>
            <xdr:cNvPr id="1515" name="1 Grupo">
              <a:extLst>
                <a:ext uri="{FF2B5EF4-FFF2-40B4-BE49-F238E27FC236}">
                  <a16:creationId xmlns:a16="http://schemas.microsoft.com/office/drawing/2014/main" id="{00000000-0008-0000-0400-0000EB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62525" y="171450"/>
              <a:ext cx="561975" cy="571500"/>
              <a:chOff x="4962525" y="171450"/>
              <a:chExt cx="561975" cy="571500"/>
            </a:xfrm>
          </xdr:grpSpPr>
          <xdr:sp macro="" textlink="">
            <xdr:nvSpPr>
              <xdr:cNvPr id="1516" name="Rectangle 423">
                <a:extLst>
                  <a:ext uri="{FF2B5EF4-FFF2-40B4-BE49-F238E27FC236}">
                    <a16:creationId xmlns:a16="http://schemas.microsoft.com/office/drawing/2014/main" id="{00000000-0008-0000-0400-0000EC05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114925" y="171450"/>
                <a:ext cx="409575" cy="552450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517" name="Rectangle 391">
                <a:extLst>
                  <a:ext uri="{FF2B5EF4-FFF2-40B4-BE49-F238E27FC236}">
                    <a16:creationId xmlns:a16="http://schemas.microsoft.com/office/drawing/2014/main" id="{00000000-0008-0000-0400-0000ED05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257800" y="333375"/>
                <a:ext cx="133350" cy="390525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518" name="Line 392">
                <a:extLst>
                  <a:ext uri="{FF2B5EF4-FFF2-40B4-BE49-F238E27FC236}">
                    <a16:creationId xmlns:a16="http://schemas.microsoft.com/office/drawing/2014/main" id="{00000000-0008-0000-0400-0000EE05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264943" y="333375"/>
                <a:ext cx="133350" cy="1905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519" name="Line 393">
                <a:extLst>
                  <a:ext uri="{FF2B5EF4-FFF2-40B4-BE49-F238E27FC236}">
                    <a16:creationId xmlns:a16="http://schemas.microsoft.com/office/drawing/2014/main" id="{00000000-0008-0000-0400-0000EF05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57800" y="533400"/>
                <a:ext cx="133350" cy="1905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grpSp>
            <xdr:nvGrpSpPr>
              <xdr:cNvPr id="1520" name="Group 401">
                <a:extLst>
                  <a:ext uri="{FF2B5EF4-FFF2-40B4-BE49-F238E27FC236}">
                    <a16:creationId xmlns:a16="http://schemas.microsoft.com/office/drawing/2014/main" id="{00000000-0008-0000-0400-0000F0050000}"/>
                  </a:ext>
                </a:extLst>
              </xdr:cNvPr>
              <xdr:cNvGrpSpPr>
                <a:grpSpLocks/>
              </xdr:cNvGrpSpPr>
            </xdr:nvGrpSpPr>
            <xdr:grpSpPr bwMode="auto">
              <a:xfrm flipH="1">
                <a:off x="5391150" y="333375"/>
                <a:ext cx="133350" cy="409575"/>
                <a:chOff x="333" y="153"/>
                <a:chExt cx="219" cy="333"/>
              </a:xfrm>
            </xdr:grpSpPr>
            <xdr:sp macro="" textlink="">
              <xdr:nvSpPr>
                <xdr:cNvPr id="1523" name="Rectangle 402">
                  <a:extLst>
                    <a:ext uri="{FF2B5EF4-FFF2-40B4-BE49-F238E27FC236}">
                      <a16:creationId xmlns:a16="http://schemas.microsoft.com/office/drawing/2014/main" id="{00000000-0008-0000-0400-0000F3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153"/>
                  <a:ext cx="218" cy="31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24" name="Line 403">
                  <a:extLst>
                    <a:ext uri="{FF2B5EF4-FFF2-40B4-BE49-F238E27FC236}">
                      <a16:creationId xmlns:a16="http://schemas.microsoft.com/office/drawing/2014/main" id="{00000000-0008-0000-0400-0000F405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33" y="153"/>
                  <a:ext cx="218" cy="15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25" name="Line 404">
                  <a:extLst>
                    <a:ext uri="{FF2B5EF4-FFF2-40B4-BE49-F238E27FC236}">
                      <a16:creationId xmlns:a16="http://schemas.microsoft.com/office/drawing/2014/main" id="{00000000-0008-0000-0400-0000F505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333" y="314"/>
                  <a:ext cx="216" cy="15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26" name="Rectangle 405">
                  <a:extLst>
                    <a:ext uri="{FF2B5EF4-FFF2-40B4-BE49-F238E27FC236}">
                      <a16:creationId xmlns:a16="http://schemas.microsoft.com/office/drawing/2014/main" id="{00000000-0008-0000-0400-0000F6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08" y="291"/>
                  <a:ext cx="23" cy="4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27" name="Oval 406">
                  <a:extLst>
                    <a:ext uri="{FF2B5EF4-FFF2-40B4-BE49-F238E27FC236}">
                      <a16:creationId xmlns:a16="http://schemas.microsoft.com/office/drawing/2014/main" id="{00000000-0008-0000-0400-0000F7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5" y="320"/>
                  <a:ext cx="8" cy="8"/>
                </a:xfrm>
                <a:prstGeom prst="ellipse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28" name="Oval 407">
                  <a:extLst>
                    <a:ext uri="{FF2B5EF4-FFF2-40B4-BE49-F238E27FC236}">
                      <a16:creationId xmlns:a16="http://schemas.microsoft.com/office/drawing/2014/main" id="{00000000-0008-0000-0400-0000F8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5" y="301"/>
                  <a:ext cx="8" cy="8"/>
                </a:xfrm>
                <a:prstGeom prst="ellipse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29" name="Rectangle 408">
                  <a:extLst>
                    <a:ext uri="{FF2B5EF4-FFF2-40B4-BE49-F238E27FC236}">
                      <a16:creationId xmlns:a16="http://schemas.microsoft.com/office/drawing/2014/main" id="{00000000-0008-0000-0400-0000F9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44" y="302"/>
                  <a:ext cx="8" cy="2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30" name="Rectangle 409">
                  <a:extLst>
                    <a:ext uri="{FF2B5EF4-FFF2-40B4-BE49-F238E27FC236}">
                      <a16:creationId xmlns:a16="http://schemas.microsoft.com/office/drawing/2014/main" id="{00000000-0008-0000-0400-0000FA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4" y="460"/>
                  <a:ext cx="32" cy="1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31" name="Rectangle 410">
                  <a:extLst>
                    <a:ext uri="{FF2B5EF4-FFF2-40B4-BE49-F238E27FC236}">
                      <a16:creationId xmlns:a16="http://schemas.microsoft.com/office/drawing/2014/main" id="{00000000-0008-0000-0400-0000FB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153"/>
                  <a:ext cx="32" cy="1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32" name="Rectangle 411">
                  <a:extLst>
                    <a:ext uri="{FF2B5EF4-FFF2-40B4-BE49-F238E27FC236}">
                      <a16:creationId xmlns:a16="http://schemas.microsoft.com/office/drawing/2014/main" id="{00000000-0008-0000-0400-0000FC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474"/>
                  <a:ext cx="12" cy="12"/>
                </a:xfrm>
                <a:prstGeom prst="rect">
                  <a:avLst/>
                </a:prstGeom>
                <a:gradFill rotWithShape="0">
                  <a:gsLst>
                    <a:gs pos="0">
                      <a:srgbClr val="DCEBF5"/>
                    </a:gs>
                    <a:gs pos="8000">
                      <a:srgbClr val="83A7C3"/>
                    </a:gs>
                    <a:gs pos="13000">
                      <a:srgbClr val="768FB9"/>
                    </a:gs>
                    <a:gs pos="21001">
                      <a:srgbClr val="83A7C3"/>
                    </a:gs>
                    <a:gs pos="52000">
                      <a:srgbClr val="FFFFFF"/>
                    </a:gs>
                    <a:gs pos="56000">
                      <a:srgbClr val="9C6563"/>
                    </a:gs>
                    <a:gs pos="58000">
                      <a:srgbClr val="80302D"/>
                    </a:gs>
                    <a:gs pos="71001">
                      <a:srgbClr val="C0524E"/>
                    </a:gs>
                    <a:gs pos="94000">
                      <a:srgbClr val="EBDAD4"/>
                    </a:gs>
                    <a:gs pos="100000">
                      <a:srgbClr val="55261C"/>
                    </a:gs>
                  </a:gsLst>
                  <a:lin ang="5400000" scaled="1"/>
                </a:gra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</xdr:grpSp>
          <xdr:sp macro="" textlink="">
            <xdr:nvSpPr>
              <xdr:cNvPr id="1521" name="Rectangle 424">
                <a:extLst>
                  <a:ext uri="{FF2B5EF4-FFF2-40B4-BE49-F238E27FC236}">
                    <a16:creationId xmlns:a16="http://schemas.microsoft.com/office/drawing/2014/main" id="{00000000-0008-0000-0400-0000F105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962525" y="171450"/>
                <a:ext cx="152400" cy="552450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cxnSp macro="">
            <xdr:nvCxnSpPr>
              <xdr:cNvPr id="1522" name="10 Conector recto">
                <a:extLst>
                  <a:ext uri="{FF2B5EF4-FFF2-40B4-BE49-F238E27FC236}">
                    <a16:creationId xmlns:a16="http://schemas.microsoft.com/office/drawing/2014/main" id="{00000000-0008-0000-0400-0000F2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257800" y="171450"/>
                <a:ext cx="0" cy="161925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sp macro="" textlink="">
        <xdr:nvSpPr>
          <xdr:cNvPr id="1510" name="Rectangle 394">
            <a:extLst>
              <a:ext uri="{FF2B5EF4-FFF2-40B4-BE49-F238E27FC236}">
                <a16:creationId xmlns:a16="http://schemas.microsoft.com/office/drawing/2014/main" id="{00000000-0008-0000-0400-0000E6050000}"/>
              </a:ext>
            </a:extLst>
          </xdr:cNvPr>
          <xdr:cNvSpPr>
            <a:spLocks noChangeArrowheads="1"/>
          </xdr:cNvSpPr>
        </xdr:nvSpPr>
        <xdr:spPr bwMode="auto">
          <a:xfrm>
            <a:off x="5362575" y="504825"/>
            <a:ext cx="19050" cy="571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511" name="Oval 395">
            <a:extLst>
              <a:ext uri="{FF2B5EF4-FFF2-40B4-BE49-F238E27FC236}">
                <a16:creationId xmlns:a16="http://schemas.microsoft.com/office/drawing/2014/main" id="{00000000-0008-0000-0400-0000E7050000}"/>
              </a:ext>
            </a:extLst>
          </xdr:cNvPr>
          <xdr:cNvSpPr>
            <a:spLocks noChangeArrowheads="1"/>
          </xdr:cNvSpPr>
        </xdr:nvSpPr>
        <xdr:spPr bwMode="auto">
          <a:xfrm>
            <a:off x="5372100" y="533400"/>
            <a:ext cx="0" cy="19050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512" name="Rectangle 398">
            <a:extLst>
              <a:ext uri="{FF2B5EF4-FFF2-40B4-BE49-F238E27FC236}">
                <a16:creationId xmlns:a16="http://schemas.microsoft.com/office/drawing/2014/main" id="{00000000-0008-0000-0400-0000E8050000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714375"/>
            <a:ext cx="19050" cy="9525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513" name="Rectangle 399">
            <a:extLst>
              <a:ext uri="{FF2B5EF4-FFF2-40B4-BE49-F238E27FC236}">
                <a16:creationId xmlns:a16="http://schemas.microsoft.com/office/drawing/2014/main" id="{00000000-0008-0000-0400-0000E9050000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333375"/>
            <a:ext cx="19050" cy="9525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17</xdr:col>
      <xdr:colOff>38100</xdr:colOff>
      <xdr:row>2</xdr:row>
      <xdr:rowOff>266700</xdr:rowOff>
    </xdr:from>
    <xdr:to>
      <xdr:col>17</xdr:col>
      <xdr:colOff>673100</xdr:colOff>
      <xdr:row>2</xdr:row>
      <xdr:rowOff>838200</xdr:rowOff>
    </xdr:to>
    <xdr:grpSp>
      <xdr:nvGrpSpPr>
        <xdr:cNvPr id="1533" name="5 Grupo">
          <a:extLst>
            <a:ext uri="{FF2B5EF4-FFF2-40B4-BE49-F238E27FC236}">
              <a16:creationId xmlns:a16="http://schemas.microsoft.com/office/drawing/2014/main" id="{00000000-0008-0000-0400-0000FD050000}"/>
            </a:ext>
          </a:extLst>
        </xdr:cNvPr>
        <xdr:cNvGrpSpPr>
          <a:grpSpLocks/>
        </xdr:cNvGrpSpPr>
      </xdr:nvGrpSpPr>
      <xdr:grpSpPr bwMode="auto">
        <a:xfrm>
          <a:off x="12273643" y="1409700"/>
          <a:ext cx="612140" cy="571500"/>
          <a:chOff x="4962525" y="171450"/>
          <a:chExt cx="561975" cy="571500"/>
        </a:xfrm>
      </xdr:grpSpPr>
      <xdr:grpSp>
        <xdr:nvGrpSpPr>
          <xdr:cNvPr id="1534" name="2 Grupo">
            <a:extLst>
              <a:ext uri="{FF2B5EF4-FFF2-40B4-BE49-F238E27FC236}">
                <a16:creationId xmlns:a16="http://schemas.microsoft.com/office/drawing/2014/main" id="{00000000-0008-0000-0400-0000FE050000}"/>
              </a:ext>
            </a:extLst>
          </xdr:cNvPr>
          <xdr:cNvGrpSpPr>
            <a:grpSpLocks/>
          </xdr:cNvGrpSpPr>
        </xdr:nvGrpSpPr>
        <xdr:grpSpPr bwMode="auto">
          <a:xfrm>
            <a:off x="4962525" y="171450"/>
            <a:ext cx="561975" cy="571500"/>
            <a:chOff x="4962525" y="171450"/>
            <a:chExt cx="561975" cy="571500"/>
          </a:xfrm>
        </xdr:grpSpPr>
        <xdr:sp macro="" textlink="">
          <xdr:nvSpPr>
            <xdr:cNvPr id="1539" name="Rectangle 400">
              <a:extLst>
                <a:ext uri="{FF2B5EF4-FFF2-40B4-BE49-F238E27FC236}">
                  <a16:creationId xmlns:a16="http://schemas.microsoft.com/office/drawing/2014/main" id="{00000000-0008-0000-0400-000003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257800" y="723900"/>
              <a:ext cx="0" cy="19050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grpSp>
          <xdr:nvGrpSpPr>
            <xdr:cNvPr id="1540" name="1 Grupo">
              <a:extLst>
                <a:ext uri="{FF2B5EF4-FFF2-40B4-BE49-F238E27FC236}">
                  <a16:creationId xmlns:a16="http://schemas.microsoft.com/office/drawing/2014/main" id="{00000000-0008-0000-0400-00000406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62525" y="171450"/>
              <a:ext cx="561975" cy="571500"/>
              <a:chOff x="4962525" y="171450"/>
              <a:chExt cx="561975" cy="571500"/>
            </a:xfrm>
          </xdr:grpSpPr>
          <xdr:sp macro="" textlink="">
            <xdr:nvSpPr>
              <xdr:cNvPr id="1541" name="Rectangle 423">
                <a:extLst>
                  <a:ext uri="{FF2B5EF4-FFF2-40B4-BE49-F238E27FC236}">
                    <a16:creationId xmlns:a16="http://schemas.microsoft.com/office/drawing/2014/main" id="{00000000-0008-0000-0400-00000506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114925" y="171450"/>
                <a:ext cx="409575" cy="552450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542" name="Rectangle 391">
                <a:extLst>
                  <a:ext uri="{FF2B5EF4-FFF2-40B4-BE49-F238E27FC236}">
                    <a16:creationId xmlns:a16="http://schemas.microsoft.com/office/drawing/2014/main" id="{00000000-0008-0000-0400-00000606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257800" y="333375"/>
                <a:ext cx="133350" cy="390525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543" name="Line 392">
                <a:extLst>
                  <a:ext uri="{FF2B5EF4-FFF2-40B4-BE49-F238E27FC236}">
                    <a16:creationId xmlns:a16="http://schemas.microsoft.com/office/drawing/2014/main" id="{00000000-0008-0000-0400-00000706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264943" y="333375"/>
                <a:ext cx="133350" cy="1905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544" name="Line 393">
                <a:extLst>
                  <a:ext uri="{FF2B5EF4-FFF2-40B4-BE49-F238E27FC236}">
                    <a16:creationId xmlns:a16="http://schemas.microsoft.com/office/drawing/2014/main" id="{00000000-0008-0000-0400-00000806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57800" y="533400"/>
                <a:ext cx="133350" cy="1905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grpSp>
            <xdr:nvGrpSpPr>
              <xdr:cNvPr id="1545" name="Group 401">
                <a:extLst>
                  <a:ext uri="{FF2B5EF4-FFF2-40B4-BE49-F238E27FC236}">
                    <a16:creationId xmlns:a16="http://schemas.microsoft.com/office/drawing/2014/main" id="{00000000-0008-0000-0400-000009060000}"/>
                  </a:ext>
                </a:extLst>
              </xdr:cNvPr>
              <xdr:cNvGrpSpPr>
                <a:grpSpLocks/>
              </xdr:cNvGrpSpPr>
            </xdr:nvGrpSpPr>
            <xdr:grpSpPr bwMode="auto">
              <a:xfrm flipH="1">
                <a:off x="5391150" y="333375"/>
                <a:ext cx="133350" cy="409575"/>
                <a:chOff x="333" y="153"/>
                <a:chExt cx="219" cy="333"/>
              </a:xfrm>
            </xdr:grpSpPr>
            <xdr:sp macro="" textlink="">
              <xdr:nvSpPr>
                <xdr:cNvPr id="1548" name="Rectangle 402">
                  <a:extLst>
                    <a:ext uri="{FF2B5EF4-FFF2-40B4-BE49-F238E27FC236}">
                      <a16:creationId xmlns:a16="http://schemas.microsoft.com/office/drawing/2014/main" id="{00000000-0008-0000-0400-00000C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153"/>
                  <a:ext cx="218" cy="31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49" name="Line 403">
                  <a:extLst>
                    <a:ext uri="{FF2B5EF4-FFF2-40B4-BE49-F238E27FC236}">
                      <a16:creationId xmlns:a16="http://schemas.microsoft.com/office/drawing/2014/main" id="{00000000-0008-0000-0400-00000D06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33" y="153"/>
                  <a:ext cx="218" cy="15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50" name="Line 404">
                  <a:extLst>
                    <a:ext uri="{FF2B5EF4-FFF2-40B4-BE49-F238E27FC236}">
                      <a16:creationId xmlns:a16="http://schemas.microsoft.com/office/drawing/2014/main" id="{00000000-0008-0000-0400-00000E06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333" y="314"/>
                  <a:ext cx="216" cy="15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51" name="Rectangle 405">
                  <a:extLst>
                    <a:ext uri="{FF2B5EF4-FFF2-40B4-BE49-F238E27FC236}">
                      <a16:creationId xmlns:a16="http://schemas.microsoft.com/office/drawing/2014/main" id="{00000000-0008-0000-0400-00000F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08" y="291"/>
                  <a:ext cx="23" cy="4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52" name="Oval 406">
                  <a:extLst>
                    <a:ext uri="{FF2B5EF4-FFF2-40B4-BE49-F238E27FC236}">
                      <a16:creationId xmlns:a16="http://schemas.microsoft.com/office/drawing/2014/main" id="{00000000-0008-0000-0400-000010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5" y="320"/>
                  <a:ext cx="8" cy="8"/>
                </a:xfrm>
                <a:prstGeom prst="ellipse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53" name="Oval 407">
                  <a:extLst>
                    <a:ext uri="{FF2B5EF4-FFF2-40B4-BE49-F238E27FC236}">
                      <a16:creationId xmlns:a16="http://schemas.microsoft.com/office/drawing/2014/main" id="{00000000-0008-0000-0400-000011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5" y="301"/>
                  <a:ext cx="8" cy="8"/>
                </a:xfrm>
                <a:prstGeom prst="ellipse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54" name="Rectangle 408">
                  <a:extLst>
                    <a:ext uri="{FF2B5EF4-FFF2-40B4-BE49-F238E27FC236}">
                      <a16:creationId xmlns:a16="http://schemas.microsoft.com/office/drawing/2014/main" id="{00000000-0008-0000-0400-000012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44" y="302"/>
                  <a:ext cx="8" cy="2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55" name="Rectangle 409">
                  <a:extLst>
                    <a:ext uri="{FF2B5EF4-FFF2-40B4-BE49-F238E27FC236}">
                      <a16:creationId xmlns:a16="http://schemas.microsoft.com/office/drawing/2014/main" id="{00000000-0008-0000-0400-000013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4" y="460"/>
                  <a:ext cx="32" cy="1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56" name="Rectangle 410">
                  <a:extLst>
                    <a:ext uri="{FF2B5EF4-FFF2-40B4-BE49-F238E27FC236}">
                      <a16:creationId xmlns:a16="http://schemas.microsoft.com/office/drawing/2014/main" id="{00000000-0008-0000-0400-000014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153"/>
                  <a:ext cx="32" cy="1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57" name="Rectangle 411">
                  <a:extLst>
                    <a:ext uri="{FF2B5EF4-FFF2-40B4-BE49-F238E27FC236}">
                      <a16:creationId xmlns:a16="http://schemas.microsoft.com/office/drawing/2014/main" id="{00000000-0008-0000-0400-000015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474"/>
                  <a:ext cx="12" cy="12"/>
                </a:xfrm>
                <a:prstGeom prst="rect">
                  <a:avLst/>
                </a:prstGeom>
                <a:gradFill rotWithShape="0">
                  <a:gsLst>
                    <a:gs pos="0">
                      <a:srgbClr val="DCEBF5"/>
                    </a:gs>
                    <a:gs pos="8000">
                      <a:srgbClr val="83A7C3"/>
                    </a:gs>
                    <a:gs pos="13000">
                      <a:srgbClr val="768FB9"/>
                    </a:gs>
                    <a:gs pos="21001">
                      <a:srgbClr val="83A7C3"/>
                    </a:gs>
                    <a:gs pos="52000">
                      <a:srgbClr val="FFFFFF"/>
                    </a:gs>
                    <a:gs pos="56000">
                      <a:srgbClr val="9C6563"/>
                    </a:gs>
                    <a:gs pos="58000">
                      <a:srgbClr val="80302D"/>
                    </a:gs>
                    <a:gs pos="71001">
                      <a:srgbClr val="C0524E"/>
                    </a:gs>
                    <a:gs pos="94000">
                      <a:srgbClr val="EBDAD4"/>
                    </a:gs>
                    <a:gs pos="100000">
                      <a:srgbClr val="55261C"/>
                    </a:gs>
                  </a:gsLst>
                  <a:lin ang="5400000" scaled="1"/>
                </a:gra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</xdr:grpSp>
          <xdr:sp macro="" textlink="">
            <xdr:nvSpPr>
              <xdr:cNvPr id="1546" name="Rectangle 424">
                <a:extLst>
                  <a:ext uri="{FF2B5EF4-FFF2-40B4-BE49-F238E27FC236}">
                    <a16:creationId xmlns:a16="http://schemas.microsoft.com/office/drawing/2014/main" id="{00000000-0008-0000-0400-00000A06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962525" y="171450"/>
                <a:ext cx="152400" cy="552450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cxnSp macro="">
            <xdr:nvCxnSpPr>
              <xdr:cNvPr id="1547" name="10 Conector recto">
                <a:extLst>
                  <a:ext uri="{FF2B5EF4-FFF2-40B4-BE49-F238E27FC236}">
                    <a16:creationId xmlns:a16="http://schemas.microsoft.com/office/drawing/2014/main" id="{00000000-0008-0000-0400-00000B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257800" y="171450"/>
                <a:ext cx="0" cy="161925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sp macro="" textlink="">
        <xdr:nvSpPr>
          <xdr:cNvPr id="1535" name="Rectangle 394">
            <a:extLst>
              <a:ext uri="{FF2B5EF4-FFF2-40B4-BE49-F238E27FC236}">
                <a16:creationId xmlns:a16="http://schemas.microsoft.com/office/drawing/2014/main" id="{00000000-0008-0000-0400-0000FF050000}"/>
              </a:ext>
            </a:extLst>
          </xdr:cNvPr>
          <xdr:cNvSpPr>
            <a:spLocks noChangeArrowheads="1"/>
          </xdr:cNvSpPr>
        </xdr:nvSpPr>
        <xdr:spPr bwMode="auto">
          <a:xfrm>
            <a:off x="5362575" y="504825"/>
            <a:ext cx="19050" cy="571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536" name="Oval 395">
            <a:extLst>
              <a:ext uri="{FF2B5EF4-FFF2-40B4-BE49-F238E27FC236}">
                <a16:creationId xmlns:a16="http://schemas.microsoft.com/office/drawing/2014/main" id="{00000000-0008-0000-0400-000000060000}"/>
              </a:ext>
            </a:extLst>
          </xdr:cNvPr>
          <xdr:cNvSpPr>
            <a:spLocks noChangeArrowheads="1"/>
          </xdr:cNvSpPr>
        </xdr:nvSpPr>
        <xdr:spPr bwMode="auto">
          <a:xfrm>
            <a:off x="5372100" y="533400"/>
            <a:ext cx="0" cy="19050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537" name="Rectangle 398">
            <a:extLst>
              <a:ext uri="{FF2B5EF4-FFF2-40B4-BE49-F238E27FC236}">
                <a16:creationId xmlns:a16="http://schemas.microsoft.com/office/drawing/2014/main" id="{00000000-0008-0000-0400-000001060000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714375"/>
            <a:ext cx="19050" cy="9525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538" name="Rectangle 399">
            <a:extLst>
              <a:ext uri="{FF2B5EF4-FFF2-40B4-BE49-F238E27FC236}">
                <a16:creationId xmlns:a16="http://schemas.microsoft.com/office/drawing/2014/main" id="{00000000-0008-0000-0400-000002060000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333375"/>
            <a:ext cx="19050" cy="9525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18</xdr:col>
      <xdr:colOff>38100</xdr:colOff>
      <xdr:row>2</xdr:row>
      <xdr:rowOff>266700</xdr:rowOff>
    </xdr:from>
    <xdr:to>
      <xdr:col>18</xdr:col>
      <xdr:colOff>673100</xdr:colOff>
      <xdr:row>2</xdr:row>
      <xdr:rowOff>838200</xdr:rowOff>
    </xdr:to>
    <xdr:grpSp>
      <xdr:nvGrpSpPr>
        <xdr:cNvPr id="1558" name="5 Grupo">
          <a:extLst>
            <a:ext uri="{FF2B5EF4-FFF2-40B4-BE49-F238E27FC236}">
              <a16:creationId xmlns:a16="http://schemas.microsoft.com/office/drawing/2014/main" id="{00000000-0008-0000-0400-000016060000}"/>
            </a:ext>
          </a:extLst>
        </xdr:cNvPr>
        <xdr:cNvGrpSpPr>
          <a:grpSpLocks/>
        </xdr:cNvGrpSpPr>
      </xdr:nvGrpSpPr>
      <xdr:grpSpPr bwMode="auto">
        <a:xfrm>
          <a:off x="12926786" y="1409700"/>
          <a:ext cx="612140" cy="571500"/>
          <a:chOff x="4962525" y="171450"/>
          <a:chExt cx="561975" cy="571500"/>
        </a:xfrm>
      </xdr:grpSpPr>
      <xdr:grpSp>
        <xdr:nvGrpSpPr>
          <xdr:cNvPr id="1559" name="2 Grupo">
            <a:extLst>
              <a:ext uri="{FF2B5EF4-FFF2-40B4-BE49-F238E27FC236}">
                <a16:creationId xmlns:a16="http://schemas.microsoft.com/office/drawing/2014/main" id="{00000000-0008-0000-0400-000017060000}"/>
              </a:ext>
            </a:extLst>
          </xdr:cNvPr>
          <xdr:cNvGrpSpPr>
            <a:grpSpLocks/>
          </xdr:cNvGrpSpPr>
        </xdr:nvGrpSpPr>
        <xdr:grpSpPr bwMode="auto">
          <a:xfrm>
            <a:off x="4962525" y="171450"/>
            <a:ext cx="561975" cy="571500"/>
            <a:chOff x="4962525" y="171450"/>
            <a:chExt cx="561975" cy="571500"/>
          </a:xfrm>
        </xdr:grpSpPr>
        <xdr:sp macro="" textlink="">
          <xdr:nvSpPr>
            <xdr:cNvPr id="1564" name="Rectangle 400">
              <a:extLst>
                <a:ext uri="{FF2B5EF4-FFF2-40B4-BE49-F238E27FC236}">
                  <a16:creationId xmlns:a16="http://schemas.microsoft.com/office/drawing/2014/main" id="{00000000-0008-0000-0400-00001C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257800" y="723900"/>
              <a:ext cx="0" cy="19050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grpSp>
          <xdr:nvGrpSpPr>
            <xdr:cNvPr id="1565" name="1 Grupo">
              <a:extLst>
                <a:ext uri="{FF2B5EF4-FFF2-40B4-BE49-F238E27FC236}">
                  <a16:creationId xmlns:a16="http://schemas.microsoft.com/office/drawing/2014/main" id="{00000000-0008-0000-0400-00001D06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62525" y="171450"/>
              <a:ext cx="561975" cy="571500"/>
              <a:chOff x="4962525" y="171450"/>
              <a:chExt cx="561975" cy="571500"/>
            </a:xfrm>
          </xdr:grpSpPr>
          <xdr:sp macro="" textlink="">
            <xdr:nvSpPr>
              <xdr:cNvPr id="1566" name="Rectangle 423">
                <a:extLst>
                  <a:ext uri="{FF2B5EF4-FFF2-40B4-BE49-F238E27FC236}">
                    <a16:creationId xmlns:a16="http://schemas.microsoft.com/office/drawing/2014/main" id="{00000000-0008-0000-0400-00001E06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114925" y="171450"/>
                <a:ext cx="409575" cy="552450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567" name="Rectangle 391">
                <a:extLst>
                  <a:ext uri="{FF2B5EF4-FFF2-40B4-BE49-F238E27FC236}">
                    <a16:creationId xmlns:a16="http://schemas.microsoft.com/office/drawing/2014/main" id="{00000000-0008-0000-0400-00001F06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257800" y="333375"/>
                <a:ext cx="133350" cy="390525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568" name="Line 392">
                <a:extLst>
                  <a:ext uri="{FF2B5EF4-FFF2-40B4-BE49-F238E27FC236}">
                    <a16:creationId xmlns:a16="http://schemas.microsoft.com/office/drawing/2014/main" id="{00000000-0008-0000-0400-00002006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264943" y="333375"/>
                <a:ext cx="133350" cy="1905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569" name="Line 393">
                <a:extLst>
                  <a:ext uri="{FF2B5EF4-FFF2-40B4-BE49-F238E27FC236}">
                    <a16:creationId xmlns:a16="http://schemas.microsoft.com/office/drawing/2014/main" id="{00000000-0008-0000-0400-00002106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57800" y="533400"/>
                <a:ext cx="133350" cy="1905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grpSp>
            <xdr:nvGrpSpPr>
              <xdr:cNvPr id="1570" name="Group 401">
                <a:extLst>
                  <a:ext uri="{FF2B5EF4-FFF2-40B4-BE49-F238E27FC236}">
                    <a16:creationId xmlns:a16="http://schemas.microsoft.com/office/drawing/2014/main" id="{00000000-0008-0000-0400-000022060000}"/>
                  </a:ext>
                </a:extLst>
              </xdr:cNvPr>
              <xdr:cNvGrpSpPr>
                <a:grpSpLocks/>
              </xdr:cNvGrpSpPr>
            </xdr:nvGrpSpPr>
            <xdr:grpSpPr bwMode="auto">
              <a:xfrm flipH="1">
                <a:off x="5391150" y="333375"/>
                <a:ext cx="133350" cy="409575"/>
                <a:chOff x="333" y="153"/>
                <a:chExt cx="219" cy="333"/>
              </a:xfrm>
            </xdr:grpSpPr>
            <xdr:sp macro="" textlink="">
              <xdr:nvSpPr>
                <xdr:cNvPr id="1573" name="Rectangle 402">
                  <a:extLst>
                    <a:ext uri="{FF2B5EF4-FFF2-40B4-BE49-F238E27FC236}">
                      <a16:creationId xmlns:a16="http://schemas.microsoft.com/office/drawing/2014/main" id="{00000000-0008-0000-0400-000025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153"/>
                  <a:ext cx="218" cy="31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74" name="Line 403">
                  <a:extLst>
                    <a:ext uri="{FF2B5EF4-FFF2-40B4-BE49-F238E27FC236}">
                      <a16:creationId xmlns:a16="http://schemas.microsoft.com/office/drawing/2014/main" id="{00000000-0008-0000-0400-00002606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33" y="153"/>
                  <a:ext cx="218" cy="15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75" name="Line 404">
                  <a:extLst>
                    <a:ext uri="{FF2B5EF4-FFF2-40B4-BE49-F238E27FC236}">
                      <a16:creationId xmlns:a16="http://schemas.microsoft.com/office/drawing/2014/main" id="{00000000-0008-0000-0400-00002706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333" y="314"/>
                  <a:ext cx="216" cy="15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76" name="Rectangle 405">
                  <a:extLst>
                    <a:ext uri="{FF2B5EF4-FFF2-40B4-BE49-F238E27FC236}">
                      <a16:creationId xmlns:a16="http://schemas.microsoft.com/office/drawing/2014/main" id="{00000000-0008-0000-0400-000028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08" y="291"/>
                  <a:ext cx="23" cy="4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77" name="Oval 406">
                  <a:extLst>
                    <a:ext uri="{FF2B5EF4-FFF2-40B4-BE49-F238E27FC236}">
                      <a16:creationId xmlns:a16="http://schemas.microsoft.com/office/drawing/2014/main" id="{00000000-0008-0000-0400-000029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5" y="320"/>
                  <a:ext cx="8" cy="8"/>
                </a:xfrm>
                <a:prstGeom prst="ellipse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78" name="Oval 407">
                  <a:extLst>
                    <a:ext uri="{FF2B5EF4-FFF2-40B4-BE49-F238E27FC236}">
                      <a16:creationId xmlns:a16="http://schemas.microsoft.com/office/drawing/2014/main" id="{00000000-0008-0000-0400-00002A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5" y="301"/>
                  <a:ext cx="8" cy="8"/>
                </a:xfrm>
                <a:prstGeom prst="ellipse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79" name="Rectangle 408">
                  <a:extLst>
                    <a:ext uri="{FF2B5EF4-FFF2-40B4-BE49-F238E27FC236}">
                      <a16:creationId xmlns:a16="http://schemas.microsoft.com/office/drawing/2014/main" id="{00000000-0008-0000-0400-00002B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44" y="302"/>
                  <a:ext cx="8" cy="2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80" name="Rectangle 409">
                  <a:extLst>
                    <a:ext uri="{FF2B5EF4-FFF2-40B4-BE49-F238E27FC236}">
                      <a16:creationId xmlns:a16="http://schemas.microsoft.com/office/drawing/2014/main" id="{00000000-0008-0000-0400-00002C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4" y="460"/>
                  <a:ext cx="32" cy="1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81" name="Rectangle 410">
                  <a:extLst>
                    <a:ext uri="{FF2B5EF4-FFF2-40B4-BE49-F238E27FC236}">
                      <a16:creationId xmlns:a16="http://schemas.microsoft.com/office/drawing/2014/main" id="{00000000-0008-0000-0400-00002D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153"/>
                  <a:ext cx="32" cy="1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82" name="Rectangle 411">
                  <a:extLst>
                    <a:ext uri="{FF2B5EF4-FFF2-40B4-BE49-F238E27FC236}">
                      <a16:creationId xmlns:a16="http://schemas.microsoft.com/office/drawing/2014/main" id="{00000000-0008-0000-0400-00002E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474"/>
                  <a:ext cx="12" cy="12"/>
                </a:xfrm>
                <a:prstGeom prst="rect">
                  <a:avLst/>
                </a:prstGeom>
                <a:gradFill rotWithShape="0">
                  <a:gsLst>
                    <a:gs pos="0">
                      <a:srgbClr val="DCEBF5"/>
                    </a:gs>
                    <a:gs pos="8000">
                      <a:srgbClr val="83A7C3"/>
                    </a:gs>
                    <a:gs pos="13000">
                      <a:srgbClr val="768FB9"/>
                    </a:gs>
                    <a:gs pos="21001">
                      <a:srgbClr val="83A7C3"/>
                    </a:gs>
                    <a:gs pos="52000">
                      <a:srgbClr val="FFFFFF"/>
                    </a:gs>
                    <a:gs pos="56000">
                      <a:srgbClr val="9C6563"/>
                    </a:gs>
                    <a:gs pos="58000">
                      <a:srgbClr val="80302D"/>
                    </a:gs>
                    <a:gs pos="71001">
                      <a:srgbClr val="C0524E"/>
                    </a:gs>
                    <a:gs pos="94000">
                      <a:srgbClr val="EBDAD4"/>
                    </a:gs>
                    <a:gs pos="100000">
                      <a:srgbClr val="55261C"/>
                    </a:gs>
                  </a:gsLst>
                  <a:lin ang="5400000" scaled="1"/>
                </a:gra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</xdr:grpSp>
          <xdr:sp macro="" textlink="">
            <xdr:nvSpPr>
              <xdr:cNvPr id="1571" name="Rectangle 424">
                <a:extLst>
                  <a:ext uri="{FF2B5EF4-FFF2-40B4-BE49-F238E27FC236}">
                    <a16:creationId xmlns:a16="http://schemas.microsoft.com/office/drawing/2014/main" id="{00000000-0008-0000-0400-00002306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962525" y="171450"/>
                <a:ext cx="152400" cy="552450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cxnSp macro="">
            <xdr:nvCxnSpPr>
              <xdr:cNvPr id="1572" name="10 Conector recto">
                <a:extLst>
                  <a:ext uri="{FF2B5EF4-FFF2-40B4-BE49-F238E27FC236}">
                    <a16:creationId xmlns:a16="http://schemas.microsoft.com/office/drawing/2014/main" id="{00000000-0008-0000-0400-000024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257800" y="171450"/>
                <a:ext cx="0" cy="161925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sp macro="" textlink="">
        <xdr:nvSpPr>
          <xdr:cNvPr id="1560" name="Rectangle 394">
            <a:extLst>
              <a:ext uri="{FF2B5EF4-FFF2-40B4-BE49-F238E27FC236}">
                <a16:creationId xmlns:a16="http://schemas.microsoft.com/office/drawing/2014/main" id="{00000000-0008-0000-0400-000018060000}"/>
              </a:ext>
            </a:extLst>
          </xdr:cNvPr>
          <xdr:cNvSpPr>
            <a:spLocks noChangeArrowheads="1"/>
          </xdr:cNvSpPr>
        </xdr:nvSpPr>
        <xdr:spPr bwMode="auto">
          <a:xfrm>
            <a:off x="5362575" y="504825"/>
            <a:ext cx="19050" cy="571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561" name="Oval 395">
            <a:extLst>
              <a:ext uri="{FF2B5EF4-FFF2-40B4-BE49-F238E27FC236}">
                <a16:creationId xmlns:a16="http://schemas.microsoft.com/office/drawing/2014/main" id="{00000000-0008-0000-0400-000019060000}"/>
              </a:ext>
            </a:extLst>
          </xdr:cNvPr>
          <xdr:cNvSpPr>
            <a:spLocks noChangeArrowheads="1"/>
          </xdr:cNvSpPr>
        </xdr:nvSpPr>
        <xdr:spPr bwMode="auto">
          <a:xfrm>
            <a:off x="5372100" y="533400"/>
            <a:ext cx="0" cy="19050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562" name="Rectangle 398">
            <a:extLst>
              <a:ext uri="{FF2B5EF4-FFF2-40B4-BE49-F238E27FC236}">
                <a16:creationId xmlns:a16="http://schemas.microsoft.com/office/drawing/2014/main" id="{00000000-0008-0000-0400-00001A060000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714375"/>
            <a:ext cx="19050" cy="9525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563" name="Rectangle 399">
            <a:extLst>
              <a:ext uri="{FF2B5EF4-FFF2-40B4-BE49-F238E27FC236}">
                <a16:creationId xmlns:a16="http://schemas.microsoft.com/office/drawing/2014/main" id="{00000000-0008-0000-0400-00001B060000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333375"/>
            <a:ext cx="19050" cy="9525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19</xdr:col>
      <xdr:colOff>215900</xdr:colOff>
      <xdr:row>2</xdr:row>
      <xdr:rowOff>254000</xdr:rowOff>
    </xdr:from>
    <xdr:to>
      <xdr:col>19</xdr:col>
      <xdr:colOff>508000</xdr:colOff>
      <xdr:row>2</xdr:row>
      <xdr:rowOff>825500</xdr:rowOff>
    </xdr:to>
    <xdr:grpSp>
      <xdr:nvGrpSpPr>
        <xdr:cNvPr id="1583" name="1448 Grupo">
          <a:extLst>
            <a:ext uri="{FF2B5EF4-FFF2-40B4-BE49-F238E27FC236}">
              <a16:creationId xmlns:a16="http://schemas.microsoft.com/office/drawing/2014/main" id="{00000000-0008-0000-0400-00002F060000}"/>
            </a:ext>
          </a:extLst>
        </xdr:cNvPr>
        <xdr:cNvGrpSpPr>
          <a:grpSpLocks/>
        </xdr:cNvGrpSpPr>
      </xdr:nvGrpSpPr>
      <xdr:grpSpPr bwMode="auto">
        <a:xfrm>
          <a:off x="13757729" y="1397000"/>
          <a:ext cx="292100" cy="571500"/>
          <a:chOff x="5257800" y="171450"/>
          <a:chExt cx="266700" cy="571500"/>
        </a:xfrm>
      </xdr:grpSpPr>
      <xdr:grpSp>
        <xdr:nvGrpSpPr>
          <xdr:cNvPr id="1584" name="1449 Grupo">
            <a:extLst>
              <a:ext uri="{FF2B5EF4-FFF2-40B4-BE49-F238E27FC236}">
                <a16:creationId xmlns:a16="http://schemas.microsoft.com/office/drawing/2014/main" id="{00000000-0008-0000-0400-000030060000}"/>
              </a:ext>
            </a:extLst>
          </xdr:cNvPr>
          <xdr:cNvGrpSpPr>
            <a:grpSpLocks/>
          </xdr:cNvGrpSpPr>
        </xdr:nvGrpSpPr>
        <xdr:grpSpPr bwMode="auto">
          <a:xfrm>
            <a:off x="5257800" y="171450"/>
            <a:ext cx="266700" cy="571500"/>
            <a:chOff x="5257800" y="171450"/>
            <a:chExt cx="266700" cy="571500"/>
          </a:xfrm>
        </xdr:grpSpPr>
        <xdr:sp macro="" textlink="">
          <xdr:nvSpPr>
            <xdr:cNvPr id="1589" name="Rectangle 400">
              <a:extLst>
                <a:ext uri="{FF2B5EF4-FFF2-40B4-BE49-F238E27FC236}">
                  <a16:creationId xmlns:a16="http://schemas.microsoft.com/office/drawing/2014/main" id="{00000000-0008-0000-0400-000035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257800" y="723900"/>
              <a:ext cx="0" cy="19050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grpSp>
          <xdr:nvGrpSpPr>
            <xdr:cNvPr id="1590" name="1455 Grupo">
              <a:extLst>
                <a:ext uri="{FF2B5EF4-FFF2-40B4-BE49-F238E27FC236}">
                  <a16:creationId xmlns:a16="http://schemas.microsoft.com/office/drawing/2014/main" id="{00000000-0008-0000-0400-00003606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257800" y="171450"/>
              <a:ext cx="266700" cy="571500"/>
              <a:chOff x="5257800" y="171450"/>
              <a:chExt cx="266700" cy="571500"/>
            </a:xfrm>
          </xdr:grpSpPr>
          <xdr:sp macro="" textlink="">
            <xdr:nvSpPr>
              <xdr:cNvPr id="1591" name="Rectangle 423">
                <a:extLst>
                  <a:ext uri="{FF2B5EF4-FFF2-40B4-BE49-F238E27FC236}">
                    <a16:creationId xmlns:a16="http://schemas.microsoft.com/office/drawing/2014/main" id="{00000000-0008-0000-0400-00003706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261074" y="171450"/>
                <a:ext cx="263426" cy="552450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592" name="Rectangle 391">
                <a:extLst>
                  <a:ext uri="{FF2B5EF4-FFF2-40B4-BE49-F238E27FC236}">
                    <a16:creationId xmlns:a16="http://schemas.microsoft.com/office/drawing/2014/main" id="{00000000-0008-0000-0400-00003806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257800" y="333375"/>
                <a:ext cx="133350" cy="390525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593" name="Line 392">
                <a:extLst>
                  <a:ext uri="{FF2B5EF4-FFF2-40B4-BE49-F238E27FC236}">
                    <a16:creationId xmlns:a16="http://schemas.microsoft.com/office/drawing/2014/main" id="{00000000-0008-0000-0400-00003906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264943" y="333375"/>
                <a:ext cx="133350" cy="1905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594" name="Line 393">
                <a:extLst>
                  <a:ext uri="{FF2B5EF4-FFF2-40B4-BE49-F238E27FC236}">
                    <a16:creationId xmlns:a16="http://schemas.microsoft.com/office/drawing/2014/main" id="{00000000-0008-0000-0400-00003A06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57800" y="533400"/>
                <a:ext cx="133350" cy="1905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grpSp>
            <xdr:nvGrpSpPr>
              <xdr:cNvPr id="1595" name="Group 401">
                <a:extLst>
                  <a:ext uri="{FF2B5EF4-FFF2-40B4-BE49-F238E27FC236}">
                    <a16:creationId xmlns:a16="http://schemas.microsoft.com/office/drawing/2014/main" id="{00000000-0008-0000-0400-00003B060000}"/>
                  </a:ext>
                </a:extLst>
              </xdr:cNvPr>
              <xdr:cNvGrpSpPr>
                <a:grpSpLocks/>
              </xdr:cNvGrpSpPr>
            </xdr:nvGrpSpPr>
            <xdr:grpSpPr bwMode="auto">
              <a:xfrm flipH="1">
                <a:off x="5391150" y="333375"/>
                <a:ext cx="133350" cy="409575"/>
                <a:chOff x="333" y="153"/>
                <a:chExt cx="219" cy="333"/>
              </a:xfrm>
            </xdr:grpSpPr>
            <xdr:sp macro="" textlink="">
              <xdr:nvSpPr>
                <xdr:cNvPr id="1597" name="Rectangle 402">
                  <a:extLst>
                    <a:ext uri="{FF2B5EF4-FFF2-40B4-BE49-F238E27FC236}">
                      <a16:creationId xmlns:a16="http://schemas.microsoft.com/office/drawing/2014/main" id="{00000000-0008-0000-0400-00003D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153"/>
                  <a:ext cx="218" cy="31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98" name="Line 403">
                  <a:extLst>
                    <a:ext uri="{FF2B5EF4-FFF2-40B4-BE49-F238E27FC236}">
                      <a16:creationId xmlns:a16="http://schemas.microsoft.com/office/drawing/2014/main" id="{00000000-0008-0000-0400-00003E06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33" y="153"/>
                  <a:ext cx="218" cy="15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99" name="Line 404">
                  <a:extLst>
                    <a:ext uri="{FF2B5EF4-FFF2-40B4-BE49-F238E27FC236}">
                      <a16:creationId xmlns:a16="http://schemas.microsoft.com/office/drawing/2014/main" id="{00000000-0008-0000-0400-00003F06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333" y="314"/>
                  <a:ext cx="216" cy="15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600" name="Rectangle 405">
                  <a:extLst>
                    <a:ext uri="{FF2B5EF4-FFF2-40B4-BE49-F238E27FC236}">
                      <a16:creationId xmlns:a16="http://schemas.microsoft.com/office/drawing/2014/main" id="{00000000-0008-0000-0400-000040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08" y="291"/>
                  <a:ext cx="23" cy="4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601" name="Oval 406">
                  <a:extLst>
                    <a:ext uri="{FF2B5EF4-FFF2-40B4-BE49-F238E27FC236}">
                      <a16:creationId xmlns:a16="http://schemas.microsoft.com/office/drawing/2014/main" id="{00000000-0008-0000-0400-000041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5" y="320"/>
                  <a:ext cx="8" cy="8"/>
                </a:xfrm>
                <a:prstGeom prst="ellipse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602" name="Oval 407">
                  <a:extLst>
                    <a:ext uri="{FF2B5EF4-FFF2-40B4-BE49-F238E27FC236}">
                      <a16:creationId xmlns:a16="http://schemas.microsoft.com/office/drawing/2014/main" id="{00000000-0008-0000-0400-000042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5" y="301"/>
                  <a:ext cx="8" cy="8"/>
                </a:xfrm>
                <a:prstGeom prst="ellipse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603" name="Rectangle 408">
                  <a:extLst>
                    <a:ext uri="{FF2B5EF4-FFF2-40B4-BE49-F238E27FC236}">
                      <a16:creationId xmlns:a16="http://schemas.microsoft.com/office/drawing/2014/main" id="{00000000-0008-0000-0400-000043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44" y="302"/>
                  <a:ext cx="8" cy="2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604" name="Rectangle 409">
                  <a:extLst>
                    <a:ext uri="{FF2B5EF4-FFF2-40B4-BE49-F238E27FC236}">
                      <a16:creationId xmlns:a16="http://schemas.microsoft.com/office/drawing/2014/main" id="{00000000-0008-0000-0400-000044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4" y="460"/>
                  <a:ext cx="32" cy="1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605" name="Rectangle 410">
                  <a:extLst>
                    <a:ext uri="{FF2B5EF4-FFF2-40B4-BE49-F238E27FC236}">
                      <a16:creationId xmlns:a16="http://schemas.microsoft.com/office/drawing/2014/main" id="{00000000-0008-0000-0400-000045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153"/>
                  <a:ext cx="32" cy="1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606" name="Rectangle 411">
                  <a:extLst>
                    <a:ext uri="{FF2B5EF4-FFF2-40B4-BE49-F238E27FC236}">
                      <a16:creationId xmlns:a16="http://schemas.microsoft.com/office/drawing/2014/main" id="{00000000-0008-0000-0400-000046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474"/>
                  <a:ext cx="12" cy="12"/>
                </a:xfrm>
                <a:prstGeom prst="rect">
                  <a:avLst/>
                </a:prstGeom>
                <a:gradFill rotWithShape="0">
                  <a:gsLst>
                    <a:gs pos="0">
                      <a:srgbClr val="DCEBF5"/>
                    </a:gs>
                    <a:gs pos="8000">
                      <a:srgbClr val="83A7C3"/>
                    </a:gs>
                    <a:gs pos="13000">
                      <a:srgbClr val="768FB9"/>
                    </a:gs>
                    <a:gs pos="21001">
                      <a:srgbClr val="83A7C3"/>
                    </a:gs>
                    <a:gs pos="52000">
                      <a:srgbClr val="FFFFFF"/>
                    </a:gs>
                    <a:gs pos="56000">
                      <a:srgbClr val="9C6563"/>
                    </a:gs>
                    <a:gs pos="58000">
                      <a:srgbClr val="80302D"/>
                    </a:gs>
                    <a:gs pos="71001">
                      <a:srgbClr val="C0524E"/>
                    </a:gs>
                    <a:gs pos="94000">
                      <a:srgbClr val="EBDAD4"/>
                    </a:gs>
                    <a:gs pos="100000">
                      <a:srgbClr val="55261C"/>
                    </a:gs>
                  </a:gsLst>
                  <a:lin ang="5400000" scaled="1"/>
                </a:gra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</xdr:grpSp>
          <xdr:cxnSp macro="">
            <xdr:nvCxnSpPr>
              <xdr:cNvPr id="1596" name="10 Conector recto">
                <a:extLst>
                  <a:ext uri="{FF2B5EF4-FFF2-40B4-BE49-F238E27FC236}">
                    <a16:creationId xmlns:a16="http://schemas.microsoft.com/office/drawing/2014/main" id="{00000000-0008-0000-0400-00003C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257800" y="171450"/>
                <a:ext cx="0" cy="161925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sp macro="" textlink="">
        <xdr:nvSpPr>
          <xdr:cNvPr id="1585" name="Rectangle 394">
            <a:extLst>
              <a:ext uri="{FF2B5EF4-FFF2-40B4-BE49-F238E27FC236}">
                <a16:creationId xmlns:a16="http://schemas.microsoft.com/office/drawing/2014/main" id="{00000000-0008-0000-0400-000031060000}"/>
              </a:ext>
            </a:extLst>
          </xdr:cNvPr>
          <xdr:cNvSpPr>
            <a:spLocks noChangeArrowheads="1"/>
          </xdr:cNvSpPr>
        </xdr:nvSpPr>
        <xdr:spPr bwMode="auto">
          <a:xfrm>
            <a:off x="5362575" y="504825"/>
            <a:ext cx="19050" cy="571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586" name="Oval 395">
            <a:extLst>
              <a:ext uri="{FF2B5EF4-FFF2-40B4-BE49-F238E27FC236}">
                <a16:creationId xmlns:a16="http://schemas.microsoft.com/office/drawing/2014/main" id="{00000000-0008-0000-0400-000032060000}"/>
              </a:ext>
            </a:extLst>
          </xdr:cNvPr>
          <xdr:cNvSpPr>
            <a:spLocks noChangeArrowheads="1"/>
          </xdr:cNvSpPr>
        </xdr:nvSpPr>
        <xdr:spPr bwMode="auto">
          <a:xfrm>
            <a:off x="5372100" y="533400"/>
            <a:ext cx="0" cy="19050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587" name="Rectangle 398">
            <a:extLst>
              <a:ext uri="{FF2B5EF4-FFF2-40B4-BE49-F238E27FC236}">
                <a16:creationId xmlns:a16="http://schemas.microsoft.com/office/drawing/2014/main" id="{00000000-0008-0000-0400-000033060000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714375"/>
            <a:ext cx="19050" cy="9525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588" name="Rectangle 399">
            <a:extLst>
              <a:ext uri="{FF2B5EF4-FFF2-40B4-BE49-F238E27FC236}">
                <a16:creationId xmlns:a16="http://schemas.microsoft.com/office/drawing/2014/main" id="{00000000-0008-0000-0400-000034060000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333375"/>
            <a:ext cx="19050" cy="9525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4"/>
  <sheetViews>
    <sheetView zoomScale="75" zoomScaleNormal="75" workbookViewId="0">
      <selection activeCell="I8" sqref="I8:L9"/>
    </sheetView>
  </sheetViews>
  <sheetFormatPr baseColWidth="10" defaultRowHeight="13.2" x14ac:dyDescent="0.25"/>
  <cols>
    <col min="1" max="1" width="10.6640625" style="3" customWidth="1"/>
    <col min="2" max="2" width="8.44140625" style="3" customWidth="1"/>
    <col min="3" max="3" width="9.33203125" style="3" customWidth="1"/>
    <col min="4" max="4" width="3.44140625" style="3" customWidth="1"/>
    <col min="5" max="5" width="9.33203125" style="3" customWidth="1"/>
    <col min="6" max="6" width="10.33203125" style="3" customWidth="1"/>
    <col min="7" max="7" width="8.44140625" style="3" customWidth="1"/>
    <col min="8" max="8" width="16.109375" style="3" customWidth="1"/>
    <col min="9" max="9" width="19.6640625" style="3" customWidth="1"/>
    <col min="10" max="10" width="13" style="3" customWidth="1"/>
    <col min="11" max="11" width="14.88671875" style="3" customWidth="1"/>
    <col min="12" max="12" width="14.44140625" style="3" customWidth="1"/>
    <col min="13" max="13" width="15.44140625" style="182" customWidth="1"/>
    <col min="14" max="14" width="19.88671875" style="182" customWidth="1"/>
    <col min="15" max="15" width="2" style="3" customWidth="1"/>
    <col min="16" max="16" width="11.44140625" style="3" customWidth="1"/>
  </cols>
  <sheetData>
    <row r="1" spans="1:16" ht="17.25" customHeight="1" x14ac:dyDescent="0.25"/>
    <row r="2" spans="1:16" ht="17.25" customHeight="1" x14ac:dyDescent="0.25"/>
    <row r="3" spans="1:16" ht="17.25" customHeight="1" x14ac:dyDescent="0.25"/>
    <row r="4" spans="1:16" ht="17.25" customHeight="1" x14ac:dyDescent="0.35">
      <c r="I4" s="183"/>
      <c r="J4" s="183"/>
      <c r="K4" s="183"/>
      <c r="L4" s="183"/>
      <c r="M4" s="183"/>
      <c r="N4" s="183"/>
    </row>
    <row r="5" spans="1:16" ht="25.2" x14ac:dyDescent="0.25">
      <c r="A5" s="339" t="s">
        <v>297</v>
      </c>
      <c r="B5" s="340"/>
      <c r="C5" s="340"/>
      <c r="D5" s="340"/>
      <c r="E5" s="340"/>
      <c r="F5" s="340"/>
      <c r="G5" s="340"/>
      <c r="H5" s="340"/>
      <c r="I5" s="340"/>
      <c r="J5" s="340"/>
      <c r="K5" s="340"/>
      <c r="L5" s="341"/>
      <c r="M5" s="184" t="s">
        <v>298</v>
      </c>
      <c r="N5" s="185" t="s">
        <v>299</v>
      </c>
      <c r="O5" s="186"/>
      <c r="P5" s="186"/>
    </row>
    <row r="6" spans="1:16" ht="18" x14ac:dyDescent="0.25">
      <c r="A6" s="187" t="s">
        <v>300</v>
      </c>
      <c r="B6" s="188"/>
      <c r="C6" s="188" t="s">
        <v>301</v>
      </c>
      <c r="D6" s="188"/>
      <c r="E6" s="188"/>
      <c r="F6" s="188"/>
      <c r="G6" s="188"/>
      <c r="H6" s="188"/>
      <c r="I6" s="188"/>
      <c r="J6" s="188"/>
      <c r="K6" s="189"/>
      <c r="L6" s="187" t="s">
        <v>302</v>
      </c>
      <c r="M6" s="342">
        <v>41957</v>
      </c>
      <c r="N6" s="343"/>
      <c r="O6" s="190"/>
      <c r="P6" s="190"/>
    </row>
    <row r="7" spans="1:16" ht="18" x14ac:dyDescent="0.25">
      <c r="A7" s="187" t="s">
        <v>303</v>
      </c>
      <c r="B7" s="191"/>
      <c r="C7" s="191" t="s">
        <v>304</v>
      </c>
      <c r="D7" s="188"/>
      <c r="E7" s="188"/>
      <c r="F7" s="191"/>
      <c r="G7" s="188"/>
      <c r="H7" s="188"/>
      <c r="I7" s="188"/>
      <c r="J7" s="188"/>
      <c r="K7" s="189"/>
      <c r="L7" s="192" t="s">
        <v>305</v>
      </c>
      <c r="M7" s="193"/>
      <c r="N7" s="194"/>
      <c r="O7" s="190"/>
      <c r="P7" s="190"/>
    </row>
    <row r="8" spans="1:16" ht="15.6" x14ac:dyDescent="0.3">
      <c r="A8" s="344" t="s">
        <v>306</v>
      </c>
      <c r="B8" s="346" t="s">
        <v>307</v>
      </c>
      <c r="C8" s="348" t="s">
        <v>308</v>
      </c>
      <c r="D8" s="349"/>
      <c r="E8" s="350"/>
      <c r="F8" s="348" t="s">
        <v>309</v>
      </c>
      <c r="G8" s="350"/>
      <c r="H8" s="195" t="s">
        <v>310</v>
      </c>
      <c r="I8" s="351" t="s">
        <v>311</v>
      </c>
      <c r="J8" s="351"/>
      <c r="K8" s="351"/>
      <c r="L8" s="352"/>
      <c r="M8" s="355" t="s">
        <v>312</v>
      </c>
      <c r="N8" s="356"/>
      <c r="O8" s="196"/>
      <c r="P8" s="196"/>
    </row>
    <row r="9" spans="1:16" ht="15.6" x14ac:dyDescent="0.3">
      <c r="A9" s="345"/>
      <c r="B9" s="347"/>
      <c r="C9" s="197" t="s">
        <v>313</v>
      </c>
      <c r="D9" s="195" t="s">
        <v>314</v>
      </c>
      <c r="E9" s="198" t="s">
        <v>315</v>
      </c>
      <c r="F9" s="197" t="s">
        <v>307</v>
      </c>
      <c r="G9" s="199" t="s">
        <v>316</v>
      </c>
      <c r="H9" s="200" t="s">
        <v>317</v>
      </c>
      <c r="I9" s="353"/>
      <c r="J9" s="353"/>
      <c r="K9" s="353"/>
      <c r="L9" s="354"/>
      <c r="M9" s="201" t="s">
        <v>318</v>
      </c>
      <c r="N9" s="201" t="s">
        <v>319</v>
      </c>
      <c r="O9" s="196"/>
      <c r="P9" s="196"/>
    </row>
    <row r="10" spans="1:16" ht="117" customHeight="1" x14ac:dyDescent="0.3">
      <c r="A10" s="202">
        <v>1</v>
      </c>
      <c r="B10" s="203">
        <v>1</v>
      </c>
      <c r="C10" s="204"/>
      <c r="D10" s="205"/>
      <c r="E10" s="206"/>
      <c r="F10" s="207">
        <v>269.98</v>
      </c>
      <c r="G10" s="208" t="s">
        <v>34</v>
      </c>
      <c r="H10" s="209" t="s">
        <v>320</v>
      </c>
      <c r="I10" s="357" t="s">
        <v>321</v>
      </c>
      <c r="J10" s="357"/>
      <c r="K10" s="357"/>
      <c r="L10" s="358"/>
      <c r="M10" s="210">
        <f>+N10/F10</f>
        <v>70.597673901770492</v>
      </c>
      <c r="N10" s="210">
        <v>19059.96</v>
      </c>
      <c r="O10" s="211"/>
      <c r="P10" s="211"/>
    </row>
    <row r="11" spans="1:16" ht="117" customHeight="1" x14ac:dyDescent="0.3">
      <c r="A11" s="212">
        <v>2</v>
      </c>
      <c r="B11" s="213">
        <v>1</v>
      </c>
      <c r="C11" s="214"/>
      <c r="D11" s="215"/>
      <c r="E11" s="216"/>
      <c r="F11" s="217">
        <v>55.92</v>
      </c>
      <c r="G11" s="218" t="s">
        <v>34</v>
      </c>
      <c r="H11" s="219" t="s">
        <v>322</v>
      </c>
      <c r="I11" s="359" t="s">
        <v>323</v>
      </c>
      <c r="J11" s="359"/>
      <c r="K11" s="359"/>
      <c r="L11" s="360"/>
      <c r="M11" s="220">
        <f>+N11/F11</f>
        <v>89.521638054363379</v>
      </c>
      <c r="N11" s="220">
        <v>5006.05</v>
      </c>
      <c r="O11" s="211"/>
      <c r="P11" s="211"/>
    </row>
    <row r="12" spans="1:16" ht="117" customHeight="1" x14ac:dyDescent="0.3">
      <c r="A12" s="202">
        <v>3</v>
      </c>
      <c r="B12" s="203">
        <v>1</v>
      </c>
      <c r="C12" s="204"/>
      <c r="D12" s="205"/>
      <c r="E12" s="206"/>
      <c r="F12" s="207">
        <v>18.52</v>
      </c>
      <c r="G12" s="208" t="s">
        <v>34</v>
      </c>
      <c r="H12" s="209" t="s">
        <v>322</v>
      </c>
      <c r="I12" s="357" t="s">
        <v>324</v>
      </c>
      <c r="J12" s="357"/>
      <c r="K12" s="357"/>
      <c r="L12" s="358"/>
      <c r="M12" s="210">
        <f>+N12/F12</f>
        <v>51.467062634989198</v>
      </c>
      <c r="N12" s="210">
        <v>953.17</v>
      </c>
      <c r="O12" s="211"/>
      <c r="P12" s="211"/>
    </row>
    <row r="13" spans="1:16" ht="117" customHeight="1" x14ac:dyDescent="0.3">
      <c r="A13" s="212">
        <v>4</v>
      </c>
      <c r="B13" s="213">
        <v>1</v>
      </c>
      <c r="C13" s="221"/>
      <c r="D13" s="215"/>
      <c r="E13" s="222"/>
      <c r="F13" s="217">
        <v>67.98</v>
      </c>
      <c r="G13" s="218" t="s">
        <v>34</v>
      </c>
      <c r="H13" s="219" t="s">
        <v>325</v>
      </c>
      <c r="I13" s="361" t="s">
        <v>326</v>
      </c>
      <c r="J13" s="359"/>
      <c r="K13" s="359"/>
      <c r="L13" s="360"/>
      <c r="M13" s="220">
        <f>+N13/F13</f>
        <v>53.781259193880551</v>
      </c>
      <c r="N13" s="220">
        <v>3656.05</v>
      </c>
      <c r="O13" s="211"/>
      <c r="P13" s="211"/>
    </row>
    <row r="14" spans="1:16" ht="117" customHeight="1" x14ac:dyDescent="0.3">
      <c r="A14" s="202">
        <v>5</v>
      </c>
      <c r="B14" s="203">
        <v>1</v>
      </c>
      <c r="C14" s="223"/>
      <c r="D14" s="205"/>
      <c r="E14" s="224"/>
      <c r="F14" s="207">
        <v>16.97</v>
      </c>
      <c r="G14" s="208" t="s">
        <v>34</v>
      </c>
      <c r="H14" s="209" t="s">
        <v>327</v>
      </c>
      <c r="I14" s="362" t="s">
        <v>328</v>
      </c>
      <c r="J14" s="357"/>
      <c r="K14" s="357"/>
      <c r="L14" s="358"/>
      <c r="M14" s="210">
        <f>+N14/F14</f>
        <v>85.923983500294653</v>
      </c>
      <c r="N14" s="210">
        <v>1458.13</v>
      </c>
      <c r="O14" s="211"/>
      <c r="P14" s="211"/>
    </row>
    <row r="15" spans="1:16" ht="17.399999999999999" x14ac:dyDescent="0.3">
      <c r="A15" s="212"/>
      <c r="B15" s="213"/>
      <c r="C15" s="225"/>
      <c r="D15" s="226"/>
      <c r="E15" s="227"/>
      <c r="F15" s="217"/>
      <c r="G15" s="218"/>
      <c r="H15" s="219"/>
      <c r="I15" s="333"/>
      <c r="J15" s="334"/>
      <c r="K15" s="334"/>
      <c r="L15" s="335"/>
      <c r="M15" s="220"/>
      <c r="N15" s="220"/>
      <c r="O15" s="211"/>
      <c r="P15" s="211"/>
    </row>
    <row r="16" spans="1:16" ht="17.399999999999999" x14ac:dyDescent="0.3">
      <c r="A16" s="202"/>
      <c r="B16" s="203"/>
      <c r="C16" s="228"/>
      <c r="D16" s="205"/>
      <c r="E16" s="229"/>
      <c r="F16" s="207"/>
      <c r="G16" s="208"/>
      <c r="H16" s="209"/>
      <c r="I16" s="336"/>
      <c r="J16" s="337"/>
      <c r="K16" s="337"/>
      <c r="L16" s="338"/>
      <c r="M16" s="210"/>
      <c r="N16" s="210"/>
      <c r="O16" s="211"/>
      <c r="P16" s="211"/>
    </row>
    <row r="17" spans="1:16" ht="18" x14ac:dyDescent="0.25">
      <c r="A17" s="363" t="s">
        <v>329</v>
      </c>
      <c r="B17" s="364"/>
      <c r="C17" s="364"/>
      <c r="D17" s="364"/>
      <c r="E17" s="365"/>
      <c r="F17" s="230">
        <f>SUM(F10:F16)</f>
        <v>429.37</v>
      </c>
      <c r="G17" s="231" t="s">
        <v>34</v>
      </c>
      <c r="H17" s="363" t="s">
        <v>330</v>
      </c>
      <c r="I17" s="364"/>
      <c r="J17" s="364"/>
      <c r="K17" s="364"/>
      <c r="L17" s="232" t="s">
        <v>331</v>
      </c>
      <c r="M17" s="233">
        <f>+N17/F17</f>
        <v>70.180403847497487</v>
      </c>
      <c r="N17" s="233">
        <f>SUM(N10:N16)</f>
        <v>30133.359999999997</v>
      </c>
      <c r="O17" s="234"/>
      <c r="P17" s="234"/>
    </row>
    <row r="18" spans="1:16" ht="15.6" x14ac:dyDescent="0.3">
      <c r="A18" s="235" t="s">
        <v>332</v>
      </c>
      <c r="B18" s="236"/>
      <c r="C18" s="236"/>
      <c r="D18" s="236"/>
      <c r="E18" s="236" t="s">
        <v>333</v>
      </c>
      <c r="F18" s="236"/>
      <c r="G18" s="236"/>
      <c r="H18" s="236"/>
      <c r="I18" s="237"/>
      <c r="J18" s="366" t="s">
        <v>334</v>
      </c>
      <c r="K18" s="367"/>
      <c r="L18" s="367"/>
      <c r="M18" s="367"/>
      <c r="N18" s="368"/>
      <c r="O18" s="238"/>
      <c r="P18" s="238"/>
    </row>
    <row r="19" spans="1:16" ht="15.6" x14ac:dyDescent="0.3">
      <c r="A19" s="239"/>
      <c r="B19" s="196"/>
      <c r="C19" s="196"/>
      <c r="D19" s="196"/>
      <c r="E19" s="196" t="s">
        <v>335</v>
      </c>
      <c r="F19" s="196"/>
      <c r="G19" s="196"/>
      <c r="H19" s="196"/>
      <c r="I19" s="240"/>
      <c r="J19" s="369"/>
      <c r="K19" s="370"/>
      <c r="L19" s="370"/>
      <c r="M19" s="370"/>
      <c r="N19" s="371"/>
      <c r="O19" s="238"/>
      <c r="P19" s="238"/>
    </row>
    <row r="20" spans="1:16" ht="15" x14ac:dyDescent="0.25">
      <c r="A20" s="241"/>
      <c r="B20" s="238"/>
      <c r="C20" s="238"/>
      <c r="D20" s="238"/>
      <c r="E20" s="238"/>
      <c r="F20" s="238"/>
      <c r="G20" s="238"/>
      <c r="H20" s="238"/>
      <c r="I20" s="242"/>
      <c r="J20" s="372"/>
      <c r="K20" s="373"/>
      <c r="L20" s="373"/>
      <c r="M20" s="373"/>
      <c r="N20" s="374"/>
      <c r="O20" s="238"/>
      <c r="P20" s="238"/>
    </row>
    <row r="21" spans="1:16" ht="15.6" x14ac:dyDescent="0.3">
      <c r="A21" s="235" t="s">
        <v>336</v>
      </c>
      <c r="B21" s="236"/>
      <c r="C21" s="236"/>
      <c r="D21" s="236"/>
      <c r="E21" s="236" t="s">
        <v>337</v>
      </c>
      <c r="F21" s="236"/>
      <c r="G21" s="236"/>
      <c r="H21" s="236"/>
      <c r="I21" s="237"/>
      <c r="J21" s="243"/>
      <c r="K21" s="244"/>
      <c r="L21" s="244"/>
      <c r="M21" s="245"/>
      <c r="N21" s="246"/>
      <c r="O21" s="238"/>
      <c r="P21" s="238"/>
    </row>
    <row r="22" spans="1:16" ht="15.6" x14ac:dyDescent="0.3">
      <c r="A22" s="241"/>
      <c r="B22" s="238"/>
      <c r="C22" s="238"/>
      <c r="D22" s="196"/>
      <c r="E22" s="196" t="s">
        <v>338</v>
      </c>
      <c r="F22" s="238"/>
      <c r="G22" s="196"/>
      <c r="H22" s="196"/>
      <c r="I22" s="242"/>
      <c r="J22" s="241"/>
      <c r="K22" s="247"/>
      <c r="L22" s="247"/>
      <c r="M22" s="248"/>
      <c r="N22" s="249"/>
      <c r="O22" s="238"/>
      <c r="P22" s="238"/>
    </row>
    <row r="23" spans="1:16" ht="15.6" x14ac:dyDescent="0.3">
      <c r="A23" s="250"/>
      <c r="B23" s="247"/>
      <c r="C23" s="247"/>
      <c r="D23" s="251"/>
      <c r="E23" s="251" t="s">
        <v>339</v>
      </c>
      <c r="F23" s="247"/>
      <c r="G23" s="251"/>
      <c r="H23" s="251"/>
      <c r="I23" s="252"/>
      <c r="J23" s="375" t="s">
        <v>340</v>
      </c>
      <c r="K23" s="376"/>
      <c r="L23" s="376"/>
      <c r="M23" s="376"/>
      <c r="N23" s="377"/>
      <c r="O23" s="238"/>
      <c r="P23" s="238"/>
    </row>
    <row r="24" spans="1:16" ht="15.6" x14ac:dyDescent="0.3">
      <c r="A24" s="253" t="s">
        <v>341</v>
      </c>
      <c r="B24" s="251"/>
      <c r="C24" s="251"/>
      <c r="D24" s="251"/>
      <c r="E24" s="251" t="s">
        <v>342</v>
      </c>
      <c r="F24" s="251"/>
      <c r="G24" s="251"/>
      <c r="H24" s="251"/>
      <c r="I24" s="254"/>
      <c r="J24" s="378" t="s">
        <v>343</v>
      </c>
      <c r="K24" s="379"/>
      <c r="L24" s="379"/>
      <c r="M24" s="379"/>
      <c r="N24" s="380"/>
      <c r="O24" s="238"/>
      <c r="P24" s="238"/>
    </row>
  </sheetData>
  <mergeCells count="20">
    <mergeCell ref="A17:E17"/>
    <mergeCell ref="H17:K17"/>
    <mergeCell ref="J18:N20"/>
    <mergeCell ref="J23:N23"/>
    <mergeCell ref="J24:N24"/>
    <mergeCell ref="I15:L15"/>
    <mergeCell ref="I16:L16"/>
    <mergeCell ref="A5:L5"/>
    <mergeCell ref="M6:N6"/>
    <mergeCell ref="A8:A9"/>
    <mergeCell ref="B8:B9"/>
    <mergeCell ref="C8:E8"/>
    <mergeCell ref="F8:G8"/>
    <mergeCell ref="I8:L9"/>
    <mergeCell ref="M8:N8"/>
    <mergeCell ref="I10:L10"/>
    <mergeCell ref="I11:L11"/>
    <mergeCell ref="I12:L12"/>
    <mergeCell ref="I13:L13"/>
    <mergeCell ref="I14:L14"/>
  </mergeCells>
  <pageMargins left="0.7" right="0.7" top="0.75" bottom="0.75" header="0.3" footer="0.3"/>
  <pageSetup scale="52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203"/>
  <sheetViews>
    <sheetView zoomScale="70" zoomScaleNormal="70" workbookViewId="0">
      <selection activeCell="G18" sqref="G18"/>
    </sheetView>
  </sheetViews>
  <sheetFormatPr baseColWidth="10" defaultRowHeight="15.6" x14ac:dyDescent="0.3"/>
  <cols>
    <col min="1" max="2" width="8.6640625" bestFit="1" customWidth="1"/>
    <col min="3" max="3" width="57.6640625" style="2" customWidth="1"/>
    <col min="4" max="5" width="8.44140625" style="1" customWidth="1"/>
    <col min="6" max="7" width="11.6640625" style="2" bestFit="1" customWidth="1"/>
    <col min="8" max="9" width="11.44140625" style="3" bestFit="1" customWidth="1"/>
    <col min="10" max="10" width="31" style="4" customWidth="1"/>
    <col min="11" max="11" width="9.33203125" style="5" bestFit="1" customWidth="1"/>
    <col min="12" max="12" width="11.44140625" style="3" customWidth="1"/>
  </cols>
  <sheetData>
    <row r="1" spans="1:16" s="137" customFormat="1" ht="18" x14ac:dyDescent="0.35">
      <c r="C1" s="134" t="s">
        <v>0</v>
      </c>
      <c r="D1" s="135"/>
      <c r="E1" s="135"/>
      <c r="F1" s="136"/>
      <c r="G1" s="136"/>
      <c r="J1" s="138"/>
      <c r="K1" s="5"/>
    </row>
    <row r="2" spans="1:16" s="137" customFormat="1" ht="28.8" customHeight="1" thickBot="1" x14ac:dyDescent="0.4">
      <c r="C2" s="134"/>
      <c r="D2" s="135"/>
      <c r="E2" s="135"/>
      <c r="F2" s="136"/>
      <c r="G2" s="136"/>
      <c r="J2" s="138"/>
      <c r="K2" s="5"/>
    </row>
    <row r="3" spans="1:16" s="137" customFormat="1" x14ac:dyDescent="0.3">
      <c r="A3" s="139" t="s">
        <v>404</v>
      </c>
      <c r="B3" s="139" t="s">
        <v>404</v>
      </c>
      <c r="C3" s="139" t="s">
        <v>1</v>
      </c>
      <c r="D3" s="383" t="s">
        <v>621</v>
      </c>
      <c r="E3" s="140" t="s">
        <v>2</v>
      </c>
      <c r="F3" s="141" t="s">
        <v>3</v>
      </c>
      <c r="G3" s="141" t="s">
        <v>3</v>
      </c>
      <c r="H3" s="381" t="s">
        <v>4</v>
      </c>
      <c r="I3" s="382"/>
      <c r="J3" s="142" t="s">
        <v>5</v>
      </c>
      <c r="K3" s="5"/>
    </row>
    <row r="4" spans="1:16" s="137" customFormat="1" x14ac:dyDescent="0.3">
      <c r="A4" s="143"/>
      <c r="B4" s="143" t="s">
        <v>633</v>
      </c>
      <c r="C4" s="143"/>
      <c r="D4" s="384"/>
      <c r="E4" s="144"/>
      <c r="F4" s="145" t="s">
        <v>6</v>
      </c>
      <c r="G4" s="145" t="s">
        <v>7</v>
      </c>
      <c r="H4" s="146" t="s">
        <v>8</v>
      </c>
      <c r="I4" s="147" t="s">
        <v>9</v>
      </c>
      <c r="J4" s="148"/>
      <c r="K4" s="5"/>
    </row>
    <row r="5" spans="1:16" s="137" customFormat="1" ht="16.2" thickBot="1" x14ac:dyDescent="0.35">
      <c r="A5" s="149"/>
      <c r="B5" s="149"/>
      <c r="C5" s="149"/>
      <c r="D5" s="385"/>
      <c r="E5" s="150"/>
      <c r="F5" s="151" t="s">
        <v>10</v>
      </c>
      <c r="G5" s="151" t="s">
        <v>10</v>
      </c>
      <c r="H5" s="152" t="s">
        <v>10</v>
      </c>
      <c r="I5" s="153" t="s">
        <v>10</v>
      </c>
      <c r="J5" s="154"/>
      <c r="K5" s="5"/>
    </row>
    <row r="6" spans="1:16" s="137" customFormat="1" ht="16.2" thickBot="1" x14ac:dyDescent="0.35">
      <c r="A6" s="176"/>
      <c r="B6" s="176"/>
      <c r="C6" s="155" t="s">
        <v>11</v>
      </c>
      <c r="D6" s="150"/>
      <c r="E6" s="150"/>
      <c r="F6" s="151"/>
      <c r="G6" s="151"/>
      <c r="H6" s="152"/>
      <c r="I6" s="153"/>
      <c r="J6" s="154"/>
      <c r="K6" s="5"/>
    </row>
    <row r="7" spans="1:16" s="137" customFormat="1" ht="16.2" thickBot="1" x14ac:dyDescent="0.35">
      <c r="A7" s="317" t="s">
        <v>405</v>
      </c>
      <c r="B7" s="317"/>
      <c r="C7" s="307" t="s">
        <v>12</v>
      </c>
      <c r="D7" s="323">
        <v>1</v>
      </c>
      <c r="E7" s="308" t="s">
        <v>13</v>
      </c>
      <c r="F7" s="309">
        <f>ROUNDUP(H7*0.87*1.1/0.84,2)</f>
        <v>3.3099999999999996</v>
      </c>
      <c r="G7" s="309">
        <f>ROUNDUP(I7*1.1,2)</f>
        <v>3.19</v>
      </c>
      <c r="H7" s="313">
        <v>2.9</v>
      </c>
      <c r="I7" s="316">
        <v>2.9</v>
      </c>
      <c r="J7" s="162" t="s">
        <v>399</v>
      </c>
      <c r="K7" s="312">
        <f>(-G7+F7)/F7</f>
        <v>3.6253776435045217E-2</v>
      </c>
      <c r="L7" s="311"/>
      <c r="M7" s="311"/>
      <c r="N7" s="311"/>
      <c r="O7" s="311"/>
      <c r="P7" s="311"/>
    </row>
    <row r="8" spans="1:16" s="137" customFormat="1" ht="16.2" thickBot="1" x14ac:dyDescent="0.35">
      <c r="A8" s="317" t="s">
        <v>406</v>
      </c>
      <c r="B8" s="317"/>
      <c r="C8" s="307" t="s">
        <v>14</v>
      </c>
      <c r="D8" s="323">
        <v>2</v>
      </c>
      <c r="E8" s="308" t="s">
        <v>13</v>
      </c>
      <c r="F8" s="309">
        <f t="shared" ref="F8:F22" si="0">ROUNDUP(H8*0.87*1.1/0.84,2)</f>
        <v>7.1099999999999994</v>
      </c>
      <c r="G8" s="309">
        <f t="shared" ref="G8:G22" si="1">ROUNDUP(I8*1.1,2)</f>
        <v>6.59</v>
      </c>
      <c r="H8" s="313">
        <v>6.24</v>
      </c>
      <c r="I8" s="316">
        <f>+H8*0.96</f>
        <v>5.9904000000000002</v>
      </c>
      <c r="J8" s="162" t="s">
        <v>399</v>
      </c>
      <c r="K8" s="312">
        <f t="shared" ref="K8:K22" si="2">(-G8+F8)/F8</f>
        <v>7.3136427566807258E-2</v>
      </c>
      <c r="L8" s="311"/>
      <c r="M8" s="311"/>
      <c r="N8" s="311"/>
      <c r="O8" s="311"/>
      <c r="P8" s="311"/>
    </row>
    <row r="9" spans="1:16" s="137" customFormat="1" ht="16.2" thickBot="1" x14ac:dyDescent="0.35">
      <c r="A9" s="317" t="s">
        <v>407</v>
      </c>
      <c r="B9" s="317"/>
      <c r="C9" s="156" t="s">
        <v>15</v>
      </c>
      <c r="D9" s="323">
        <v>3</v>
      </c>
      <c r="E9" s="157" t="s">
        <v>16</v>
      </c>
      <c r="F9" s="158">
        <f t="shared" si="0"/>
        <v>0.75</v>
      </c>
      <c r="G9" s="158">
        <f t="shared" si="1"/>
        <v>0.72</v>
      </c>
      <c r="H9" s="159">
        <v>0.65</v>
      </c>
      <c r="I9" s="159">
        <v>0.65</v>
      </c>
      <c r="J9" s="161" t="s">
        <v>17</v>
      </c>
      <c r="K9" s="5">
        <f t="shared" si="2"/>
        <v>4.0000000000000036E-2</v>
      </c>
    </row>
    <row r="10" spans="1:16" s="137" customFormat="1" ht="16.2" thickBot="1" x14ac:dyDescent="0.35">
      <c r="A10" s="317" t="s">
        <v>408</v>
      </c>
      <c r="B10" s="317"/>
      <c r="C10" s="307" t="s">
        <v>18</v>
      </c>
      <c r="D10" s="323">
        <v>4</v>
      </c>
      <c r="E10" s="308" t="s">
        <v>19</v>
      </c>
      <c r="F10" s="309">
        <f t="shared" si="0"/>
        <v>0.9</v>
      </c>
      <c r="G10" s="309">
        <f t="shared" si="1"/>
        <v>0.87</v>
      </c>
      <c r="H10" s="313">
        <f>+N10/6</f>
        <v>0.78583333333333316</v>
      </c>
      <c r="I10" s="313">
        <f>+H10</f>
        <v>0.78583333333333316</v>
      </c>
      <c r="J10" s="162" t="s">
        <v>388</v>
      </c>
      <c r="K10" s="312">
        <f t="shared" si="2"/>
        <v>3.3333333333333361E-2</v>
      </c>
      <c r="L10" s="314">
        <f>6*0.159</f>
        <v>0.95399999999999996</v>
      </c>
      <c r="M10" s="315" t="s">
        <v>273</v>
      </c>
      <c r="N10" s="171">
        <f>4.1*1.15</f>
        <v>4.714999999999999</v>
      </c>
      <c r="O10" s="311" t="s">
        <v>257</v>
      </c>
      <c r="P10" s="311" t="s">
        <v>390</v>
      </c>
    </row>
    <row r="11" spans="1:16" s="137" customFormat="1" ht="16.2" thickBot="1" x14ac:dyDescent="0.35">
      <c r="A11" s="317" t="s">
        <v>409</v>
      </c>
      <c r="B11" s="317"/>
      <c r="C11" s="307" t="s">
        <v>296</v>
      </c>
      <c r="D11" s="323">
        <v>5</v>
      </c>
      <c r="E11" s="308" t="s">
        <v>19</v>
      </c>
      <c r="F11" s="309">
        <f t="shared" si="0"/>
        <v>1.29</v>
      </c>
      <c r="G11" s="309">
        <f t="shared" si="1"/>
        <v>1.25</v>
      </c>
      <c r="H11" s="313">
        <f t="shared" ref="H11:H16" si="3">+N11/6</f>
        <v>1.1308333333333334</v>
      </c>
      <c r="I11" s="313">
        <f>+H11</f>
        <v>1.1308333333333334</v>
      </c>
      <c r="J11" s="162" t="s">
        <v>389</v>
      </c>
      <c r="K11" s="312">
        <f t="shared" si="2"/>
        <v>3.1007751937984523E-2</v>
      </c>
      <c r="L11" s="314">
        <f>6*0.2</f>
        <v>1.2000000000000002</v>
      </c>
      <c r="M11" s="315" t="s">
        <v>273</v>
      </c>
      <c r="N11" s="171">
        <f>5.9*1.15</f>
        <v>6.7850000000000001</v>
      </c>
      <c r="O11" s="311" t="s">
        <v>257</v>
      </c>
      <c r="P11" s="311" t="s">
        <v>391</v>
      </c>
    </row>
    <row r="12" spans="1:16" s="137" customFormat="1" ht="16.2" thickBot="1" x14ac:dyDescent="0.35">
      <c r="A12" s="317" t="s">
        <v>410</v>
      </c>
      <c r="B12" s="317"/>
      <c r="C12" s="156" t="s">
        <v>21</v>
      </c>
      <c r="D12" s="323">
        <v>6</v>
      </c>
      <c r="E12" s="157" t="s">
        <v>19</v>
      </c>
      <c r="F12" s="158">
        <f t="shared" si="0"/>
        <v>9.15</v>
      </c>
      <c r="G12" s="158">
        <f t="shared" si="1"/>
        <v>8.48</v>
      </c>
      <c r="H12" s="159">
        <f t="shared" si="3"/>
        <v>8.0258614999999995</v>
      </c>
      <c r="I12" s="159">
        <f>0.96*H12</f>
        <v>7.7048270399999996</v>
      </c>
      <c r="J12" s="162" t="s">
        <v>272</v>
      </c>
      <c r="K12" s="5">
        <f t="shared" si="2"/>
        <v>7.3224043715846981E-2</v>
      </c>
      <c r="L12" s="115">
        <f>6*1.037</f>
        <v>6.2219999999999995</v>
      </c>
      <c r="M12" t="s">
        <v>273</v>
      </c>
      <c r="N12" s="163">
        <f>6.73*1.15*L12</f>
        <v>48.155168999999994</v>
      </c>
      <c r="O12" s="137" t="s">
        <v>257</v>
      </c>
    </row>
    <row r="13" spans="1:16" s="137" customFormat="1" ht="16.2" thickBot="1" x14ac:dyDescent="0.35">
      <c r="A13" s="317" t="s">
        <v>411</v>
      </c>
      <c r="B13" s="317"/>
      <c r="C13" s="156" t="s">
        <v>22</v>
      </c>
      <c r="D13" s="323">
        <v>7</v>
      </c>
      <c r="E13" s="157" t="s">
        <v>19</v>
      </c>
      <c r="F13" s="158">
        <f t="shared" si="0"/>
        <v>5.51</v>
      </c>
      <c r="G13" s="158">
        <f t="shared" si="1"/>
        <v>5.0999999999999996</v>
      </c>
      <c r="H13" s="159">
        <f t="shared" si="3"/>
        <v>4.8294479999999993</v>
      </c>
      <c r="I13" s="159">
        <f>0.96*H13</f>
        <v>4.6362700799999992</v>
      </c>
      <c r="J13" s="162" t="s">
        <v>272</v>
      </c>
      <c r="K13" s="5">
        <f t="shared" si="2"/>
        <v>7.4410163339382968E-2</v>
      </c>
      <c r="L13" s="115">
        <f>6*0.624</f>
        <v>3.7439999999999998</v>
      </c>
      <c r="M13" t="s">
        <v>273</v>
      </c>
      <c r="N13" s="163">
        <f>6.73*1.15*L13</f>
        <v>28.976687999999996</v>
      </c>
      <c r="O13" s="137" t="s">
        <v>257</v>
      </c>
    </row>
    <row r="14" spans="1:16" s="137" customFormat="1" ht="16.2" thickBot="1" x14ac:dyDescent="0.35">
      <c r="A14" s="317" t="s">
        <v>412</v>
      </c>
      <c r="B14" s="317"/>
      <c r="C14" s="307" t="s">
        <v>23</v>
      </c>
      <c r="D14" s="323">
        <v>8</v>
      </c>
      <c r="E14" s="308" t="s">
        <v>19</v>
      </c>
      <c r="F14" s="309">
        <f t="shared" si="0"/>
        <v>5.97</v>
      </c>
      <c r="G14" s="309">
        <f t="shared" si="1"/>
        <v>5.76</v>
      </c>
      <c r="H14" s="313">
        <f t="shared" si="3"/>
        <v>5.2324999999999999</v>
      </c>
      <c r="I14" s="313">
        <f>+H14</f>
        <v>5.2324999999999999</v>
      </c>
      <c r="J14" s="162" t="s">
        <v>397</v>
      </c>
      <c r="K14" s="312">
        <f t="shared" si="2"/>
        <v>3.5175879396984917E-2</v>
      </c>
      <c r="L14" s="314">
        <f>6*0.948</f>
        <v>5.6879999999999997</v>
      </c>
      <c r="M14" s="315" t="s">
        <v>273</v>
      </c>
      <c r="N14" s="171">
        <f>27.3*1.15</f>
        <v>31.395</v>
      </c>
      <c r="O14" s="311" t="s">
        <v>257</v>
      </c>
      <c r="P14" s="311" t="s">
        <v>395</v>
      </c>
    </row>
    <row r="15" spans="1:16" s="137" customFormat="1" ht="16.2" thickBot="1" x14ac:dyDescent="0.35">
      <c r="A15" s="317" t="s">
        <v>413</v>
      </c>
      <c r="B15" s="317"/>
      <c r="C15" s="307" t="s">
        <v>24</v>
      </c>
      <c r="D15" s="323">
        <v>9</v>
      </c>
      <c r="E15" s="308" t="s">
        <v>19</v>
      </c>
      <c r="F15" s="309">
        <f t="shared" si="0"/>
        <v>4.0199999999999996</v>
      </c>
      <c r="G15" s="309">
        <f t="shared" si="1"/>
        <v>3.88</v>
      </c>
      <c r="H15" s="313">
        <f t="shared" si="3"/>
        <v>3.526666666666666</v>
      </c>
      <c r="I15" s="313">
        <f>+H15</f>
        <v>3.526666666666666</v>
      </c>
      <c r="J15" s="162" t="s">
        <v>398</v>
      </c>
      <c r="K15" s="312">
        <f t="shared" si="2"/>
        <v>3.4825870646766094E-2</v>
      </c>
      <c r="L15" s="314">
        <f>6*0.705</f>
        <v>4.2299999999999995</v>
      </c>
      <c r="M15" s="315" t="s">
        <v>273</v>
      </c>
      <c r="N15" s="171">
        <f>18.4*1.15</f>
        <v>21.159999999999997</v>
      </c>
      <c r="O15" s="311" t="s">
        <v>257</v>
      </c>
      <c r="P15" s="311" t="s">
        <v>393</v>
      </c>
    </row>
    <row r="16" spans="1:16" s="137" customFormat="1" ht="16.2" thickBot="1" x14ac:dyDescent="0.35">
      <c r="A16" s="317" t="s">
        <v>414</v>
      </c>
      <c r="B16" s="317"/>
      <c r="C16" s="307" t="s">
        <v>392</v>
      </c>
      <c r="D16" s="323">
        <v>10</v>
      </c>
      <c r="E16" s="308" t="s">
        <v>19</v>
      </c>
      <c r="F16" s="309">
        <f t="shared" si="0"/>
        <v>8.2999999999999989</v>
      </c>
      <c r="G16" s="309">
        <f t="shared" si="1"/>
        <v>8.02</v>
      </c>
      <c r="H16" s="313">
        <f t="shared" si="3"/>
        <v>7.2833333333333323</v>
      </c>
      <c r="I16" s="313">
        <f>+H16</f>
        <v>7.2833333333333323</v>
      </c>
      <c r="J16" s="162" t="s">
        <v>396</v>
      </c>
      <c r="K16" s="312">
        <f t="shared" si="2"/>
        <v>3.3734939759036069E-2</v>
      </c>
      <c r="L16" s="314">
        <f>6*0.786</f>
        <v>4.7160000000000002</v>
      </c>
      <c r="M16" s="315" t="s">
        <v>273</v>
      </c>
      <c r="N16" s="171">
        <f>38*1.15</f>
        <v>43.699999999999996</v>
      </c>
      <c r="O16" s="311" t="s">
        <v>257</v>
      </c>
      <c r="P16" s="311" t="s">
        <v>394</v>
      </c>
    </row>
    <row r="17" spans="1:17" s="137" customFormat="1" ht="16.2" thickBot="1" x14ac:dyDescent="0.35">
      <c r="A17" s="317" t="s">
        <v>415</v>
      </c>
      <c r="B17" s="317"/>
      <c r="C17" s="156" t="s">
        <v>25</v>
      </c>
      <c r="D17" s="323">
        <v>11</v>
      </c>
      <c r="E17" s="157" t="s">
        <v>19</v>
      </c>
      <c r="F17" s="158">
        <f t="shared" si="0"/>
        <v>0.18000000000000002</v>
      </c>
      <c r="G17" s="158">
        <f t="shared" si="1"/>
        <v>0.17</v>
      </c>
      <c r="H17" s="159">
        <v>0.15</v>
      </c>
      <c r="I17" s="160">
        <v>0.15</v>
      </c>
      <c r="J17" s="161" t="s">
        <v>20</v>
      </c>
      <c r="K17" s="5">
        <f t="shared" si="2"/>
        <v>5.5555555555555601E-2</v>
      </c>
      <c r="L17" s="3"/>
      <c r="M17"/>
    </row>
    <row r="18" spans="1:17" s="137" customFormat="1" ht="16.2" thickBot="1" x14ac:dyDescent="0.35">
      <c r="A18" s="317" t="s">
        <v>416</v>
      </c>
      <c r="B18" s="317"/>
      <c r="C18" s="156" t="s">
        <v>26</v>
      </c>
      <c r="D18" s="323">
        <v>12</v>
      </c>
      <c r="E18" s="157" t="s">
        <v>27</v>
      </c>
      <c r="F18" s="158">
        <f t="shared" si="0"/>
        <v>0.04</v>
      </c>
      <c r="G18" s="158">
        <f t="shared" si="1"/>
        <v>0.04</v>
      </c>
      <c r="H18" s="159">
        <v>0.03</v>
      </c>
      <c r="I18" s="159">
        <v>0.03</v>
      </c>
      <c r="J18" s="161" t="s">
        <v>28</v>
      </c>
      <c r="K18" s="5">
        <f t="shared" si="2"/>
        <v>0</v>
      </c>
    </row>
    <row r="19" spans="1:17" s="137" customFormat="1" ht="16.2" thickBot="1" x14ac:dyDescent="0.35">
      <c r="A19" s="317" t="s">
        <v>417</v>
      </c>
      <c r="B19" s="317"/>
      <c r="C19" s="156" t="s">
        <v>29</v>
      </c>
      <c r="D19" s="323">
        <v>13</v>
      </c>
      <c r="E19" s="157" t="s">
        <v>27</v>
      </c>
      <c r="F19" s="158">
        <f t="shared" si="0"/>
        <v>0.04</v>
      </c>
      <c r="G19" s="158">
        <f t="shared" si="1"/>
        <v>0.04</v>
      </c>
      <c r="H19" s="159">
        <v>0.03</v>
      </c>
      <c r="I19" s="159">
        <v>0.03</v>
      </c>
      <c r="J19" s="161" t="s">
        <v>28</v>
      </c>
      <c r="K19" s="5">
        <f t="shared" si="2"/>
        <v>0</v>
      </c>
    </row>
    <row r="20" spans="1:17" s="137" customFormat="1" ht="16.2" thickBot="1" x14ac:dyDescent="0.35">
      <c r="A20" s="317" t="s">
        <v>418</v>
      </c>
      <c r="B20" s="317"/>
      <c r="C20" s="156" t="s">
        <v>30</v>
      </c>
      <c r="D20" s="323">
        <v>14</v>
      </c>
      <c r="E20" s="157" t="s">
        <v>27</v>
      </c>
      <c r="F20" s="158">
        <f t="shared" si="0"/>
        <v>0.04</v>
      </c>
      <c r="G20" s="158">
        <f t="shared" si="1"/>
        <v>0.04</v>
      </c>
      <c r="H20" s="159">
        <v>0.03</v>
      </c>
      <c r="I20" s="159">
        <v>0.03</v>
      </c>
      <c r="J20" s="161" t="s">
        <v>28</v>
      </c>
      <c r="K20" s="5">
        <f t="shared" si="2"/>
        <v>0</v>
      </c>
    </row>
    <row r="21" spans="1:17" s="137" customFormat="1" ht="16.2" thickBot="1" x14ac:dyDescent="0.35">
      <c r="A21" s="317" t="s">
        <v>419</v>
      </c>
      <c r="B21" s="317"/>
      <c r="C21" s="156" t="s">
        <v>31</v>
      </c>
      <c r="D21" s="323">
        <v>15</v>
      </c>
      <c r="E21" s="157" t="s">
        <v>27</v>
      </c>
      <c r="F21" s="158">
        <f t="shared" si="0"/>
        <v>0.03</v>
      </c>
      <c r="G21" s="158">
        <f t="shared" si="1"/>
        <v>0.03</v>
      </c>
      <c r="H21" s="164">
        <v>0.02</v>
      </c>
      <c r="I21" s="164">
        <v>0.02</v>
      </c>
      <c r="J21" s="161" t="s">
        <v>28</v>
      </c>
      <c r="K21" s="5">
        <f t="shared" si="2"/>
        <v>0</v>
      </c>
    </row>
    <row r="22" spans="1:17" s="137" customFormat="1" ht="16.2" thickBot="1" x14ac:dyDescent="0.35">
      <c r="A22" s="317" t="s">
        <v>420</v>
      </c>
      <c r="B22" s="317"/>
      <c r="C22" s="155" t="s">
        <v>254</v>
      </c>
      <c r="D22" s="323">
        <v>16</v>
      </c>
      <c r="E22" s="165" t="s">
        <v>19</v>
      </c>
      <c r="F22" s="158">
        <f t="shared" si="0"/>
        <v>29.91</v>
      </c>
      <c r="G22" s="158">
        <f t="shared" si="1"/>
        <v>27.72</v>
      </c>
      <c r="H22" s="166">
        <f>150*1.05/6</f>
        <v>26.25</v>
      </c>
      <c r="I22" s="166">
        <f>+H22*0.96</f>
        <v>25.2</v>
      </c>
      <c r="J22" s="167" t="s">
        <v>255</v>
      </c>
      <c r="K22" s="5">
        <f t="shared" si="2"/>
        <v>7.3219658976930835E-2</v>
      </c>
    </row>
    <row r="23" spans="1:17" s="137" customFormat="1" ht="21.6" thickBot="1" x14ac:dyDescent="0.45">
      <c r="A23" s="176"/>
      <c r="B23" s="176"/>
      <c r="C23" s="168" t="s">
        <v>32</v>
      </c>
      <c r="D23" s="150"/>
      <c r="E23" s="150"/>
      <c r="F23" s="158"/>
      <c r="G23" s="158"/>
      <c r="H23" s="169"/>
      <c r="I23" s="170"/>
      <c r="J23" s="154"/>
      <c r="K23" s="5"/>
      <c r="N23" s="137" t="s">
        <v>596</v>
      </c>
      <c r="P23" s="137" t="s">
        <v>597</v>
      </c>
    </row>
    <row r="24" spans="1:17" s="137" customFormat="1" ht="16.2" thickBot="1" x14ac:dyDescent="0.35">
      <c r="A24" s="317" t="s">
        <v>421</v>
      </c>
      <c r="B24" s="317"/>
      <c r="C24" s="307" t="s">
        <v>33</v>
      </c>
      <c r="D24" s="323">
        <v>17</v>
      </c>
      <c r="E24" s="308" t="s">
        <v>34</v>
      </c>
      <c r="F24" s="309">
        <f t="shared" ref="F24:F84" si="4">ROUNDUP(H24*0.87*1.1/0.84,2)</f>
        <v>35.89</v>
      </c>
      <c r="G24" s="309">
        <f t="shared" ref="G24:G84" si="5">ROUNDUP(I24*1.1,2)</f>
        <v>34.65</v>
      </c>
      <c r="H24" s="310">
        <f>30*1.05</f>
        <v>31.5</v>
      </c>
      <c r="I24" s="310">
        <f>30*1.05</f>
        <v>31.5</v>
      </c>
      <c r="J24" s="162" t="s">
        <v>358</v>
      </c>
      <c r="K24" s="312">
        <f t="shared" ref="K24:K84" si="6">(-G24+F24)/F24</f>
        <v>3.4550013931457284E-2</v>
      </c>
      <c r="L24" s="311"/>
      <c r="M24" s="318">
        <f>ROUNDUP(N24/6.97,2)</f>
        <v>25.830000000000002</v>
      </c>
      <c r="N24" s="311">
        <v>180</v>
      </c>
      <c r="O24" s="311" t="s">
        <v>594</v>
      </c>
      <c r="P24" s="171">
        <f>+Q24*6.97</f>
        <v>209.1</v>
      </c>
      <c r="Q24" s="171">
        <v>30</v>
      </c>
    </row>
    <row r="25" spans="1:17" s="137" customFormat="1" ht="16.2" thickBot="1" x14ac:dyDescent="0.35">
      <c r="A25" s="317" t="s">
        <v>422</v>
      </c>
      <c r="B25" s="317"/>
      <c r="C25" s="307" t="s">
        <v>36</v>
      </c>
      <c r="D25" s="323">
        <v>18</v>
      </c>
      <c r="E25" s="308" t="s">
        <v>34</v>
      </c>
      <c r="F25" s="309">
        <f t="shared" si="4"/>
        <v>34.699999999999996</v>
      </c>
      <c r="G25" s="309">
        <f t="shared" si="5"/>
        <v>33.5</v>
      </c>
      <c r="H25" s="310">
        <f>29*1.05</f>
        <v>30.450000000000003</v>
      </c>
      <c r="I25" s="310">
        <f>29*1.05</f>
        <v>30.450000000000003</v>
      </c>
      <c r="J25" s="162" t="s">
        <v>359</v>
      </c>
      <c r="K25" s="312">
        <f t="shared" si="6"/>
        <v>3.4582132564841377E-2</v>
      </c>
      <c r="L25" s="311"/>
      <c r="M25" s="318">
        <f>ROUNDUP(N25/6.97,2)</f>
        <v>25.110000000000003</v>
      </c>
      <c r="N25" s="311">
        <v>175</v>
      </c>
      <c r="O25" s="311" t="s">
        <v>376</v>
      </c>
      <c r="P25" s="171">
        <f>+Q25*6.97</f>
        <v>202.13</v>
      </c>
      <c r="Q25" s="171">
        <v>29</v>
      </c>
    </row>
    <row r="26" spans="1:17" s="137" customFormat="1" ht="16.2" thickBot="1" x14ac:dyDescent="0.35">
      <c r="A26" s="317" t="s">
        <v>423</v>
      </c>
      <c r="B26" s="317"/>
      <c r="C26" s="156" t="s">
        <v>37</v>
      </c>
      <c r="D26" s="323">
        <v>19</v>
      </c>
      <c r="E26" s="157" t="s">
        <v>34</v>
      </c>
      <c r="F26" s="158">
        <f t="shared" si="4"/>
        <v>29.630000000000003</v>
      </c>
      <c r="G26" s="158">
        <f t="shared" si="5"/>
        <v>27.5</v>
      </c>
      <c r="H26" s="8">
        <v>26</v>
      </c>
      <c r="I26" s="9">
        <v>25</v>
      </c>
      <c r="J26" s="161" t="s">
        <v>35</v>
      </c>
      <c r="K26" s="5">
        <f t="shared" si="6"/>
        <v>7.1886601417482363E-2</v>
      </c>
    </row>
    <row r="27" spans="1:17" s="137" customFormat="1" ht="16.2" thickBot="1" x14ac:dyDescent="0.35">
      <c r="A27" s="317" t="s">
        <v>424</v>
      </c>
      <c r="B27" s="317"/>
      <c r="C27" s="156" t="s">
        <v>38</v>
      </c>
      <c r="D27" s="323">
        <v>20</v>
      </c>
      <c r="E27" s="157" t="s">
        <v>34</v>
      </c>
      <c r="F27" s="158">
        <f t="shared" si="4"/>
        <v>27.35</v>
      </c>
      <c r="G27" s="158">
        <f t="shared" si="5"/>
        <v>26.4</v>
      </c>
      <c r="H27" s="8">
        <v>24</v>
      </c>
      <c r="I27" s="9">
        <v>24</v>
      </c>
      <c r="J27" s="161" t="s">
        <v>35</v>
      </c>
      <c r="K27" s="5">
        <f t="shared" si="6"/>
        <v>3.4734917733089683E-2</v>
      </c>
    </row>
    <row r="28" spans="1:17" s="137" customFormat="1" ht="16.2" thickBot="1" x14ac:dyDescent="0.35">
      <c r="A28" s="317" t="s">
        <v>425</v>
      </c>
      <c r="B28" s="317"/>
      <c r="C28" s="156" t="s">
        <v>39</v>
      </c>
      <c r="D28" s="323">
        <v>21</v>
      </c>
      <c r="E28" s="157" t="s">
        <v>34</v>
      </c>
      <c r="F28" s="158">
        <f t="shared" si="4"/>
        <v>23.930000000000003</v>
      </c>
      <c r="G28" s="158">
        <f t="shared" si="5"/>
        <v>23.1</v>
      </c>
      <c r="H28" s="8">
        <v>21</v>
      </c>
      <c r="I28" s="9">
        <v>21</v>
      </c>
      <c r="J28" s="161" t="s">
        <v>35</v>
      </c>
      <c r="K28" s="5">
        <f t="shared" si="6"/>
        <v>3.4684496447973327E-2</v>
      </c>
    </row>
    <row r="29" spans="1:17" s="137" customFormat="1" ht="16.2" thickBot="1" x14ac:dyDescent="0.35">
      <c r="A29" s="317" t="s">
        <v>426</v>
      </c>
      <c r="B29" s="317"/>
      <c r="C29" s="307" t="s">
        <v>40</v>
      </c>
      <c r="D29" s="323">
        <v>22</v>
      </c>
      <c r="E29" s="308" t="s">
        <v>34</v>
      </c>
      <c r="F29" s="309">
        <f t="shared" si="4"/>
        <v>46.66</v>
      </c>
      <c r="G29" s="309">
        <f t="shared" si="5"/>
        <v>45.05</v>
      </c>
      <c r="H29" s="310">
        <f>39*1.05</f>
        <v>40.950000000000003</v>
      </c>
      <c r="I29" s="310">
        <f>39*1.05</f>
        <v>40.950000000000003</v>
      </c>
      <c r="J29" s="162" t="s">
        <v>360</v>
      </c>
      <c r="K29" s="312">
        <f t="shared" si="6"/>
        <v>3.4504929275610795E-2</v>
      </c>
      <c r="L29" s="311"/>
      <c r="M29" s="311">
        <f>+N29/6.96</f>
        <v>38.793103448275865</v>
      </c>
      <c r="N29" s="311">
        <v>270</v>
      </c>
    </row>
    <row r="30" spans="1:17" s="137" customFormat="1" ht="16.2" thickBot="1" x14ac:dyDescent="0.35">
      <c r="A30" s="317" t="s">
        <v>427</v>
      </c>
      <c r="B30" s="317"/>
      <c r="C30" s="307" t="s">
        <v>41</v>
      </c>
      <c r="D30" s="323">
        <v>23</v>
      </c>
      <c r="E30" s="308" t="s">
        <v>34</v>
      </c>
      <c r="F30" s="309">
        <f t="shared" si="4"/>
        <v>45.46</v>
      </c>
      <c r="G30" s="309">
        <f t="shared" si="5"/>
        <v>43.89</v>
      </c>
      <c r="H30" s="310">
        <f>38*1.05</f>
        <v>39.9</v>
      </c>
      <c r="I30" s="310">
        <f>38*1.05</f>
        <v>39.9</v>
      </c>
      <c r="J30" s="162" t="s">
        <v>361</v>
      </c>
      <c r="K30" s="312">
        <f t="shared" si="6"/>
        <v>3.4535855697316327E-2</v>
      </c>
      <c r="L30" s="311"/>
      <c r="M30" s="311">
        <f>+N30/6.96</f>
        <v>37.356321839080458</v>
      </c>
      <c r="N30" s="311">
        <v>260</v>
      </c>
    </row>
    <row r="31" spans="1:17" s="137" customFormat="1" ht="16.2" thickBot="1" x14ac:dyDescent="0.35">
      <c r="A31" s="317" t="s">
        <v>428</v>
      </c>
      <c r="B31" s="317"/>
      <c r="C31" s="156" t="s">
        <v>42</v>
      </c>
      <c r="D31" s="323">
        <v>24</v>
      </c>
      <c r="E31" s="157" t="s">
        <v>34</v>
      </c>
      <c r="F31" s="158">
        <f t="shared" si="4"/>
        <v>47.85</v>
      </c>
      <c r="G31" s="158">
        <f t="shared" si="5"/>
        <v>44</v>
      </c>
      <c r="H31" s="8">
        <v>42</v>
      </c>
      <c r="I31" s="9">
        <v>40</v>
      </c>
      <c r="J31" s="161" t="s">
        <v>35</v>
      </c>
      <c r="K31" s="5">
        <f t="shared" si="6"/>
        <v>8.0459770114942555E-2</v>
      </c>
    </row>
    <row r="32" spans="1:17" s="137" customFormat="1" ht="16.2" thickBot="1" x14ac:dyDescent="0.35">
      <c r="A32" s="317" t="s">
        <v>429</v>
      </c>
      <c r="B32" s="317"/>
      <c r="C32" s="156" t="s">
        <v>43</v>
      </c>
      <c r="D32" s="323">
        <v>25</v>
      </c>
      <c r="E32" s="157" t="s">
        <v>34</v>
      </c>
      <c r="F32" s="158">
        <f t="shared" si="4"/>
        <v>45.58</v>
      </c>
      <c r="G32" s="158">
        <f t="shared" si="5"/>
        <v>41.8</v>
      </c>
      <c r="H32" s="159">
        <v>40</v>
      </c>
      <c r="I32" s="160">
        <v>38</v>
      </c>
      <c r="J32" s="161" t="s">
        <v>35</v>
      </c>
      <c r="K32" s="5">
        <f t="shared" si="6"/>
        <v>8.2931110136024597E-2</v>
      </c>
    </row>
    <row r="33" spans="1:16" s="137" customFormat="1" ht="16.2" thickBot="1" x14ac:dyDescent="0.35">
      <c r="A33" s="317" t="s">
        <v>430</v>
      </c>
      <c r="B33" s="317"/>
      <c r="C33" s="156" t="s">
        <v>44</v>
      </c>
      <c r="D33" s="323">
        <v>26</v>
      </c>
      <c r="E33" s="157" t="s">
        <v>34</v>
      </c>
      <c r="F33" s="158">
        <f t="shared" si="4"/>
        <v>43.3</v>
      </c>
      <c r="G33" s="158">
        <f t="shared" si="5"/>
        <v>39.6</v>
      </c>
      <c r="H33" s="159">
        <v>38</v>
      </c>
      <c r="I33" s="160">
        <v>36</v>
      </c>
      <c r="J33" s="161" t="s">
        <v>35</v>
      </c>
      <c r="K33" s="5">
        <f t="shared" si="6"/>
        <v>8.5450346420323231E-2</v>
      </c>
    </row>
    <row r="34" spans="1:16" s="137" customFormat="1" ht="16.2" thickBot="1" x14ac:dyDescent="0.35">
      <c r="A34" s="317" t="s">
        <v>431</v>
      </c>
      <c r="B34" s="317"/>
      <c r="C34" s="156" t="s">
        <v>45</v>
      </c>
      <c r="D34" s="323">
        <v>27</v>
      </c>
      <c r="E34" s="157" t="s">
        <v>34</v>
      </c>
      <c r="F34" s="158">
        <f t="shared" si="4"/>
        <v>50.129999999999995</v>
      </c>
      <c r="G34" s="158">
        <f t="shared" si="5"/>
        <v>48.4</v>
      </c>
      <c r="H34" s="160">
        <v>44</v>
      </c>
      <c r="I34" s="160">
        <v>44</v>
      </c>
      <c r="J34" s="161" t="s">
        <v>35</v>
      </c>
      <c r="K34" s="5">
        <f t="shared" si="6"/>
        <v>3.4510273289447377E-2</v>
      </c>
    </row>
    <row r="35" spans="1:16" s="137" customFormat="1" ht="16.2" thickBot="1" x14ac:dyDescent="0.35">
      <c r="A35" s="317" t="s">
        <v>432</v>
      </c>
      <c r="B35" s="317"/>
      <c r="C35" s="156" t="s">
        <v>46</v>
      </c>
      <c r="D35" s="323">
        <v>28</v>
      </c>
      <c r="E35" s="157" t="s">
        <v>34</v>
      </c>
      <c r="F35" s="158">
        <f t="shared" si="4"/>
        <v>52.41</v>
      </c>
      <c r="G35" s="158">
        <f t="shared" si="5"/>
        <v>50.6</v>
      </c>
      <c r="H35" s="160">
        <v>46</v>
      </c>
      <c r="I35" s="160">
        <v>46</v>
      </c>
      <c r="J35" s="161" t="s">
        <v>35</v>
      </c>
      <c r="K35" s="5">
        <f t="shared" si="6"/>
        <v>3.4535394008776858E-2</v>
      </c>
      <c r="P35" s="137" t="s">
        <v>377</v>
      </c>
    </row>
    <row r="36" spans="1:16" s="137" customFormat="1" ht="16.2" thickBot="1" x14ac:dyDescent="0.35">
      <c r="A36" s="317" t="s">
        <v>433</v>
      </c>
      <c r="B36" s="317"/>
      <c r="C36" s="307" t="s">
        <v>378</v>
      </c>
      <c r="D36" s="323">
        <v>29</v>
      </c>
      <c r="E36" s="308" t="s">
        <v>601</v>
      </c>
      <c r="F36" s="309">
        <f t="shared" si="4"/>
        <v>10.799999999999999</v>
      </c>
      <c r="G36" s="309">
        <f t="shared" si="5"/>
        <v>10.43</v>
      </c>
      <c r="H36" s="313">
        <f>+N36/6</f>
        <v>9.4779166666666672</v>
      </c>
      <c r="I36" s="313">
        <f>+H36</f>
        <v>9.4779166666666672</v>
      </c>
      <c r="J36" s="162" t="s">
        <v>379</v>
      </c>
      <c r="K36" s="312">
        <f t="shared" si="6"/>
        <v>3.4259259259259191E-2</v>
      </c>
      <c r="L36" s="314">
        <f>6*1.998</f>
        <v>11.988</v>
      </c>
      <c r="M36" s="315" t="s">
        <v>380</v>
      </c>
      <c r="N36" s="171">
        <f>49.45*1.15</f>
        <v>56.8675</v>
      </c>
      <c r="O36" s="311" t="s">
        <v>257</v>
      </c>
      <c r="P36" s="311" t="s">
        <v>381</v>
      </c>
    </row>
    <row r="37" spans="1:16" s="137" customFormat="1" ht="16.2" thickBot="1" x14ac:dyDescent="0.35">
      <c r="A37" s="317" t="s">
        <v>434</v>
      </c>
      <c r="B37" s="317"/>
      <c r="C37" s="307" t="s">
        <v>383</v>
      </c>
      <c r="D37" s="323">
        <v>30</v>
      </c>
      <c r="E37" s="308" t="s">
        <v>47</v>
      </c>
      <c r="F37" s="309">
        <f t="shared" si="4"/>
        <v>9.83</v>
      </c>
      <c r="G37" s="309">
        <f t="shared" si="5"/>
        <v>9.49</v>
      </c>
      <c r="H37" s="313">
        <f>+N37</f>
        <v>8.625</v>
      </c>
      <c r="I37" s="316">
        <f>+H37</f>
        <v>8.625</v>
      </c>
      <c r="J37" s="162" t="s">
        <v>385</v>
      </c>
      <c r="K37" s="312">
        <f t="shared" si="6"/>
        <v>3.4587995930823991E-2</v>
      </c>
      <c r="L37" s="314">
        <f>6*0.257</f>
        <v>1.542</v>
      </c>
      <c r="M37" s="315" t="s">
        <v>273</v>
      </c>
      <c r="N37" s="171">
        <f>7.5*1.15</f>
        <v>8.625</v>
      </c>
      <c r="O37" s="311" t="s">
        <v>257</v>
      </c>
      <c r="P37" s="311" t="s">
        <v>387</v>
      </c>
    </row>
    <row r="38" spans="1:16" s="137" customFormat="1" ht="16.2" thickBot="1" x14ac:dyDescent="0.35">
      <c r="A38" s="317" t="s">
        <v>435</v>
      </c>
      <c r="B38" s="317"/>
      <c r="C38" s="307" t="s">
        <v>382</v>
      </c>
      <c r="D38" s="323">
        <v>31</v>
      </c>
      <c r="E38" s="308" t="s">
        <v>47</v>
      </c>
      <c r="F38" s="309">
        <f t="shared" si="4"/>
        <v>5.8999999999999995</v>
      </c>
      <c r="G38" s="309">
        <f t="shared" si="5"/>
        <v>5.7</v>
      </c>
      <c r="H38" s="313">
        <f>+N38</f>
        <v>5.1749999999999998</v>
      </c>
      <c r="I38" s="316">
        <f>+H38</f>
        <v>5.1749999999999998</v>
      </c>
      <c r="J38" s="162" t="s">
        <v>384</v>
      </c>
      <c r="K38" s="312">
        <f t="shared" si="6"/>
        <v>3.3898305084745645E-2</v>
      </c>
      <c r="L38" s="314">
        <f>6*0.151</f>
        <v>0.90599999999999992</v>
      </c>
      <c r="M38" s="315" t="s">
        <v>273</v>
      </c>
      <c r="N38" s="171">
        <f>4.5*1.15</f>
        <v>5.1749999999999998</v>
      </c>
      <c r="O38" s="311" t="s">
        <v>257</v>
      </c>
      <c r="P38" s="311" t="s">
        <v>386</v>
      </c>
    </row>
    <row r="39" spans="1:16" s="137" customFormat="1" ht="16.2" thickBot="1" x14ac:dyDescent="0.35">
      <c r="A39" s="317" t="s">
        <v>436</v>
      </c>
      <c r="B39" s="317"/>
      <c r="C39" s="156" t="s">
        <v>49</v>
      </c>
      <c r="D39" s="323">
        <v>32</v>
      </c>
      <c r="E39" s="157" t="s">
        <v>47</v>
      </c>
      <c r="F39" s="158">
        <f t="shared" si="4"/>
        <v>5.99</v>
      </c>
      <c r="G39" s="158">
        <f t="shared" si="5"/>
        <v>5.5</v>
      </c>
      <c r="H39" s="159">
        <f t="shared" ref="H39:H43" si="7">+I39*1.05</f>
        <v>5.25</v>
      </c>
      <c r="I39" s="160">
        <v>5</v>
      </c>
      <c r="J39" s="161" t="s">
        <v>48</v>
      </c>
      <c r="K39" s="5">
        <f t="shared" si="6"/>
        <v>8.1803005008347279E-2</v>
      </c>
    </row>
    <row r="40" spans="1:16" s="137" customFormat="1" ht="16.2" thickBot="1" x14ac:dyDescent="0.35">
      <c r="A40" s="317" t="s">
        <v>437</v>
      </c>
      <c r="B40" s="317"/>
      <c r="C40" s="156" t="s">
        <v>50</v>
      </c>
      <c r="D40" s="323">
        <v>33</v>
      </c>
      <c r="E40" s="157" t="s">
        <v>47</v>
      </c>
      <c r="F40" s="158">
        <f t="shared" si="4"/>
        <v>5.99</v>
      </c>
      <c r="G40" s="158">
        <f t="shared" si="5"/>
        <v>5.5</v>
      </c>
      <c r="H40" s="159">
        <f t="shared" si="7"/>
        <v>5.25</v>
      </c>
      <c r="I40" s="160">
        <v>5</v>
      </c>
      <c r="J40" s="161" t="s">
        <v>48</v>
      </c>
      <c r="K40" s="5">
        <f t="shared" si="6"/>
        <v>8.1803005008347279E-2</v>
      </c>
    </row>
    <row r="41" spans="1:16" s="137" customFormat="1" ht="16.2" thickBot="1" x14ac:dyDescent="0.35">
      <c r="A41" s="317" t="s">
        <v>438</v>
      </c>
      <c r="B41" s="317"/>
      <c r="C41" s="156" t="s">
        <v>51</v>
      </c>
      <c r="D41" s="323">
        <v>34</v>
      </c>
      <c r="E41" s="157" t="s">
        <v>47</v>
      </c>
      <c r="F41" s="158">
        <f t="shared" si="4"/>
        <v>5.99</v>
      </c>
      <c r="G41" s="158">
        <f t="shared" si="5"/>
        <v>5.5</v>
      </c>
      <c r="H41" s="159">
        <f t="shared" si="7"/>
        <v>5.25</v>
      </c>
      <c r="I41" s="160">
        <v>5</v>
      </c>
      <c r="J41" s="161" t="s">
        <v>48</v>
      </c>
      <c r="K41" s="5">
        <f t="shared" si="6"/>
        <v>8.1803005008347279E-2</v>
      </c>
    </row>
    <row r="42" spans="1:16" s="137" customFormat="1" ht="16.2" thickBot="1" x14ac:dyDescent="0.35">
      <c r="A42" s="317" t="s">
        <v>439</v>
      </c>
      <c r="B42" s="317"/>
      <c r="C42" s="156" t="s">
        <v>52</v>
      </c>
      <c r="D42" s="323">
        <v>35</v>
      </c>
      <c r="E42" s="157" t="s">
        <v>47</v>
      </c>
      <c r="F42" s="158">
        <f t="shared" si="4"/>
        <v>5.99</v>
      </c>
      <c r="G42" s="158">
        <f t="shared" si="5"/>
        <v>5.5</v>
      </c>
      <c r="H42" s="159">
        <f t="shared" si="7"/>
        <v>5.25</v>
      </c>
      <c r="I42" s="160">
        <v>5</v>
      </c>
      <c r="J42" s="161" t="s">
        <v>48</v>
      </c>
      <c r="K42" s="5">
        <f t="shared" si="6"/>
        <v>8.1803005008347279E-2</v>
      </c>
    </row>
    <row r="43" spans="1:16" s="137" customFormat="1" ht="16.2" thickBot="1" x14ac:dyDescent="0.35">
      <c r="A43" s="317" t="s">
        <v>440</v>
      </c>
      <c r="B43" s="317"/>
      <c r="C43" s="156" t="s">
        <v>53</v>
      </c>
      <c r="D43" s="323">
        <v>36</v>
      </c>
      <c r="E43" s="157" t="s">
        <v>27</v>
      </c>
      <c r="F43" s="158">
        <f t="shared" si="4"/>
        <v>101.69000000000001</v>
      </c>
      <c r="G43" s="158">
        <f t="shared" si="5"/>
        <v>93.5</v>
      </c>
      <c r="H43" s="159">
        <f t="shared" si="7"/>
        <v>89.25</v>
      </c>
      <c r="I43" s="160">
        <v>85</v>
      </c>
      <c r="J43" s="161" t="s">
        <v>48</v>
      </c>
      <c r="K43" s="5">
        <f t="shared" si="6"/>
        <v>8.0538892713147917E-2</v>
      </c>
    </row>
    <row r="44" spans="1:16" s="137" customFormat="1" ht="16.2" thickBot="1" x14ac:dyDescent="0.35">
      <c r="A44" s="317" t="s">
        <v>441</v>
      </c>
      <c r="B44" s="317"/>
      <c r="C44" s="156" t="s">
        <v>54</v>
      </c>
      <c r="D44" s="323">
        <v>37</v>
      </c>
      <c r="E44" s="157" t="s">
        <v>27</v>
      </c>
      <c r="F44" s="158">
        <f t="shared" si="4"/>
        <v>79.75</v>
      </c>
      <c r="G44" s="158">
        <f t="shared" si="5"/>
        <v>77</v>
      </c>
      <c r="H44" s="159">
        <v>70</v>
      </c>
      <c r="I44" s="160">
        <v>70</v>
      </c>
      <c r="J44" s="161" t="s">
        <v>55</v>
      </c>
      <c r="K44" s="5">
        <f t="shared" si="6"/>
        <v>3.4482758620689655E-2</v>
      </c>
    </row>
    <row r="45" spans="1:16" s="137" customFormat="1" ht="16.2" thickBot="1" x14ac:dyDescent="0.35">
      <c r="A45" s="317" t="s">
        <v>442</v>
      </c>
      <c r="B45" s="317"/>
      <c r="C45" s="156" t="s">
        <v>56</v>
      </c>
      <c r="D45" s="323">
        <v>38</v>
      </c>
      <c r="E45" s="157" t="s">
        <v>27</v>
      </c>
      <c r="F45" s="158">
        <f t="shared" si="4"/>
        <v>3.42</v>
      </c>
      <c r="G45" s="158">
        <f t="shared" si="5"/>
        <v>3.3</v>
      </c>
      <c r="H45" s="159">
        <v>3</v>
      </c>
      <c r="I45" s="160">
        <v>3</v>
      </c>
      <c r="J45" s="161" t="s">
        <v>35</v>
      </c>
      <c r="K45" s="5">
        <f t="shared" si="6"/>
        <v>3.5087719298245647E-2</v>
      </c>
    </row>
    <row r="46" spans="1:16" s="137" customFormat="1" ht="16.2" thickBot="1" x14ac:dyDescent="0.35">
      <c r="A46" s="317" t="s">
        <v>443</v>
      </c>
      <c r="B46" s="317"/>
      <c r="C46" s="307" t="s">
        <v>57</v>
      </c>
      <c r="D46" s="323">
        <v>39</v>
      </c>
      <c r="E46" s="308" t="s">
        <v>27</v>
      </c>
      <c r="F46" s="309">
        <f t="shared" si="4"/>
        <v>2.9099999999999997</v>
      </c>
      <c r="G46" s="309">
        <f t="shared" si="5"/>
        <v>2.8099999999999996</v>
      </c>
      <c r="H46" s="313">
        <f>+M46+0.15</f>
        <v>2.5499999999999998</v>
      </c>
      <c r="I46" s="316">
        <f>+H46</f>
        <v>2.5499999999999998</v>
      </c>
      <c r="J46" s="162" t="s">
        <v>402</v>
      </c>
      <c r="K46" s="312">
        <f t="shared" si="6"/>
        <v>3.4364261168384917E-2</v>
      </c>
      <c r="L46" s="311"/>
      <c r="M46" s="171">
        <v>2.4</v>
      </c>
      <c r="N46" s="311" t="s">
        <v>401</v>
      </c>
    </row>
    <row r="47" spans="1:16" s="137" customFormat="1" ht="16.2" thickBot="1" x14ac:dyDescent="0.35">
      <c r="A47" s="317" t="s">
        <v>444</v>
      </c>
      <c r="B47" s="317"/>
      <c r="C47" s="307" t="s">
        <v>58</v>
      </c>
      <c r="D47" s="323">
        <v>40</v>
      </c>
      <c r="E47" s="308" t="s">
        <v>27</v>
      </c>
      <c r="F47" s="309">
        <f t="shared" si="4"/>
        <v>3.59</v>
      </c>
      <c r="G47" s="309">
        <f t="shared" si="5"/>
        <v>3.4699999999999998</v>
      </c>
      <c r="H47" s="313">
        <f t="shared" ref="H47:H81" si="8">+M47+0.15</f>
        <v>3.15</v>
      </c>
      <c r="I47" s="316">
        <f t="shared" ref="I47:I81" si="9">+H47</f>
        <v>3.15</v>
      </c>
      <c r="J47" s="162" t="s">
        <v>402</v>
      </c>
      <c r="K47" s="312">
        <f t="shared" si="6"/>
        <v>3.3426183844011172E-2</v>
      </c>
      <c r="L47" s="311"/>
      <c r="M47" s="171">
        <v>3</v>
      </c>
      <c r="N47" s="311" t="s">
        <v>401</v>
      </c>
    </row>
    <row r="48" spans="1:16" s="137" customFormat="1" ht="16.2" thickBot="1" x14ac:dyDescent="0.35">
      <c r="A48" s="317" t="s">
        <v>445</v>
      </c>
      <c r="B48" s="317"/>
      <c r="C48" s="307" t="s">
        <v>59</v>
      </c>
      <c r="D48" s="323">
        <v>41</v>
      </c>
      <c r="E48" s="308" t="s">
        <v>27</v>
      </c>
      <c r="F48" s="309">
        <f t="shared" si="4"/>
        <v>1.32</v>
      </c>
      <c r="G48" s="309">
        <f t="shared" si="5"/>
        <v>1.27</v>
      </c>
      <c r="H48" s="313">
        <f t="shared" si="8"/>
        <v>1.1499999999999999</v>
      </c>
      <c r="I48" s="316">
        <f t="shared" si="9"/>
        <v>1.1499999999999999</v>
      </c>
      <c r="J48" s="162" t="s">
        <v>402</v>
      </c>
      <c r="K48" s="312">
        <f t="shared" si="6"/>
        <v>3.7878787878787908E-2</v>
      </c>
      <c r="L48" s="311"/>
      <c r="M48" s="171">
        <v>1</v>
      </c>
      <c r="N48" s="311" t="s">
        <v>401</v>
      </c>
    </row>
    <row r="49" spans="1:14" s="137" customFormat="1" ht="16.2" thickBot="1" x14ac:dyDescent="0.35">
      <c r="A49" s="317" t="s">
        <v>446</v>
      </c>
      <c r="B49" s="317"/>
      <c r="C49" s="307" t="s">
        <v>60</v>
      </c>
      <c r="D49" s="323">
        <v>42</v>
      </c>
      <c r="E49" s="308" t="s">
        <v>27</v>
      </c>
      <c r="F49" s="309">
        <f t="shared" si="4"/>
        <v>1.32</v>
      </c>
      <c r="G49" s="309">
        <f t="shared" si="5"/>
        <v>1.27</v>
      </c>
      <c r="H49" s="313">
        <f t="shared" si="8"/>
        <v>1.1499999999999999</v>
      </c>
      <c r="I49" s="316">
        <f t="shared" si="9"/>
        <v>1.1499999999999999</v>
      </c>
      <c r="J49" s="162" t="s">
        <v>402</v>
      </c>
      <c r="K49" s="312">
        <f t="shared" si="6"/>
        <v>3.7878787878787908E-2</v>
      </c>
      <c r="L49" s="311"/>
      <c r="M49" s="171">
        <v>1</v>
      </c>
      <c r="N49" s="311" t="s">
        <v>401</v>
      </c>
    </row>
    <row r="50" spans="1:14" s="137" customFormat="1" ht="16.2" thickBot="1" x14ac:dyDescent="0.35">
      <c r="A50" s="317" t="s">
        <v>447</v>
      </c>
      <c r="B50" s="317"/>
      <c r="C50" s="307" t="s">
        <v>61</v>
      </c>
      <c r="D50" s="323">
        <v>43</v>
      </c>
      <c r="E50" s="308" t="s">
        <v>27</v>
      </c>
      <c r="F50" s="309">
        <f t="shared" si="4"/>
        <v>8.7200000000000006</v>
      </c>
      <c r="G50" s="309">
        <f t="shared" si="5"/>
        <v>8.42</v>
      </c>
      <c r="H50" s="313">
        <f t="shared" si="8"/>
        <v>7.65</v>
      </c>
      <c r="I50" s="316">
        <f t="shared" si="9"/>
        <v>7.65</v>
      </c>
      <c r="J50" s="162" t="s">
        <v>402</v>
      </c>
      <c r="K50" s="312">
        <f t="shared" si="6"/>
        <v>3.440366972477072E-2</v>
      </c>
      <c r="L50" s="311"/>
      <c r="M50" s="171">
        <v>7.5</v>
      </c>
      <c r="N50" s="311" t="s">
        <v>401</v>
      </c>
    </row>
    <row r="51" spans="1:14" s="137" customFormat="1" ht="16.2" thickBot="1" x14ac:dyDescent="0.35">
      <c r="A51" s="317" t="s">
        <v>448</v>
      </c>
      <c r="B51" s="317"/>
      <c r="C51" s="307" t="s">
        <v>62</v>
      </c>
      <c r="D51" s="323">
        <v>44</v>
      </c>
      <c r="E51" s="308" t="s">
        <v>27</v>
      </c>
      <c r="F51" s="309">
        <f t="shared" si="4"/>
        <v>9.86</v>
      </c>
      <c r="G51" s="309">
        <f t="shared" si="5"/>
        <v>9.52</v>
      </c>
      <c r="H51" s="313">
        <f t="shared" si="8"/>
        <v>8.65</v>
      </c>
      <c r="I51" s="316">
        <f t="shared" si="9"/>
        <v>8.65</v>
      </c>
      <c r="J51" s="162" t="s">
        <v>402</v>
      </c>
      <c r="K51" s="312">
        <f t="shared" si="6"/>
        <v>3.4482758620689641E-2</v>
      </c>
      <c r="L51" s="311"/>
      <c r="M51" s="171">
        <v>8.5</v>
      </c>
      <c r="N51" s="311" t="s">
        <v>401</v>
      </c>
    </row>
    <row r="52" spans="1:14" s="137" customFormat="1" ht="16.2" thickBot="1" x14ac:dyDescent="0.35">
      <c r="A52" s="317" t="s">
        <v>449</v>
      </c>
      <c r="B52" s="317"/>
      <c r="C52" s="307" t="s">
        <v>63</v>
      </c>
      <c r="D52" s="323">
        <v>45</v>
      </c>
      <c r="E52" s="308" t="s">
        <v>27</v>
      </c>
      <c r="F52" s="309">
        <f t="shared" si="4"/>
        <v>7.92</v>
      </c>
      <c r="G52" s="309">
        <f t="shared" si="5"/>
        <v>7.6499999999999995</v>
      </c>
      <c r="H52" s="313">
        <f t="shared" si="8"/>
        <v>6.95</v>
      </c>
      <c r="I52" s="316">
        <f t="shared" si="9"/>
        <v>6.95</v>
      </c>
      <c r="J52" s="162" t="s">
        <v>402</v>
      </c>
      <c r="K52" s="312">
        <f t="shared" si="6"/>
        <v>3.4090909090909151E-2</v>
      </c>
      <c r="L52" s="311"/>
      <c r="M52" s="311">
        <v>6.8</v>
      </c>
      <c r="N52" s="311" t="s">
        <v>401</v>
      </c>
    </row>
    <row r="53" spans="1:14" s="137" customFormat="1" ht="16.2" thickBot="1" x14ac:dyDescent="0.35">
      <c r="A53" s="317" t="s">
        <v>450</v>
      </c>
      <c r="B53" s="317"/>
      <c r="C53" s="307" t="s">
        <v>64</v>
      </c>
      <c r="D53" s="323">
        <v>46</v>
      </c>
      <c r="E53" s="308" t="s">
        <v>27</v>
      </c>
      <c r="F53" s="309">
        <f t="shared" si="4"/>
        <v>7.92</v>
      </c>
      <c r="G53" s="309">
        <f t="shared" si="5"/>
        <v>7.6499999999999995</v>
      </c>
      <c r="H53" s="313">
        <f t="shared" si="8"/>
        <v>6.95</v>
      </c>
      <c r="I53" s="316">
        <f t="shared" si="9"/>
        <v>6.95</v>
      </c>
      <c r="J53" s="162" t="s">
        <v>402</v>
      </c>
      <c r="K53" s="312">
        <f t="shared" si="6"/>
        <v>3.4090909090909151E-2</v>
      </c>
      <c r="L53" s="311"/>
      <c r="M53" s="311">
        <v>6.8</v>
      </c>
      <c r="N53" s="311" t="s">
        <v>401</v>
      </c>
    </row>
    <row r="54" spans="1:14" s="137" customFormat="1" ht="16.2" thickBot="1" x14ac:dyDescent="0.35">
      <c r="A54" s="317" t="s">
        <v>451</v>
      </c>
      <c r="B54" s="317"/>
      <c r="C54" s="307" t="s">
        <v>65</v>
      </c>
      <c r="D54" s="323">
        <v>47</v>
      </c>
      <c r="E54" s="308" t="s">
        <v>27</v>
      </c>
      <c r="F54" s="309">
        <f t="shared" si="4"/>
        <v>24.1</v>
      </c>
      <c r="G54" s="309">
        <f t="shared" si="5"/>
        <v>23.270000000000003</v>
      </c>
      <c r="H54" s="313">
        <f t="shared" si="8"/>
        <v>21.15</v>
      </c>
      <c r="I54" s="316">
        <f t="shared" si="9"/>
        <v>21.15</v>
      </c>
      <c r="J54" s="162" t="s">
        <v>402</v>
      </c>
      <c r="K54" s="312">
        <f t="shared" si="6"/>
        <v>3.4439834024896192E-2</v>
      </c>
      <c r="L54" s="311"/>
      <c r="M54" s="311">
        <v>21</v>
      </c>
      <c r="N54" s="311" t="s">
        <v>401</v>
      </c>
    </row>
    <row r="55" spans="1:14" s="137" customFormat="1" ht="16.2" thickBot="1" x14ac:dyDescent="0.35">
      <c r="A55" s="317" t="s">
        <v>452</v>
      </c>
      <c r="B55" s="317"/>
      <c r="C55" s="307" t="s">
        <v>66</v>
      </c>
      <c r="D55" s="323">
        <v>48</v>
      </c>
      <c r="E55" s="308" t="s">
        <v>27</v>
      </c>
      <c r="F55" s="309">
        <f t="shared" si="4"/>
        <v>4.16</v>
      </c>
      <c r="G55" s="309">
        <f t="shared" si="5"/>
        <v>4.0199999999999996</v>
      </c>
      <c r="H55" s="313">
        <f t="shared" si="8"/>
        <v>3.65</v>
      </c>
      <c r="I55" s="316">
        <f t="shared" si="9"/>
        <v>3.65</v>
      </c>
      <c r="J55" s="162" t="s">
        <v>402</v>
      </c>
      <c r="K55" s="312">
        <f t="shared" si="6"/>
        <v>3.3653846153846291E-2</v>
      </c>
      <c r="L55" s="311"/>
      <c r="M55" s="311">
        <v>3.5</v>
      </c>
      <c r="N55" s="311" t="s">
        <v>401</v>
      </c>
    </row>
    <row r="56" spans="1:14" s="137" customFormat="1" ht="16.2" thickBot="1" x14ac:dyDescent="0.35">
      <c r="A56" s="317" t="s">
        <v>453</v>
      </c>
      <c r="B56" s="317"/>
      <c r="C56" s="307" t="s">
        <v>67</v>
      </c>
      <c r="D56" s="323">
        <v>49</v>
      </c>
      <c r="E56" s="308" t="s">
        <v>27</v>
      </c>
      <c r="F56" s="309">
        <f t="shared" si="4"/>
        <v>0.8</v>
      </c>
      <c r="G56" s="309">
        <f t="shared" si="5"/>
        <v>0.77</v>
      </c>
      <c r="H56" s="313">
        <f t="shared" si="8"/>
        <v>0.70000000000000007</v>
      </c>
      <c r="I56" s="316">
        <f t="shared" si="9"/>
        <v>0.70000000000000007</v>
      </c>
      <c r="J56" s="162" t="s">
        <v>402</v>
      </c>
      <c r="K56" s="312">
        <f t="shared" si="6"/>
        <v>3.7500000000000033E-2</v>
      </c>
      <c r="L56" s="311"/>
      <c r="M56" s="311">
        <v>0.55000000000000004</v>
      </c>
      <c r="N56" s="311" t="s">
        <v>401</v>
      </c>
    </row>
    <row r="57" spans="1:14" s="137" customFormat="1" ht="16.2" thickBot="1" x14ac:dyDescent="0.35">
      <c r="A57" s="317" t="s">
        <v>454</v>
      </c>
      <c r="B57" s="317"/>
      <c r="C57" s="307" t="s">
        <v>68</v>
      </c>
      <c r="D57" s="323">
        <v>50</v>
      </c>
      <c r="E57" s="308" t="s">
        <v>27</v>
      </c>
      <c r="F57" s="309">
        <f t="shared" si="4"/>
        <v>2.6799999999999997</v>
      </c>
      <c r="G57" s="309">
        <f t="shared" si="5"/>
        <v>2.59</v>
      </c>
      <c r="H57" s="313">
        <f t="shared" si="8"/>
        <v>2.35</v>
      </c>
      <c r="I57" s="316">
        <f t="shared" si="9"/>
        <v>2.35</v>
      </c>
      <c r="J57" s="162" t="s">
        <v>402</v>
      </c>
      <c r="K57" s="312">
        <f t="shared" si="6"/>
        <v>3.3582089552238757E-2</v>
      </c>
      <c r="L57" s="311"/>
      <c r="M57" s="311">
        <v>2.2000000000000002</v>
      </c>
      <c r="N57" s="311" t="s">
        <v>401</v>
      </c>
    </row>
    <row r="58" spans="1:14" s="137" customFormat="1" ht="16.2" thickBot="1" x14ac:dyDescent="0.35">
      <c r="A58" s="317" t="s">
        <v>455</v>
      </c>
      <c r="B58" s="317"/>
      <c r="C58" s="307" t="s">
        <v>69</v>
      </c>
      <c r="D58" s="323">
        <v>51</v>
      </c>
      <c r="E58" s="308" t="s">
        <v>27</v>
      </c>
      <c r="F58" s="309">
        <f t="shared" si="4"/>
        <v>1.77</v>
      </c>
      <c r="G58" s="309">
        <f t="shared" si="5"/>
        <v>1.71</v>
      </c>
      <c r="H58" s="313">
        <f t="shared" si="8"/>
        <v>1.5499999999999998</v>
      </c>
      <c r="I58" s="316">
        <f t="shared" si="9"/>
        <v>1.5499999999999998</v>
      </c>
      <c r="J58" s="162" t="s">
        <v>402</v>
      </c>
      <c r="K58" s="312">
        <f t="shared" si="6"/>
        <v>3.389830508474579E-2</v>
      </c>
      <c r="L58" s="311"/>
      <c r="M58" s="311">
        <v>1.4</v>
      </c>
      <c r="N58" s="311" t="s">
        <v>401</v>
      </c>
    </row>
    <row r="59" spans="1:14" s="137" customFormat="1" ht="16.2" thickBot="1" x14ac:dyDescent="0.35">
      <c r="A59" s="317" t="s">
        <v>456</v>
      </c>
      <c r="B59" s="317"/>
      <c r="C59" s="307" t="s">
        <v>70</v>
      </c>
      <c r="D59" s="323">
        <v>52</v>
      </c>
      <c r="E59" s="308" t="s">
        <v>27</v>
      </c>
      <c r="F59" s="309">
        <f t="shared" si="4"/>
        <v>10.43</v>
      </c>
      <c r="G59" s="309">
        <f t="shared" si="5"/>
        <v>10.07</v>
      </c>
      <c r="H59" s="313">
        <f t="shared" si="8"/>
        <v>9.15</v>
      </c>
      <c r="I59" s="316">
        <f t="shared" si="9"/>
        <v>9.15</v>
      </c>
      <c r="J59" s="162" t="s">
        <v>402</v>
      </c>
      <c r="K59" s="312">
        <f t="shared" si="6"/>
        <v>3.4515819750719025E-2</v>
      </c>
      <c r="L59" s="311"/>
      <c r="M59" s="311">
        <v>9</v>
      </c>
      <c r="N59" s="311" t="s">
        <v>401</v>
      </c>
    </row>
    <row r="60" spans="1:14" s="137" customFormat="1" ht="16.2" thickBot="1" x14ac:dyDescent="0.35">
      <c r="A60" s="317" t="s">
        <v>457</v>
      </c>
      <c r="B60" s="317"/>
      <c r="C60" s="307" t="s">
        <v>71</v>
      </c>
      <c r="D60" s="323">
        <v>53</v>
      </c>
      <c r="E60" s="308" t="s">
        <v>27</v>
      </c>
      <c r="F60" s="309">
        <f t="shared" si="4"/>
        <v>12.709999999999999</v>
      </c>
      <c r="G60" s="309">
        <f t="shared" si="5"/>
        <v>12.27</v>
      </c>
      <c r="H60" s="313">
        <f t="shared" si="8"/>
        <v>11.15</v>
      </c>
      <c r="I60" s="316">
        <f t="shared" si="9"/>
        <v>11.15</v>
      </c>
      <c r="J60" s="162" t="s">
        <v>402</v>
      </c>
      <c r="K60" s="312">
        <f t="shared" si="6"/>
        <v>3.4618410700235996E-2</v>
      </c>
      <c r="L60" s="311"/>
      <c r="M60" s="311">
        <v>11</v>
      </c>
      <c r="N60" s="311" t="s">
        <v>401</v>
      </c>
    </row>
    <row r="61" spans="1:14" s="137" customFormat="1" ht="16.2" thickBot="1" x14ac:dyDescent="0.35">
      <c r="A61" s="317" t="s">
        <v>458</v>
      </c>
      <c r="B61" s="317"/>
      <c r="C61" s="307" t="s">
        <v>72</v>
      </c>
      <c r="D61" s="323">
        <v>54</v>
      </c>
      <c r="E61" s="308" t="s">
        <v>27</v>
      </c>
      <c r="F61" s="309">
        <f t="shared" si="4"/>
        <v>3.3699999999999997</v>
      </c>
      <c r="G61" s="309">
        <f t="shared" si="5"/>
        <v>3.25</v>
      </c>
      <c r="H61" s="313">
        <f t="shared" si="8"/>
        <v>2.9499999999999997</v>
      </c>
      <c r="I61" s="316">
        <f t="shared" si="9"/>
        <v>2.9499999999999997</v>
      </c>
      <c r="J61" s="162" t="s">
        <v>402</v>
      </c>
      <c r="K61" s="312">
        <f t="shared" si="6"/>
        <v>3.560830860534115E-2</v>
      </c>
      <c r="L61" s="311"/>
      <c r="M61" s="311">
        <v>2.8</v>
      </c>
      <c r="N61" s="311" t="s">
        <v>401</v>
      </c>
    </row>
    <row r="62" spans="1:14" s="137" customFormat="1" ht="16.2" thickBot="1" x14ac:dyDescent="0.35">
      <c r="A62" s="317" t="s">
        <v>459</v>
      </c>
      <c r="B62" s="317"/>
      <c r="C62" s="307" t="s">
        <v>73</v>
      </c>
      <c r="D62" s="323">
        <v>55</v>
      </c>
      <c r="E62" s="308" t="s">
        <v>27</v>
      </c>
      <c r="F62" s="309">
        <f t="shared" si="4"/>
        <v>4.16</v>
      </c>
      <c r="G62" s="309">
        <f t="shared" si="5"/>
        <v>4.0199999999999996</v>
      </c>
      <c r="H62" s="313">
        <f t="shared" si="8"/>
        <v>3.65</v>
      </c>
      <c r="I62" s="316">
        <f t="shared" si="9"/>
        <v>3.65</v>
      </c>
      <c r="J62" s="162" t="s">
        <v>402</v>
      </c>
      <c r="K62" s="312">
        <f t="shared" si="6"/>
        <v>3.3653846153846291E-2</v>
      </c>
      <c r="L62" s="311"/>
      <c r="M62" s="311">
        <v>3.5</v>
      </c>
      <c r="N62" s="311" t="s">
        <v>401</v>
      </c>
    </row>
    <row r="63" spans="1:14" s="137" customFormat="1" ht="16.2" thickBot="1" x14ac:dyDescent="0.35">
      <c r="A63" s="317" t="s">
        <v>460</v>
      </c>
      <c r="B63" s="317"/>
      <c r="C63" s="307" t="s">
        <v>74</v>
      </c>
      <c r="D63" s="323">
        <v>56</v>
      </c>
      <c r="E63" s="308" t="s">
        <v>27</v>
      </c>
      <c r="F63" s="309">
        <f t="shared" si="4"/>
        <v>6.4399999999999995</v>
      </c>
      <c r="G63" s="309">
        <f t="shared" si="5"/>
        <v>6.22</v>
      </c>
      <c r="H63" s="313">
        <f t="shared" si="8"/>
        <v>5.65</v>
      </c>
      <c r="I63" s="316">
        <f t="shared" si="9"/>
        <v>5.65</v>
      </c>
      <c r="J63" s="162" t="s">
        <v>402</v>
      </c>
      <c r="K63" s="312">
        <f t="shared" si="6"/>
        <v>3.4161490683229781E-2</v>
      </c>
      <c r="L63" s="311"/>
      <c r="M63" s="311">
        <v>5.5</v>
      </c>
      <c r="N63" s="311" t="s">
        <v>401</v>
      </c>
    </row>
    <row r="64" spans="1:14" s="137" customFormat="1" ht="16.2" thickBot="1" x14ac:dyDescent="0.35">
      <c r="A64" s="317" t="s">
        <v>461</v>
      </c>
      <c r="B64" s="317"/>
      <c r="C64" s="307" t="s">
        <v>75</v>
      </c>
      <c r="D64" s="323">
        <v>57</v>
      </c>
      <c r="E64" s="308" t="s">
        <v>27</v>
      </c>
      <c r="F64" s="309">
        <f t="shared" si="4"/>
        <v>8.15</v>
      </c>
      <c r="G64" s="309">
        <f t="shared" si="5"/>
        <v>7.87</v>
      </c>
      <c r="H64" s="313">
        <f t="shared" si="8"/>
        <v>7.15</v>
      </c>
      <c r="I64" s="316">
        <f t="shared" si="9"/>
        <v>7.15</v>
      </c>
      <c r="J64" s="162" t="s">
        <v>402</v>
      </c>
      <c r="K64" s="312">
        <f t="shared" si="6"/>
        <v>3.4355828220858926E-2</v>
      </c>
      <c r="L64" s="311"/>
      <c r="M64" s="311">
        <v>7</v>
      </c>
      <c r="N64" s="311" t="s">
        <v>401</v>
      </c>
    </row>
    <row r="65" spans="1:14" s="137" customFormat="1" ht="16.2" thickBot="1" x14ac:dyDescent="0.35">
      <c r="A65" s="317" t="s">
        <v>462</v>
      </c>
      <c r="B65" s="317"/>
      <c r="C65" s="307" t="s">
        <v>76</v>
      </c>
      <c r="D65" s="323">
        <v>58</v>
      </c>
      <c r="E65" s="308" t="s">
        <v>27</v>
      </c>
      <c r="F65" s="309">
        <f t="shared" si="4"/>
        <v>10.199999999999999</v>
      </c>
      <c r="G65" s="309">
        <f t="shared" si="5"/>
        <v>9.85</v>
      </c>
      <c r="H65" s="313">
        <f t="shared" si="8"/>
        <v>8.9500000000000011</v>
      </c>
      <c r="I65" s="316">
        <f t="shared" si="9"/>
        <v>8.9500000000000011</v>
      </c>
      <c r="J65" s="162" t="s">
        <v>402</v>
      </c>
      <c r="K65" s="312">
        <f t="shared" si="6"/>
        <v>3.4313725490196047E-2</v>
      </c>
      <c r="L65" s="311"/>
      <c r="M65" s="311">
        <v>8.8000000000000007</v>
      </c>
      <c r="N65" s="311" t="s">
        <v>401</v>
      </c>
    </row>
    <row r="66" spans="1:14" s="137" customFormat="1" ht="16.2" thickBot="1" x14ac:dyDescent="0.35">
      <c r="A66" s="317" t="s">
        <v>463</v>
      </c>
      <c r="B66" s="317"/>
      <c r="C66" s="307" t="s">
        <v>77</v>
      </c>
      <c r="D66" s="323">
        <v>59</v>
      </c>
      <c r="E66" s="308" t="s">
        <v>27</v>
      </c>
      <c r="F66" s="309">
        <f t="shared" si="4"/>
        <v>22.96</v>
      </c>
      <c r="G66" s="309">
        <f t="shared" si="5"/>
        <v>22.17</v>
      </c>
      <c r="H66" s="313">
        <f t="shared" si="8"/>
        <v>20.149999999999999</v>
      </c>
      <c r="I66" s="316">
        <f t="shared" si="9"/>
        <v>20.149999999999999</v>
      </c>
      <c r="J66" s="162" t="s">
        <v>402</v>
      </c>
      <c r="K66" s="312">
        <f t="shared" si="6"/>
        <v>3.4407665505226441E-2</v>
      </c>
      <c r="L66" s="311"/>
      <c r="M66" s="311">
        <v>20</v>
      </c>
      <c r="N66" s="311" t="s">
        <v>401</v>
      </c>
    </row>
    <row r="67" spans="1:14" s="137" customFormat="1" ht="16.2" thickBot="1" x14ac:dyDescent="0.35">
      <c r="A67" s="317" t="s">
        <v>464</v>
      </c>
      <c r="B67" s="317"/>
      <c r="C67" s="307" t="s">
        <v>78</v>
      </c>
      <c r="D67" s="323">
        <v>60</v>
      </c>
      <c r="E67" s="308" t="s">
        <v>27</v>
      </c>
      <c r="F67" s="309">
        <f t="shared" si="4"/>
        <v>4.16</v>
      </c>
      <c r="G67" s="309">
        <f t="shared" si="5"/>
        <v>4.0199999999999996</v>
      </c>
      <c r="H67" s="313">
        <f t="shared" si="8"/>
        <v>3.65</v>
      </c>
      <c r="I67" s="316">
        <f t="shared" si="9"/>
        <v>3.65</v>
      </c>
      <c r="J67" s="162" t="s">
        <v>402</v>
      </c>
      <c r="K67" s="312">
        <f t="shared" si="6"/>
        <v>3.3653846153846291E-2</v>
      </c>
      <c r="L67" s="311"/>
      <c r="M67" s="311">
        <v>3.5</v>
      </c>
      <c r="N67" s="311" t="s">
        <v>401</v>
      </c>
    </row>
    <row r="68" spans="1:14" s="137" customFormat="1" ht="16.2" thickBot="1" x14ac:dyDescent="0.35">
      <c r="A68" s="317" t="s">
        <v>465</v>
      </c>
      <c r="B68" s="317"/>
      <c r="C68" s="307" t="s">
        <v>79</v>
      </c>
      <c r="D68" s="323">
        <v>61</v>
      </c>
      <c r="E68" s="308" t="s">
        <v>27</v>
      </c>
      <c r="F68" s="309">
        <f t="shared" si="4"/>
        <v>5.87</v>
      </c>
      <c r="G68" s="309">
        <f t="shared" si="5"/>
        <v>5.67</v>
      </c>
      <c r="H68" s="313">
        <f t="shared" si="8"/>
        <v>5.15</v>
      </c>
      <c r="I68" s="316">
        <f t="shared" si="9"/>
        <v>5.15</v>
      </c>
      <c r="J68" s="162" t="s">
        <v>402</v>
      </c>
      <c r="K68" s="312">
        <f t="shared" si="6"/>
        <v>3.4071550255536653E-2</v>
      </c>
      <c r="L68" s="311"/>
      <c r="M68" s="311">
        <v>5</v>
      </c>
      <c r="N68" s="311" t="s">
        <v>401</v>
      </c>
    </row>
    <row r="69" spans="1:14" s="137" customFormat="1" ht="16.2" thickBot="1" x14ac:dyDescent="0.35">
      <c r="A69" s="317" t="s">
        <v>466</v>
      </c>
      <c r="B69" s="317"/>
      <c r="C69" s="307" t="s">
        <v>80</v>
      </c>
      <c r="D69" s="323">
        <v>62</v>
      </c>
      <c r="E69" s="308" t="s">
        <v>27</v>
      </c>
      <c r="F69" s="309">
        <f t="shared" si="4"/>
        <v>5.3</v>
      </c>
      <c r="G69" s="309">
        <f t="shared" si="5"/>
        <v>5.12</v>
      </c>
      <c r="H69" s="313">
        <f t="shared" si="8"/>
        <v>4.6500000000000004</v>
      </c>
      <c r="I69" s="316">
        <f t="shared" si="9"/>
        <v>4.6500000000000004</v>
      </c>
      <c r="J69" s="162" t="s">
        <v>402</v>
      </c>
      <c r="K69" s="312">
        <f t="shared" si="6"/>
        <v>3.3962264150943347E-2</v>
      </c>
      <c r="L69" s="311"/>
      <c r="M69" s="311">
        <v>4.5</v>
      </c>
      <c r="N69" s="311" t="s">
        <v>401</v>
      </c>
    </row>
    <row r="70" spans="1:14" s="137" customFormat="1" ht="16.2" thickBot="1" x14ac:dyDescent="0.35">
      <c r="A70" s="317" t="s">
        <v>467</v>
      </c>
      <c r="B70" s="317"/>
      <c r="C70" s="307" t="s">
        <v>81</v>
      </c>
      <c r="D70" s="323">
        <v>63</v>
      </c>
      <c r="E70" s="308" t="s">
        <v>27</v>
      </c>
      <c r="F70" s="309">
        <f t="shared" si="4"/>
        <v>2.23</v>
      </c>
      <c r="G70" s="309">
        <f t="shared" si="5"/>
        <v>2.15</v>
      </c>
      <c r="H70" s="313">
        <f t="shared" si="8"/>
        <v>1.95</v>
      </c>
      <c r="I70" s="316">
        <f t="shared" si="9"/>
        <v>1.95</v>
      </c>
      <c r="J70" s="162" t="s">
        <v>402</v>
      </c>
      <c r="K70" s="312">
        <f t="shared" si="6"/>
        <v>3.5874439461883442E-2</v>
      </c>
      <c r="L70" s="311"/>
      <c r="M70" s="311">
        <v>1.8</v>
      </c>
      <c r="N70" s="311" t="s">
        <v>401</v>
      </c>
    </row>
    <row r="71" spans="1:14" s="137" customFormat="1" ht="16.2" thickBot="1" x14ac:dyDescent="0.35">
      <c r="A71" s="317" t="s">
        <v>468</v>
      </c>
      <c r="B71" s="317"/>
      <c r="C71" s="307" t="s">
        <v>82</v>
      </c>
      <c r="D71" s="323">
        <v>64</v>
      </c>
      <c r="E71" s="308" t="s">
        <v>27</v>
      </c>
      <c r="F71" s="309">
        <f t="shared" si="4"/>
        <v>20.680000000000003</v>
      </c>
      <c r="G71" s="309">
        <f t="shared" si="5"/>
        <v>19.970000000000002</v>
      </c>
      <c r="H71" s="313">
        <f t="shared" si="8"/>
        <v>18.149999999999999</v>
      </c>
      <c r="I71" s="316">
        <f t="shared" si="9"/>
        <v>18.149999999999999</v>
      </c>
      <c r="J71" s="162" t="s">
        <v>402</v>
      </c>
      <c r="K71" s="312">
        <f t="shared" si="6"/>
        <v>3.4332688588007775E-2</v>
      </c>
      <c r="L71" s="311"/>
      <c r="M71" s="311">
        <v>18</v>
      </c>
      <c r="N71" s="311" t="s">
        <v>401</v>
      </c>
    </row>
    <row r="72" spans="1:14" s="137" customFormat="1" ht="16.2" thickBot="1" x14ac:dyDescent="0.35">
      <c r="A72" s="317" t="s">
        <v>469</v>
      </c>
      <c r="B72" s="317"/>
      <c r="C72" s="307" t="s">
        <v>83</v>
      </c>
      <c r="D72" s="323">
        <v>65</v>
      </c>
      <c r="E72" s="308" t="s">
        <v>27</v>
      </c>
      <c r="F72" s="309">
        <f t="shared" si="4"/>
        <v>11</v>
      </c>
      <c r="G72" s="309">
        <f t="shared" si="5"/>
        <v>10.62</v>
      </c>
      <c r="H72" s="313">
        <f t="shared" si="8"/>
        <v>9.65</v>
      </c>
      <c r="I72" s="316">
        <f t="shared" si="9"/>
        <v>9.65</v>
      </c>
      <c r="J72" s="162" t="s">
        <v>402</v>
      </c>
      <c r="K72" s="312">
        <f t="shared" si="6"/>
        <v>3.4545454545454615E-2</v>
      </c>
      <c r="L72" s="311"/>
      <c r="M72" s="311">
        <v>9.5</v>
      </c>
      <c r="N72" s="311" t="s">
        <v>401</v>
      </c>
    </row>
    <row r="73" spans="1:14" s="137" customFormat="1" ht="16.2" thickBot="1" x14ac:dyDescent="0.35">
      <c r="A73" s="317" t="s">
        <v>470</v>
      </c>
      <c r="B73" s="317"/>
      <c r="C73" s="307" t="s">
        <v>84</v>
      </c>
      <c r="D73" s="323">
        <v>66</v>
      </c>
      <c r="E73" s="308" t="s">
        <v>27</v>
      </c>
      <c r="F73" s="309">
        <f t="shared" si="4"/>
        <v>2.4499999999999997</v>
      </c>
      <c r="G73" s="309">
        <f t="shared" si="5"/>
        <v>2.3699999999999997</v>
      </c>
      <c r="H73" s="313">
        <f t="shared" si="8"/>
        <v>2.15</v>
      </c>
      <c r="I73" s="316">
        <f t="shared" si="9"/>
        <v>2.15</v>
      </c>
      <c r="J73" s="162" t="s">
        <v>402</v>
      </c>
      <c r="K73" s="312">
        <f t="shared" si="6"/>
        <v>3.2653061224489827E-2</v>
      </c>
      <c r="L73" s="311"/>
      <c r="M73" s="311">
        <v>2</v>
      </c>
      <c r="N73" s="311" t="s">
        <v>401</v>
      </c>
    </row>
    <row r="74" spans="1:14" s="137" customFormat="1" ht="16.2" thickBot="1" x14ac:dyDescent="0.35">
      <c r="A74" s="317" t="s">
        <v>471</v>
      </c>
      <c r="B74" s="317"/>
      <c r="C74" s="307" t="s">
        <v>85</v>
      </c>
      <c r="D74" s="323">
        <v>67</v>
      </c>
      <c r="E74" s="308" t="s">
        <v>27</v>
      </c>
      <c r="F74" s="309">
        <f t="shared" si="4"/>
        <v>16.130000000000003</v>
      </c>
      <c r="G74" s="309">
        <f t="shared" si="5"/>
        <v>15.57</v>
      </c>
      <c r="H74" s="313">
        <f t="shared" si="8"/>
        <v>14.15</v>
      </c>
      <c r="I74" s="316">
        <f t="shared" si="9"/>
        <v>14.15</v>
      </c>
      <c r="J74" s="162" t="s">
        <v>402</v>
      </c>
      <c r="K74" s="312">
        <f t="shared" si="6"/>
        <v>3.4717916924984639E-2</v>
      </c>
      <c r="L74" s="311"/>
      <c r="M74" s="311">
        <v>14</v>
      </c>
      <c r="N74" s="311" t="s">
        <v>401</v>
      </c>
    </row>
    <row r="75" spans="1:14" s="137" customFormat="1" ht="16.2" thickBot="1" x14ac:dyDescent="0.35">
      <c r="A75" s="317" t="s">
        <v>472</v>
      </c>
      <c r="B75" s="317"/>
      <c r="C75" s="307" t="s">
        <v>86</v>
      </c>
      <c r="D75" s="323">
        <v>68</v>
      </c>
      <c r="E75" s="308" t="s">
        <v>27</v>
      </c>
      <c r="F75" s="309">
        <f t="shared" si="4"/>
        <v>7.01</v>
      </c>
      <c r="G75" s="309">
        <f t="shared" si="5"/>
        <v>6.77</v>
      </c>
      <c r="H75" s="313">
        <f t="shared" si="8"/>
        <v>6.15</v>
      </c>
      <c r="I75" s="316">
        <f t="shared" si="9"/>
        <v>6.15</v>
      </c>
      <c r="J75" s="162" t="s">
        <v>402</v>
      </c>
      <c r="K75" s="312">
        <f t="shared" si="6"/>
        <v>3.4236804564907304E-2</v>
      </c>
      <c r="L75" s="311"/>
      <c r="M75" s="311">
        <v>6</v>
      </c>
      <c r="N75" s="311" t="s">
        <v>401</v>
      </c>
    </row>
    <row r="76" spans="1:14" s="137" customFormat="1" ht="16.2" thickBot="1" x14ac:dyDescent="0.35">
      <c r="A76" s="317" t="s">
        <v>473</v>
      </c>
      <c r="B76" s="317"/>
      <c r="C76" s="307" t="s">
        <v>87</v>
      </c>
      <c r="D76" s="323">
        <v>69</v>
      </c>
      <c r="E76" s="308" t="s">
        <v>27</v>
      </c>
      <c r="F76" s="309">
        <f t="shared" si="4"/>
        <v>7.01</v>
      </c>
      <c r="G76" s="309">
        <f t="shared" si="5"/>
        <v>6.77</v>
      </c>
      <c r="H76" s="313">
        <f t="shared" si="8"/>
        <v>6.15</v>
      </c>
      <c r="I76" s="316">
        <f t="shared" si="9"/>
        <v>6.15</v>
      </c>
      <c r="J76" s="162" t="s">
        <v>402</v>
      </c>
      <c r="K76" s="312">
        <f t="shared" si="6"/>
        <v>3.4236804564907304E-2</v>
      </c>
      <c r="L76" s="311"/>
      <c r="M76" s="311">
        <v>6</v>
      </c>
      <c r="N76" s="311" t="s">
        <v>401</v>
      </c>
    </row>
    <row r="77" spans="1:14" s="137" customFormat="1" ht="16.2" thickBot="1" x14ac:dyDescent="0.35">
      <c r="A77" s="317" t="s">
        <v>474</v>
      </c>
      <c r="B77" s="317"/>
      <c r="C77" s="307" t="s">
        <v>88</v>
      </c>
      <c r="D77" s="323">
        <v>70</v>
      </c>
      <c r="E77" s="308" t="s">
        <v>27</v>
      </c>
      <c r="F77" s="309">
        <f t="shared" si="4"/>
        <v>2.4499999999999997</v>
      </c>
      <c r="G77" s="309">
        <f t="shared" si="5"/>
        <v>2.3699999999999997</v>
      </c>
      <c r="H77" s="313">
        <f t="shared" si="8"/>
        <v>2.15</v>
      </c>
      <c r="I77" s="316">
        <f t="shared" si="9"/>
        <v>2.15</v>
      </c>
      <c r="J77" s="162" t="s">
        <v>402</v>
      </c>
      <c r="K77" s="312">
        <f t="shared" si="6"/>
        <v>3.2653061224489827E-2</v>
      </c>
      <c r="L77" s="311"/>
      <c r="M77" s="311">
        <v>2</v>
      </c>
      <c r="N77" s="311" t="s">
        <v>401</v>
      </c>
    </row>
    <row r="78" spans="1:14" s="137" customFormat="1" ht="16.2" thickBot="1" x14ac:dyDescent="0.35">
      <c r="A78" s="317" t="s">
        <v>475</v>
      </c>
      <c r="B78" s="317"/>
      <c r="C78" s="307" t="s">
        <v>89</v>
      </c>
      <c r="D78" s="323">
        <v>71</v>
      </c>
      <c r="E78" s="308" t="s">
        <v>27</v>
      </c>
      <c r="F78" s="309">
        <f t="shared" si="4"/>
        <v>2.6799999999999997</v>
      </c>
      <c r="G78" s="309">
        <f t="shared" si="5"/>
        <v>2.59</v>
      </c>
      <c r="H78" s="313">
        <f t="shared" si="8"/>
        <v>2.35</v>
      </c>
      <c r="I78" s="316">
        <f t="shared" si="9"/>
        <v>2.35</v>
      </c>
      <c r="J78" s="162" t="s">
        <v>402</v>
      </c>
      <c r="K78" s="312">
        <f t="shared" si="6"/>
        <v>3.3582089552238757E-2</v>
      </c>
      <c r="L78" s="311"/>
      <c r="M78" s="311">
        <v>2.2000000000000002</v>
      </c>
      <c r="N78" s="311" t="s">
        <v>401</v>
      </c>
    </row>
    <row r="79" spans="1:14" s="137" customFormat="1" ht="16.2" thickBot="1" x14ac:dyDescent="0.35">
      <c r="A79" s="317" t="s">
        <v>476</v>
      </c>
      <c r="B79" s="317"/>
      <c r="C79" s="307" t="s">
        <v>90</v>
      </c>
      <c r="D79" s="323">
        <v>72</v>
      </c>
      <c r="E79" s="308" t="s">
        <v>27</v>
      </c>
      <c r="F79" s="309">
        <f t="shared" si="4"/>
        <v>3.82</v>
      </c>
      <c r="G79" s="309">
        <f t="shared" si="5"/>
        <v>3.69</v>
      </c>
      <c r="H79" s="313">
        <f t="shared" si="8"/>
        <v>3.35</v>
      </c>
      <c r="I79" s="316">
        <f t="shared" si="9"/>
        <v>3.35</v>
      </c>
      <c r="J79" s="162" t="s">
        <v>402</v>
      </c>
      <c r="K79" s="312">
        <f t="shared" si="6"/>
        <v>3.4031413612565418E-2</v>
      </c>
      <c r="L79" s="311"/>
      <c r="M79" s="311">
        <v>3.2</v>
      </c>
      <c r="N79" s="311" t="s">
        <v>401</v>
      </c>
    </row>
    <row r="80" spans="1:14" s="137" customFormat="1" ht="16.2" thickBot="1" x14ac:dyDescent="0.35">
      <c r="A80" s="317" t="s">
        <v>477</v>
      </c>
      <c r="B80" s="317"/>
      <c r="C80" s="307" t="s">
        <v>91</v>
      </c>
      <c r="D80" s="323">
        <v>73</v>
      </c>
      <c r="E80" s="308" t="s">
        <v>27</v>
      </c>
      <c r="F80" s="309">
        <f t="shared" si="4"/>
        <v>7.24</v>
      </c>
      <c r="G80" s="309">
        <f t="shared" si="5"/>
        <v>6.99</v>
      </c>
      <c r="H80" s="313">
        <f t="shared" si="8"/>
        <v>6.3500000000000005</v>
      </c>
      <c r="I80" s="316">
        <f t="shared" si="9"/>
        <v>6.3500000000000005</v>
      </c>
      <c r="J80" s="162" t="s">
        <v>402</v>
      </c>
      <c r="K80" s="312">
        <f t="shared" si="6"/>
        <v>3.4530386740331494E-2</v>
      </c>
      <c r="L80" s="311"/>
      <c r="M80" s="311">
        <v>6.2</v>
      </c>
      <c r="N80" s="311" t="s">
        <v>401</v>
      </c>
    </row>
    <row r="81" spans="1:14" s="137" customFormat="1" ht="16.2" thickBot="1" x14ac:dyDescent="0.35">
      <c r="A81" s="317" t="s">
        <v>478</v>
      </c>
      <c r="B81" s="317"/>
      <c r="C81" s="307" t="s">
        <v>92</v>
      </c>
      <c r="D81" s="323">
        <v>74</v>
      </c>
      <c r="E81" s="308" t="s">
        <v>27</v>
      </c>
      <c r="F81" s="309">
        <f t="shared" si="4"/>
        <v>8.15</v>
      </c>
      <c r="G81" s="309">
        <f t="shared" si="5"/>
        <v>7.87</v>
      </c>
      <c r="H81" s="313">
        <f t="shared" si="8"/>
        <v>7.15</v>
      </c>
      <c r="I81" s="316">
        <f t="shared" si="9"/>
        <v>7.15</v>
      </c>
      <c r="J81" s="162" t="s">
        <v>402</v>
      </c>
      <c r="K81" s="312">
        <f t="shared" si="6"/>
        <v>3.4355828220858926E-2</v>
      </c>
      <c r="L81" s="311"/>
      <c r="M81" s="311">
        <v>7</v>
      </c>
      <c r="N81" s="311" t="s">
        <v>401</v>
      </c>
    </row>
    <row r="82" spans="1:14" s="137" customFormat="1" ht="16.2" thickBot="1" x14ac:dyDescent="0.35">
      <c r="A82" s="317" t="s">
        <v>479</v>
      </c>
      <c r="B82" s="317"/>
      <c r="C82" s="307" t="s">
        <v>93</v>
      </c>
      <c r="D82" s="323">
        <v>75</v>
      </c>
      <c r="E82" s="308" t="s">
        <v>34</v>
      </c>
      <c r="F82" s="309">
        <f t="shared" si="4"/>
        <v>11.4</v>
      </c>
      <c r="G82" s="309">
        <f t="shared" si="5"/>
        <v>11</v>
      </c>
      <c r="H82" s="313">
        <v>10</v>
      </c>
      <c r="I82" s="316">
        <v>10</v>
      </c>
      <c r="J82" s="162" t="s">
        <v>595</v>
      </c>
      <c r="K82" s="312">
        <f t="shared" si="6"/>
        <v>3.5087719298245647E-2</v>
      </c>
      <c r="L82" s="311"/>
      <c r="M82" s="311">
        <v>8</v>
      </c>
      <c r="N82" s="311" t="s">
        <v>400</v>
      </c>
    </row>
    <row r="83" spans="1:14" s="137" customFormat="1" ht="16.2" thickBot="1" x14ac:dyDescent="0.35">
      <c r="A83" s="317" t="s">
        <v>480</v>
      </c>
      <c r="B83" s="317"/>
      <c r="C83" s="155" t="s">
        <v>252</v>
      </c>
      <c r="D83" s="323">
        <v>76</v>
      </c>
      <c r="E83" s="157" t="s">
        <v>27</v>
      </c>
      <c r="F83" s="158">
        <f t="shared" si="4"/>
        <v>68.36</v>
      </c>
      <c r="G83" s="158">
        <f t="shared" si="5"/>
        <v>66</v>
      </c>
      <c r="H83" s="159">
        <v>60</v>
      </c>
      <c r="I83" s="160">
        <v>60</v>
      </c>
      <c r="J83" s="172" t="s">
        <v>591</v>
      </c>
      <c r="K83" s="5">
        <f t="shared" si="6"/>
        <v>3.4523112931538903E-2</v>
      </c>
    </row>
    <row r="84" spans="1:14" s="137" customFormat="1" ht="16.2" thickBot="1" x14ac:dyDescent="0.35">
      <c r="A84" s="317" t="s">
        <v>481</v>
      </c>
      <c r="B84" s="317"/>
      <c r="C84" s="155" t="s">
        <v>251</v>
      </c>
      <c r="D84" s="323">
        <v>77</v>
      </c>
      <c r="E84" s="157" t="s">
        <v>27</v>
      </c>
      <c r="F84" s="158">
        <f t="shared" si="4"/>
        <v>22.790000000000003</v>
      </c>
      <c r="G84" s="158">
        <f t="shared" si="5"/>
        <v>21.12</v>
      </c>
      <c r="H84" s="159">
        <v>20</v>
      </c>
      <c r="I84" s="160">
        <f>+H84*0.96</f>
        <v>19.2</v>
      </c>
      <c r="J84" s="172" t="s">
        <v>602</v>
      </c>
      <c r="K84" s="5">
        <f t="shared" si="6"/>
        <v>7.3277753400614376E-2</v>
      </c>
    </row>
    <row r="85" spans="1:14" s="137" customFormat="1" ht="16.2" thickBot="1" x14ac:dyDescent="0.35">
      <c r="A85" s="317" t="s">
        <v>482</v>
      </c>
      <c r="B85" s="317"/>
      <c r="C85" s="307" t="s">
        <v>622</v>
      </c>
      <c r="D85" s="323">
        <v>78</v>
      </c>
      <c r="E85" s="308" t="s">
        <v>27</v>
      </c>
      <c r="F85" s="158">
        <f t="shared" ref="F85" si="10">ROUNDUP(H85*0.87*1.1/0.84,2)</f>
        <v>16.64</v>
      </c>
      <c r="G85" s="158">
        <f t="shared" ref="G85" si="11">ROUNDUP(I85*1.1,2)</f>
        <v>16.059999999999999</v>
      </c>
      <c r="H85" s="160">
        <f>H65+H63</f>
        <v>14.600000000000001</v>
      </c>
      <c r="I85" s="160">
        <f>I65+I63</f>
        <v>14.600000000000001</v>
      </c>
      <c r="J85" s="162" t="s">
        <v>402</v>
      </c>
      <c r="K85" s="312">
        <f t="shared" ref="K85" si="12">(-G85+F85)/F85</f>
        <v>3.4855769230769343E-2</v>
      </c>
      <c r="L85" s="311"/>
      <c r="M85" s="171">
        <f>I85-0.15</f>
        <v>14.450000000000001</v>
      </c>
      <c r="N85" s="311" t="s">
        <v>401</v>
      </c>
    </row>
    <row r="86" spans="1:14" s="137" customFormat="1" ht="16.2" thickBot="1" x14ac:dyDescent="0.35">
      <c r="A86" s="317" t="s">
        <v>483</v>
      </c>
      <c r="B86" s="317"/>
      <c r="C86" s="155"/>
      <c r="D86" s="323">
        <v>79</v>
      </c>
      <c r="E86" s="157"/>
      <c r="F86" s="158"/>
      <c r="G86" s="158"/>
      <c r="H86" s="159"/>
      <c r="I86" s="160"/>
      <c r="J86" s="172"/>
      <c r="K86" s="5"/>
    </row>
    <row r="87" spans="1:14" s="137" customFormat="1" ht="16.2" thickBot="1" x14ac:dyDescent="0.35">
      <c r="A87" s="317" t="s">
        <v>484</v>
      </c>
      <c r="B87" s="317"/>
      <c r="C87" s="155"/>
      <c r="D87" s="323">
        <v>80</v>
      </c>
      <c r="E87" s="157"/>
      <c r="F87" s="158"/>
      <c r="G87" s="158"/>
      <c r="H87" s="159"/>
      <c r="I87" s="160"/>
      <c r="J87" s="172"/>
      <c r="K87" s="5"/>
    </row>
    <row r="88" spans="1:14" s="137" customFormat="1" ht="16.2" thickBot="1" x14ac:dyDescent="0.35">
      <c r="A88" s="317" t="s">
        <v>485</v>
      </c>
      <c r="B88" s="317"/>
      <c r="C88" s="155"/>
      <c r="D88" s="323">
        <v>81</v>
      </c>
      <c r="E88" s="157"/>
      <c r="F88" s="158"/>
      <c r="G88" s="158"/>
      <c r="H88" s="159"/>
      <c r="I88" s="160"/>
      <c r="J88" s="172"/>
      <c r="K88" s="5"/>
    </row>
    <row r="89" spans="1:14" s="137" customFormat="1" ht="16.2" thickBot="1" x14ac:dyDescent="0.35">
      <c r="A89" s="317" t="s">
        <v>486</v>
      </c>
      <c r="B89" s="317"/>
      <c r="C89" s="155"/>
      <c r="D89" s="323">
        <v>82</v>
      </c>
      <c r="E89" s="157"/>
      <c r="F89" s="158"/>
      <c r="G89" s="158"/>
      <c r="H89" s="159"/>
      <c r="I89" s="160"/>
      <c r="J89" s="172"/>
      <c r="K89" s="5"/>
    </row>
    <row r="90" spans="1:14" s="137" customFormat="1" ht="16.2" thickBot="1" x14ac:dyDescent="0.35">
      <c r="A90" s="317" t="s">
        <v>487</v>
      </c>
      <c r="B90" s="317"/>
      <c r="C90" s="155"/>
      <c r="D90" s="323">
        <v>83</v>
      </c>
      <c r="E90" s="157"/>
      <c r="F90" s="158"/>
      <c r="G90" s="158"/>
      <c r="H90" s="159"/>
      <c r="I90" s="160"/>
      <c r="J90" s="172"/>
      <c r="K90" s="5"/>
    </row>
    <row r="91" spans="1:14" s="137" customFormat="1" ht="16.2" thickBot="1" x14ac:dyDescent="0.35">
      <c r="A91" s="317" t="s">
        <v>488</v>
      </c>
      <c r="B91" s="317"/>
      <c r="C91" s="155"/>
      <c r="D91" s="323">
        <v>84</v>
      </c>
      <c r="E91" s="157"/>
      <c r="F91" s="158"/>
      <c r="G91" s="158"/>
      <c r="H91" s="159"/>
      <c r="I91" s="160"/>
      <c r="J91" s="172"/>
      <c r="K91" s="5"/>
    </row>
    <row r="92" spans="1:14" s="137" customFormat="1" ht="16.2" thickBot="1" x14ac:dyDescent="0.35">
      <c r="A92" s="317" t="s">
        <v>489</v>
      </c>
      <c r="B92" s="317"/>
      <c r="C92" s="155"/>
      <c r="D92" s="323">
        <v>85</v>
      </c>
      <c r="E92" s="157"/>
      <c r="F92" s="158"/>
      <c r="G92" s="158"/>
      <c r="H92" s="159"/>
      <c r="I92" s="160"/>
      <c r="J92" s="172"/>
      <c r="K92" s="5"/>
    </row>
    <row r="93" spans="1:14" s="137" customFormat="1" ht="16.2" thickBot="1" x14ac:dyDescent="0.35">
      <c r="A93" s="317" t="s">
        <v>490</v>
      </c>
      <c r="B93" s="317"/>
      <c r="C93" s="155"/>
      <c r="D93" s="323">
        <v>86</v>
      </c>
      <c r="E93" s="157"/>
      <c r="F93" s="158"/>
      <c r="G93" s="158"/>
      <c r="H93" s="159"/>
      <c r="I93" s="160"/>
      <c r="J93" s="172"/>
      <c r="K93" s="5"/>
    </row>
    <row r="94" spans="1:14" s="137" customFormat="1" ht="16.2" thickBot="1" x14ac:dyDescent="0.35">
      <c r="A94" s="317" t="s">
        <v>631</v>
      </c>
      <c r="B94" s="317"/>
      <c r="C94" s="155"/>
      <c r="D94" s="323">
        <v>87</v>
      </c>
      <c r="E94" s="157"/>
      <c r="F94" s="158"/>
      <c r="G94" s="158"/>
      <c r="H94" s="159"/>
      <c r="I94" s="160"/>
      <c r="J94" s="161"/>
      <c r="K94" s="5"/>
    </row>
    <row r="95" spans="1:14" s="137" customFormat="1" ht="21.6" thickBot="1" x14ac:dyDescent="0.45">
      <c r="A95" s="176"/>
      <c r="B95" s="176"/>
      <c r="C95" s="168" t="s">
        <v>94</v>
      </c>
      <c r="D95" s="157"/>
      <c r="E95" s="157"/>
      <c r="F95" s="158"/>
      <c r="G95" s="158"/>
      <c r="H95" s="159"/>
      <c r="I95" s="160"/>
      <c r="J95" s="161"/>
      <c r="K95" s="5"/>
    </row>
    <row r="96" spans="1:14" s="137" customFormat="1" ht="16.2" thickBot="1" x14ac:dyDescent="0.35">
      <c r="A96" s="317" t="s">
        <v>491</v>
      </c>
      <c r="B96" s="317"/>
      <c r="C96" s="156" t="s">
        <v>95</v>
      </c>
      <c r="D96" s="323">
        <v>88</v>
      </c>
      <c r="E96" s="157" t="s">
        <v>96</v>
      </c>
      <c r="F96" s="158">
        <f>ROUNDUP(H96*0.87*1.1/0.84,2)</f>
        <v>8.82</v>
      </c>
      <c r="G96" s="158">
        <f>ROUNDUP(I96*1.1,2)</f>
        <v>8.18</v>
      </c>
      <c r="H96" s="159">
        <f>6.73*1.15</f>
        <v>7.7394999999999996</v>
      </c>
      <c r="I96" s="159">
        <f>0.96*H96</f>
        <v>7.4299199999999992</v>
      </c>
      <c r="J96" s="162" t="s">
        <v>272</v>
      </c>
      <c r="K96" s="5">
        <f t="shared" ref="K96:K109" si="13">(-G96+F96)/F96</f>
        <v>7.2562358276644048E-2</v>
      </c>
    </row>
    <row r="97" spans="1:12" s="137" customFormat="1" ht="16.2" thickBot="1" x14ac:dyDescent="0.35">
      <c r="A97" s="317" t="s">
        <v>492</v>
      </c>
      <c r="B97" s="317"/>
      <c r="C97" s="156" t="s">
        <v>97</v>
      </c>
      <c r="D97" s="323">
        <v>89</v>
      </c>
      <c r="E97" s="157" t="s">
        <v>96</v>
      </c>
      <c r="F97" s="158">
        <f>ROUNDUP(H97*0.87*1.1/0.84,2)</f>
        <v>8.82</v>
      </c>
      <c r="G97" s="158">
        <f>ROUNDUP(I97*1.1,2)</f>
        <v>8.18</v>
      </c>
      <c r="H97" s="159">
        <f>6.73*1.15</f>
        <v>7.7394999999999996</v>
      </c>
      <c r="I97" s="159">
        <f>0.96*H97</f>
        <v>7.4299199999999992</v>
      </c>
      <c r="J97" s="162" t="s">
        <v>272</v>
      </c>
      <c r="K97" s="5">
        <f t="shared" si="13"/>
        <v>7.2562358276644048E-2</v>
      </c>
    </row>
    <row r="98" spans="1:12" s="137" customFormat="1" ht="16.2" thickBot="1" x14ac:dyDescent="0.35">
      <c r="A98" s="317" t="s">
        <v>493</v>
      </c>
      <c r="B98" s="317"/>
      <c r="C98" s="156" t="s">
        <v>98</v>
      </c>
      <c r="D98" s="323">
        <v>90</v>
      </c>
      <c r="E98" s="157" t="s">
        <v>34</v>
      </c>
      <c r="F98" s="158">
        <f t="shared" ref="F98:F161" si="14">ROUNDUP(H98*0.87*1.1/0.84,2)</f>
        <v>10.07</v>
      </c>
      <c r="G98" s="158">
        <f t="shared" ref="G98:G161" si="15">ROUNDUP(I98*1.1,2)</f>
        <v>9.7200000000000006</v>
      </c>
      <c r="H98" s="160">
        <f>7.68*1.15</f>
        <v>8.831999999999999</v>
      </c>
      <c r="I98" s="160">
        <f>7.68*1.15</f>
        <v>8.831999999999999</v>
      </c>
      <c r="J98" s="173" t="s">
        <v>274</v>
      </c>
      <c r="K98" s="5">
        <f t="shared" si="13"/>
        <v>3.4756703078450808E-2</v>
      </c>
    </row>
    <row r="99" spans="1:12" s="137" customFormat="1" ht="16.2" thickBot="1" x14ac:dyDescent="0.35">
      <c r="A99" s="317" t="s">
        <v>494</v>
      </c>
      <c r="B99" s="317"/>
      <c r="C99" s="156" t="s">
        <v>99</v>
      </c>
      <c r="D99" s="323">
        <v>91</v>
      </c>
      <c r="E99" s="157" t="s">
        <v>34</v>
      </c>
      <c r="F99" s="158">
        <f t="shared" si="14"/>
        <v>12.43</v>
      </c>
      <c r="G99" s="158">
        <f t="shared" si="15"/>
        <v>12</v>
      </c>
      <c r="H99" s="160">
        <f>9.48*1.15</f>
        <v>10.901999999999999</v>
      </c>
      <c r="I99" s="160">
        <f>9.48*1.15</f>
        <v>10.901999999999999</v>
      </c>
      <c r="J99" s="173" t="s">
        <v>275</v>
      </c>
      <c r="K99" s="5">
        <f t="shared" si="13"/>
        <v>3.4593724859211562E-2</v>
      </c>
      <c r="L99" s="137">
        <f>74/(3.66*2.134)</f>
        <v>9.4744982356947887</v>
      </c>
    </row>
    <row r="100" spans="1:12" s="137" customFormat="1" ht="16.2" thickBot="1" x14ac:dyDescent="0.35">
      <c r="A100" s="317" t="s">
        <v>495</v>
      </c>
      <c r="B100" s="317"/>
      <c r="C100" s="156" t="s">
        <v>100</v>
      </c>
      <c r="D100" s="323">
        <v>92</v>
      </c>
      <c r="E100" s="157" t="s">
        <v>34</v>
      </c>
      <c r="F100" s="158">
        <f t="shared" si="14"/>
        <v>14.1</v>
      </c>
      <c r="G100" s="158">
        <f t="shared" si="15"/>
        <v>13.62</v>
      </c>
      <c r="H100" s="160">
        <f>10.76*1.15</f>
        <v>12.373999999999999</v>
      </c>
      <c r="I100" s="160">
        <f>10.76*1.15</f>
        <v>12.373999999999999</v>
      </c>
      <c r="J100" s="173" t="s">
        <v>276</v>
      </c>
      <c r="K100" s="5">
        <f t="shared" si="13"/>
        <v>3.404255319148939E-2</v>
      </c>
      <c r="L100" s="137">
        <f>84/(3.66*2.134)</f>
        <v>10.754835835113003</v>
      </c>
    </row>
    <row r="101" spans="1:12" s="137" customFormat="1" ht="16.2" thickBot="1" x14ac:dyDescent="0.35">
      <c r="A101" s="317" t="s">
        <v>496</v>
      </c>
      <c r="B101" s="317"/>
      <c r="C101" s="156" t="s">
        <v>101</v>
      </c>
      <c r="D101" s="323">
        <v>93</v>
      </c>
      <c r="E101" s="157" t="s">
        <v>34</v>
      </c>
      <c r="F101" s="158">
        <f t="shared" si="14"/>
        <v>18.740000000000002</v>
      </c>
      <c r="G101" s="158">
        <f t="shared" si="15"/>
        <v>18.09</v>
      </c>
      <c r="H101" s="160">
        <f>14.3*1.15</f>
        <v>16.445</v>
      </c>
      <c r="I101" s="160">
        <f>14.3*1.15</f>
        <v>16.445</v>
      </c>
      <c r="J101" s="173" t="s">
        <v>277</v>
      </c>
      <c r="K101" s="5">
        <f t="shared" si="13"/>
        <v>3.4685165421558271E-2</v>
      </c>
      <c r="L101" s="137">
        <f>110/(3.66*2.134)</f>
        <v>14.083713593600361</v>
      </c>
    </row>
    <row r="102" spans="1:12" s="137" customFormat="1" ht="16.2" thickBot="1" x14ac:dyDescent="0.35">
      <c r="A102" s="317" t="s">
        <v>497</v>
      </c>
      <c r="B102" s="317"/>
      <c r="C102" s="156" t="s">
        <v>102</v>
      </c>
      <c r="D102" s="323">
        <v>94</v>
      </c>
      <c r="E102" s="157" t="s">
        <v>34</v>
      </c>
      <c r="F102" s="158">
        <f t="shared" si="14"/>
        <v>13.22</v>
      </c>
      <c r="G102" s="158">
        <f t="shared" si="15"/>
        <v>12.77</v>
      </c>
      <c r="H102" s="160">
        <f>10.09*1.15</f>
        <v>11.603499999999999</v>
      </c>
      <c r="I102" s="160">
        <f>10.09*1.15</f>
        <v>11.603499999999999</v>
      </c>
      <c r="J102" s="174" t="s">
        <v>278</v>
      </c>
      <c r="K102" s="5">
        <f t="shared" si="13"/>
        <v>3.4039334341906279E-2</v>
      </c>
    </row>
    <row r="103" spans="1:12" s="137" customFormat="1" ht="16.2" thickBot="1" x14ac:dyDescent="0.35">
      <c r="A103" s="317" t="s">
        <v>498</v>
      </c>
      <c r="B103" s="317"/>
      <c r="C103" s="156" t="s">
        <v>103</v>
      </c>
      <c r="D103" s="323">
        <v>95</v>
      </c>
      <c r="E103" s="157" t="s">
        <v>34</v>
      </c>
      <c r="F103" s="158">
        <f t="shared" si="14"/>
        <v>14.52</v>
      </c>
      <c r="G103" s="158">
        <f t="shared" si="15"/>
        <v>14.02</v>
      </c>
      <c r="H103" s="160">
        <f>11.08*1.15</f>
        <v>12.741999999999999</v>
      </c>
      <c r="I103" s="160">
        <f>11.08*1.15</f>
        <v>12.741999999999999</v>
      </c>
      <c r="J103" s="173" t="s">
        <v>279</v>
      </c>
      <c r="K103" s="5">
        <f t="shared" si="13"/>
        <v>3.4435261707988982E-2</v>
      </c>
    </row>
    <row r="104" spans="1:12" s="137" customFormat="1" ht="16.2" thickBot="1" x14ac:dyDescent="0.35">
      <c r="A104" s="317" t="s">
        <v>499</v>
      </c>
      <c r="B104" s="317"/>
      <c r="C104" s="156" t="s">
        <v>104</v>
      </c>
      <c r="D104" s="323">
        <v>96</v>
      </c>
      <c r="E104" s="157" t="s">
        <v>34</v>
      </c>
      <c r="F104" s="158">
        <f t="shared" si="14"/>
        <v>18.78</v>
      </c>
      <c r="G104" s="158">
        <f t="shared" si="15"/>
        <v>18.130000000000003</v>
      </c>
      <c r="H104" s="160">
        <f>14.33*1.15</f>
        <v>16.479499999999998</v>
      </c>
      <c r="I104" s="160">
        <f>14.33*1.15</f>
        <v>16.479499999999998</v>
      </c>
      <c r="J104" s="174" t="s">
        <v>280</v>
      </c>
      <c r="K104" s="5">
        <f t="shared" si="13"/>
        <v>3.4611288604898753E-2</v>
      </c>
    </row>
    <row r="105" spans="1:12" s="137" customFormat="1" ht="16.2" thickBot="1" x14ac:dyDescent="0.35">
      <c r="A105" s="317" t="s">
        <v>500</v>
      </c>
      <c r="B105" s="317"/>
      <c r="C105" s="156" t="s">
        <v>105</v>
      </c>
      <c r="D105" s="323">
        <v>97</v>
      </c>
      <c r="E105" s="157" t="s">
        <v>34</v>
      </c>
      <c r="F105" s="158">
        <f t="shared" si="14"/>
        <v>21.82</v>
      </c>
      <c r="G105" s="158">
        <f t="shared" si="15"/>
        <v>21.07</v>
      </c>
      <c r="H105" s="160">
        <f>16.65*1.15</f>
        <v>19.147499999999997</v>
      </c>
      <c r="I105" s="160">
        <f>16.65*1.15</f>
        <v>19.147499999999997</v>
      </c>
      <c r="J105" s="173" t="s">
        <v>281</v>
      </c>
      <c r="K105" s="5">
        <f t="shared" si="13"/>
        <v>3.4372135655362054E-2</v>
      </c>
    </row>
    <row r="106" spans="1:12" s="137" customFormat="1" ht="16.2" thickBot="1" x14ac:dyDescent="0.35">
      <c r="A106" s="317" t="s">
        <v>501</v>
      </c>
      <c r="B106" s="317"/>
      <c r="C106" s="156" t="s">
        <v>106</v>
      </c>
      <c r="D106" s="323">
        <v>98</v>
      </c>
      <c r="E106" s="157" t="s">
        <v>34</v>
      </c>
      <c r="F106" s="158">
        <f t="shared" si="14"/>
        <v>7.21</v>
      </c>
      <c r="G106" s="158">
        <f t="shared" si="15"/>
        <v>6.68</v>
      </c>
      <c r="H106" s="160">
        <f>5.5*1.15</f>
        <v>6.3249999999999993</v>
      </c>
      <c r="I106" s="160">
        <f>+H106*0.96</f>
        <v>6.0719999999999992</v>
      </c>
      <c r="J106" s="161" t="s">
        <v>282</v>
      </c>
      <c r="K106" s="5">
        <f t="shared" si="13"/>
        <v>7.3509015256588109E-2</v>
      </c>
    </row>
    <row r="107" spans="1:12" s="137" customFormat="1" ht="16.2" thickBot="1" x14ac:dyDescent="0.35">
      <c r="A107" s="317" t="s">
        <v>502</v>
      </c>
      <c r="B107" s="317"/>
      <c r="C107" s="156" t="s">
        <v>107</v>
      </c>
      <c r="D107" s="323">
        <v>99</v>
      </c>
      <c r="E107" s="157" t="s">
        <v>34</v>
      </c>
      <c r="F107" s="158">
        <f t="shared" si="14"/>
        <v>9.39</v>
      </c>
      <c r="G107" s="158">
        <f t="shared" si="15"/>
        <v>8.6999999999999993</v>
      </c>
      <c r="H107" s="160">
        <f>7.16*1.15</f>
        <v>8.234</v>
      </c>
      <c r="I107" s="160">
        <f>+H107*0.96</f>
        <v>7.9046399999999997</v>
      </c>
      <c r="J107" s="161" t="s">
        <v>283</v>
      </c>
      <c r="K107" s="5">
        <f t="shared" si="13"/>
        <v>7.348242811501611E-2</v>
      </c>
    </row>
    <row r="108" spans="1:12" s="137" customFormat="1" ht="16.2" thickBot="1" x14ac:dyDescent="0.35">
      <c r="A108" s="317" t="s">
        <v>503</v>
      </c>
      <c r="B108" s="317"/>
      <c r="C108" s="156" t="s">
        <v>108</v>
      </c>
      <c r="D108" s="323">
        <v>100</v>
      </c>
      <c r="E108" s="157" t="s">
        <v>34</v>
      </c>
      <c r="F108" s="158">
        <f t="shared" si="14"/>
        <v>31.450000000000003</v>
      </c>
      <c r="G108" s="158">
        <f t="shared" si="15"/>
        <v>29.150000000000002</v>
      </c>
      <c r="H108" s="160">
        <f>24*1.15</f>
        <v>27.599999999999998</v>
      </c>
      <c r="I108" s="160">
        <f>+H108*0.96</f>
        <v>26.495999999999999</v>
      </c>
      <c r="J108" s="174" t="s">
        <v>284</v>
      </c>
      <c r="K108" s="5">
        <f t="shared" si="13"/>
        <v>7.3131955484896677E-2</v>
      </c>
    </row>
    <row r="109" spans="1:12" s="137" customFormat="1" ht="16.2" thickBot="1" x14ac:dyDescent="0.35">
      <c r="A109" s="317" t="s">
        <v>504</v>
      </c>
      <c r="B109" s="317"/>
      <c r="C109" s="156" t="s">
        <v>109</v>
      </c>
      <c r="D109" s="323">
        <v>101</v>
      </c>
      <c r="E109" s="157" t="s">
        <v>34</v>
      </c>
      <c r="F109" s="158">
        <f t="shared" si="14"/>
        <v>31.450000000000003</v>
      </c>
      <c r="G109" s="158">
        <f t="shared" si="15"/>
        <v>29.150000000000002</v>
      </c>
      <c r="H109" s="160">
        <f>24*1.15</f>
        <v>27.599999999999998</v>
      </c>
      <c r="I109" s="160">
        <f>+H109*0.96</f>
        <v>26.495999999999999</v>
      </c>
      <c r="J109" s="174" t="s">
        <v>284</v>
      </c>
      <c r="K109" s="5">
        <f t="shared" si="13"/>
        <v>7.3131955484896677E-2</v>
      </c>
    </row>
    <row r="110" spans="1:12" s="137" customFormat="1" ht="16.2" thickBot="1" x14ac:dyDescent="0.35">
      <c r="A110" s="317" t="s">
        <v>505</v>
      </c>
      <c r="B110" s="317"/>
      <c r="C110" s="156" t="s">
        <v>110</v>
      </c>
      <c r="D110" s="323">
        <v>102</v>
      </c>
      <c r="E110" s="157" t="s">
        <v>34</v>
      </c>
      <c r="F110" s="158">
        <f t="shared" si="14"/>
        <v>0</v>
      </c>
      <c r="G110" s="158">
        <f t="shared" si="15"/>
        <v>0</v>
      </c>
      <c r="H110" s="160"/>
      <c r="I110" s="160"/>
      <c r="J110" s="174"/>
      <c r="K110" s="5"/>
    </row>
    <row r="111" spans="1:12" s="137" customFormat="1" ht="16.2" thickBot="1" x14ac:dyDescent="0.35">
      <c r="A111" s="317" t="s">
        <v>506</v>
      </c>
      <c r="B111" s="317"/>
      <c r="C111" s="156" t="s">
        <v>111</v>
      </c>
      <c r="D111" s="323">
        <v>103</v>
      </c>
      <c r="E111" s="157" t="s">
        <v>34</v>
      </c>
      <c r="F111" s="158">
        <f t="shared" si="14"/>
        <v>0</v>
      </c>
      <c r="G111" s="158">
        <f t="shared" si="15"/>
        <v>0</v>
      </c>
      <c r="H111" s="160"/>
      <c r="I111" s="160"/>
      <c r="J111" s="161"/>
      <c r="K111" s="5"/>
    </row>
    <row r="112" spans="1:12" s="137" customFormat="1" ht="16.2" thickBot="1" x14ac:dyDescent="0.35">
      <c r="A112" s="317" t="s">
        <v>507</v>
      </c>
      <c r="B112" s="317"/>
      <c r="C112" s="156" t="s">
        <v>112</v>
      </c>
      <c r="D112" s="323">
        <v>104</v>
      </c>
      <c r="E112" s="157" t="s">
        <v>34</v>
      </c>
      <c r="F112" s="158">
        <f t="shared" si="14"/>
        <v>0</v>
      </c>
      <c r="G112" s="158">
        <f t="shared" si="15"/>
        <v>0</v>
      </c>
      <c r="H112" s="160"/>
      <c r="I112" s="160"/>
      <c r="J112" s="161"/>
      <c r="K112" s="5"/>
    </row>
    <row r="113" spans="1:11" s="137" customFormat="1" ht="16.2" thickBot="1" x14ac:dyDescent="0.35">
      <c r="A113" s="317" t="s">
        <v>508</v>
      </c>
      <c r="B113" s="317"/>
      <c r="C113" s="156" t="s">
        <v>113</v>
      </c>
      <c r="D113" s="323">
        <v>105</v>
      </c>
      <c r="E113" s="157" t="s">
        <v>34</v>
      </c>
      <c r="F113" s="158">
        <f t="shared" si="14"/>
        <v>48.48</v>
      </c>
      <c r="G113" s="158">
        <f t="shared" si="15"/>
        <v>44.94</v>
      </c>
      <c r="H113" s="160">
        <f>37*1.15</f>
        <v>42.55</v>
      </c>
      <c r="I113" s="160">
        <f>+H113*0.96</f>
        <v>40.847999999999999</v>
      </c>
      <c r="J113" s="174" t="s">
        <v>285</v>
      </c>
      <c r="K113" s="5">
        <f t="shared" ref="K113:K176" si="16">(-G113+F113)/F113</f>
        <v>7.3019801980198001E-2</v>
      </c>
    </row>
    <row r="114" spans="1:11" s="137" customFormat="1" ht="16.2" thickBot="1" x14ac:dyDescent="0.35">
      <c r="A114" s="317" t="s">
        <v>509</v>
      </c>
      <c r="B114" s="317"/>
      <c r="C114" s="156" t="s">
        <v>114</v>
      </c>
      <c r="D114" s="323">
        <v>106</v>
      </c>
      <c r="E114" s="157" t="s">
        <v>16</v>
      </c>
      <c r="F114" s="158">
        <f t="shared" si="14"/>
        <v>29.85</v>
      </c>
      <c r="G114" s="158">
        <f t="shared" si="15"/>
        <v>27.380000000000003</v>
      </c>
      <c r="H114" s="159">
        <v>26.2</v>
      </c>
      <c r="I114" s="160">
        <f>+H114*0.95</f>
        <v>24.889999999999997</v>
      </c>
      <c r="J114" s="161" t="s">
        <v>115</v>
      </c>
      <c r="K114" s="5">
        <f t="shared" si="16"/>
        <v>8.274706867671687E-2</v>
      </c>
    </row>
    <row r="115" spans="1:11" s="137" customFormat="1" ht="16.2" thickBot="1" x14ac:dyDescent="0.35">
      <c r="A115" s="317" t="s">
        <v>510</v>
      </c>
      <c r="B115" s="317"/>
      <c r="C115" s="156" t="s">
        <v>116</v>
      </c>
      <c r="D115" s="323">
        <v>107</v>
      </c>
      <c r="E115" s="157" t="s">
        <v>16</v>
      </c>
      <c r="F115" s="158">
        <f t="shared" si="14"/>
        <v>47.85</v>
      </c>
      <c r="G115" s="158">
        <f t="shared" si="15"/>
        <v>43.89</v>
      </c>
      <c r="H115" s="159">
        <v>42</v>
      </c>
      <c r="I115" s="160">
        <f>+H115*0.95</f>
        <v>39.9</v>
      </c>
      <c r="J115" s="161" t="s">
        <v>115</v>
      </c>
      <c r="K115" s="5">
        <f t="shared" si="16"/>
        <v>8.2758620689655185E-2</v>
      </c>
    </row>
    <row r="116" spans="1:11" s="137" customFormat="1" ht="16.2" thickBot="1" x14ac:dyDescent="0.35">
      <c r="A116" s="317" t="s">
        <v>511</v>
      </c>
      <c r="B116" s="317"/>
      <c r="C116" s="156" t="s">
        <v>117</v>
      </c>
      <c r="D116" s="323">
        <v>108</v>
      </c>
      <c r="E116" s="157" t="s">
        <v>16</v>
      </c>
      <c r="F116" s="158">
        <f t="shared" si="14"/>
        <v>74.06</v>
      </c>
      <c r="G116" s="158">
        <f t="shared" si="15"/>
        <v>67.930000000000007</v>
      </c>
      <c r="H116" s="159">
        <v>65</v>
      </c>
      <c r="I116" s="160">
        <f>+H116*0.95</f>
        <v>61.75</v>
      </c>
      <c r="J116" s="161" t="s">
        <v>115</v>
      </c>
      <c r="K116" s="5">
        <f t="shared" si="16"/>
        <v>8.2770726438023162E-2</v>
      </c>
    </row>
    <row r="117" spans="1:11" s="137" customFormat="1" ht="16.2" thickBot="1" x14ac:dyDescent="0.35">
      <c r="A117" s="317" t="s">
        <v>512</v>
      </c>
      <c r="B117" s="317"/>
      <c r="C117" s="156" t="s">
        <v>25</v>
      </c>
      <c r="D117" s="323">
        <v>109</v>
      </c>
      <c r="E117" s="157" t="s">
        <v>19</v>
      </c>
      <c r="F117" s="158">
        <f t="shared" si="14"/>
        <v>0.14000000000000001</v>
      </c>
      <c r="G117" s="158">
        <f t="shared" si="15"/>
        <v>0.14000000000000001</v>
      </c>
      <c r="H117" s="159">
        <v>0.12</v>
      </c>
      <c r="I117" s="160">
        <f t="shared" ref="I117:I147" si="17">+H117</f>
        <v>0.12</v>
      </c>
      <c r="J117" s="161" t="s">
        <v>20</v>
      </c>
      <c r="K117" s="5">
        <f t="shared" si="16"/>
        <v>0</v>
      </c>
    </row>
    <row r="118" spans="1:11" s="137" customFormat="1" ht="16.2" thickBot="1" x14ac:dyDescent="0.35">
      <c r="A118" s="317" t="s">
        <v>513</v>
      </c>
      <c r="B118" s="317"/>
      <c r="C118" s="156" t="s">
        <v>118</v>
      </c>
      <c r="D118" s="323">
        <v>110</v>
      </c>
      <c r="E118" s="157" t="s">
        <v>19</v>
      </c>
      <c r="F118" s="158">
        <f t="shared" si="14"/>
        <v>0.35000000000000003</v>
      </c>
      <c r="G118" s="158">
        <f t="shared" si="15"/>
        <v>0.33</v>
      </c>
      <c r="H118" s="159">
        <v>0.3</v>
      </c>
      <c r="I118" s="160">
        <f t="shared" si="17"/>
        <v>0.3</v>
      </c>
      <c r="J118" s="161" t="s">
        <v>20</v>
      </c>
      <c r="K118" s="5">
        <f t="shared" si="16"/>
        <v>5.714285714285719E-2</v>
      </c>
    </row>
    <row r="119" spans="1:11" s="137" customFormat="1" ht="16.2" thickBot="1" x14ac:dyDescent="0.35">
      <c r="A119" s="317" t="s">
        <v>514</v>
      </c>
      <c r="B119" s="317"/>
      <c r="C119" s="156" t="s">
        <v>119</v>
      </c>
      <c r="D119" s="323">
        <v>111</v>
      </c>
      <c r="E119" s="157" t="s">
        <v>27</v>
      </c>
      <c r="F119" s="158">
        <f t="shared" si="14"/>
        <v>1.37</v>
      </c>
      <c r="G119" s="158">
        <f t="shared" si="15"/>
        <v>1.32</v>
      </c>
      <c r="H119" s="160">
        <v>1.2</v>
      </c>
      <c r="I119" s="160">
        <f t="shared" si="17"/>
        <v>1.2</v>
      </c>
      <c r="J119" s="161" t="s">
        <v>20</v>
      </c>
      <c r="K119" s="5">
        <f t="shared" si="16"/>
        <v>3.6496350364963535E-2</v>
      </c>
    </row>
    <row r="120" spans="1:11" s="137" customFormat="1" ht="16.2" thickBot="1" x14ac:dyDescent="0.35">
      <c r="A120" s="317" t="s">
        <v>515</v>
      </c>
      <c r="B120" s="317"/>
      <c r="C120" s="156" t="s">
        <v>600</v>
      </c>
      <c r="D120" s="323">
        <v>112</v>
      </c>
      <c r="E120" s="157" t="s">
        <v>27</v>
      </c>
      <c r="F120" s="158">
        <f t="shared" si="14"/>
        <v>0.57000000000000006</v>
      </c>
      <c r="G120" s="158">
        <f t="shared" si="15"/>
        <v>0.55000000000000004</v>
      </c>
      <c r="H120" s="160">
        <v>0.5</v>
      </c>
      <c r="I120" s="160">
        <f t="shared" si="17"/>
        <v>0.5</v>
      </c>
      <c r="J120" s="161" t="s">
        <v>20</v>
      </c>
      <c r="K120" s="5">
        <f t="shared" si="16"/>
        <v>3.508771929824564E-2</v>
      </c>
    </row>
    <row r="121" spans="1:11" s="137" customFormat="1" ht="16.2" thickBot="1" x14ac:dyDescent="0.35">
      <c r="A121" s="317" t="s">
        <v>516</v>
      </c>
      <c r="B121" s="317"/>
      <c r="C121" s="156" t="s">
        <v>120</v>
      </c>
      <c r="D121" s="323">
        <v>113</v>
      </c>
      <c r="E121" s="157" t="s">
        <v>27</v>
      </c>
      <c r="F121" s="158">
        <f t="shared" si="14"/>
        <v>0.46</v>
      </c>
      <c r="G121" s="158">
        <f t="shared" si="15"/>
        <v>0.44</v>
      </c>
      <c r="H121" s="160">
        <v>0.4</v>
      </c>
      <c r="I121" s="160">
        <f t="shared" si="17"/>
        <v>0.4</v>
      </c>
      <c r="J121" s="161" t="s">
        <v>20</v>
      </c>
      <c r="K121" s="5">
        <f t="shared" si="16"/>
        <v>4.3478260869565251E-2</v>
      </c>
    </row>
    <row r="122" spans="1:11" s="137" customFormat="1" ht="16.2" thickBot="1" x14ac:dyDescent="0.35">
      <c r="A122" s="317" t="s">
        <v>517</v>
      </c>
      <c r="B122" s="317"/>
      <c r="C122" s="156" t="s">
        <v>121</v>
      </c>
      <c r="D122" s="323">
        <v>114</v>
      </c>
      <c r="E122" s="157" t="s">
        <v>27</v>
      </c>
      <c r="F122" s="158">
        <f t="shared" si="14"/>
        <v>0.46</v>
      </c>
      <c r="G122" s="158">
        <f t="shared" si="15"/>
        <v>0.44</v>
      </c>
      <c r="H122" s="160">
        <v>0.4</v>
      </c>
      <c r="I122" s="160">
        <f t="shared" si="17"/>
        <v>0.4</v>
      </c>
      <c r="J122" s="161" t="s">
        <v>20</v>
      </c>
      <c r="K122" s="5">
        <f t="shared" si="16"/>
        <v>4.3478260869565251E-2</v>
      </c>
    </row>
    <row r="123" spans="1:11" s="137" customFormat="1" ht="16.2" thickBot="1" x14ac:dyDescent="0.35">
      <c r="A123" s="317" t="s">
        <v>518</v>
      </c>
      <c r="B123" s="317"/>
      <c r="C123" s="156" t="s">
        <v>122</v>
      </c>
      <c r="D123" s="323">
        <v>115</v>
      </c>
      <c r="E123" s="157" t="s">
        <v>27</v>
      </c>
      <c r="F123" s="158">
        <f t="shared" si="14"/>
        <v>0.57000000000000006</v>
      </c>
      <c r="G123" s="158">
        <f t="shared" si="15"/>
        <v>0.55000000000000004</v>
      </c>
      <c r="H123" s="160">
        <v>0.5</v>
      </c>
      <c r="I123" s="160">
        <f t="shared" si="17"/>
        <v>0.5</v>
      </c>
      <c r="J123" s="161" t="s">
        <v>20</v>
      </c>
      <c r="K123" s="5">
        <f t="shared" si="16"/>
        <v>3.508771929824564E-2</v>
      </c>
    </row>
    <row r="124" spans="1:11" s="137" customFormat="1" ht="16.2" thickBot="1" x14ac:dyDescent="0.35">
      <c r="A124" s="317" t="s">
        <v>519</v>
      </c>
      <c r="B124" s="317"/>
      <c r="C124" s="156" t="s">
        <v>123</v>
      </c>
      <c r="D124" s="323">
        <v>116</v>
      </c>
      <c r="E124" s="157" t="s">
        <v>27</v>
      </c>
      <c r="F124" s="158">
        <f t="shared" si="14"/>
        <v>1.83</v>
      </c>
      <c r="G124" s="158">
        <f t="shared" si="15"/>
        <v>1.76</v>
      </c>
      <c r="H124" s="159">
        <v>1.6</v>
      </c>
      <c r="I124" s="160">
        <f t="shared" si="17"/>
        <v>1.6</v>
      </c>
      <c r="J124" s="161" t="s">
        <v>20</v>
      </c>
      <c r="K124" s="5">
        <f t="shared" si="16"/>
        <v>3.8251366120218615E-2</v>
      </c>
    </row>
    <row r="125" spans="1:11" s="137" customFormat="1" ht="16.2" thickBot="1" x14ac:dyDescent="0.35">
      <c r="A125" s="317" t="s">
        <v>520</v>
      </c>
      <c r="B125" s="317"/>
      <c r="C125" s="156" t="s">
        <v>124</v>
      </c>
      <c r="D125" s="323">
        <v>117</v>
      </c>
      <c r="E125" s="157" t="s">
        <v>27</v>
      </c>
      <c r="F125" s="158">
        <f t="shared" si="14"/>
        <v>3.42</v>
      </c>
      <c r="G125" s="158">
        <f t="shared" si="15"/>
        <v>3.3</v>
      </c>
      <c r="H125" s="159">
        <v>3</v>
      </c>
      <c r="I125" s="160">
        <f t="shared" si="17"/>
        <v>3</v>
      </c>
      <c r="J125" s="161" t="s">
        <v>20</v>
      </c>
      <c r="K125" s="5">
        <f t="shared" si="16"/>
        <v>3.5087719298245647E-2</v>
      </c>
    </row>
    <row r="126" spans="1:11" s="137" customFormat="1" ht="16.2" thickBot="1" x14ac:dyDescent="0.35">
      <c r="A126" s="317" t="s">
        <v>521</v>
      </c>
      <c r="B126" s="317"/>
      <c r="C126" s="156" t="s">
        <v>125</v>
      </c>
      <c r="D126" s="323">
        <v>118</v>
      </c>
      <c r="E126" s="157" t="s">
        <v>27</v>
      </c>
      <c r="F126" s="158">
        <f t="shared" si="14"/>
        <v>0.12</v>
      </c>
      <c r="G126" s="158">
        <f t="shared" si="15"/>
        <v>0.11</v>
      </c>
      <c r="H126" s="159">
        <v>0.1</v>
      </c>
      <c r="I126" s="160">
        <f t="shared" si="17"/>
        <v>0.1</v>
      </c>
      <c r="J126" s="161" t="s">
        <v>20</v>
      </c>
      <c r="K126" s="5">
        <f t="shared" si="16"/>
        <v>8.3333333333333301E-2</v>
      </c>
    </row>
    <row r="127" spans="1:11" s="137" customFormat="1" ht="16.2" thickBot="1" x14ac:dyDescent="0.35">
      <c r="A127" s="317" t="s">
        <v>522</v>
      </c>
      <c r="B127" s="317"/>
      <c r="C127" s="156" t="s">
        <v>126</v>
      </c>
      <c r="D127" s="323">
        <v>119</v>
      </c>
      <c r="E127" s="157" t="s">
        <v>27</v>
      </c>
      <c r="F127" s="158">
        <f t="shared" si="14"/>
        <v>0.12</v>
      </c>
      <c r="G127" s="158">
        <f t="shared" si="15"/>
        <v>0.11</v>
      </c>
      <c r="H127" s="159">
        <v>0.1</v>
      </c>
      <c r="I127" s="160">
        <f t="shared" si="17"/>
        <v>0.1</v>
      </c>
      <c r="J127" s="161" t="s">
        <v>20</v>
      </c>
      <c r="K127" s="5">
        <f t="shared" si="16"/>
        <v>8.3333333333333301E-2</v>
      </c>
    </row>
    <row r="128" spans="1:11" s="137" customFormat="1" ht="16.2" thickBot="1" x14ac:dyDescent="0.35">
      <c r="A128" s="317" t="s">
        <v>523</v>
      </c>
      <c r="B128" s="317"/>
      <c r="C128" s="156" t="s">
        <v>127</v>
      </c>
      <c r="D128" s="323">
        <v>120</v>
      </c>
      <c r="E128" s="157" t="s">
        <v>27</v>
      </c>
      <c r="F128" s="158">
        <f t="shared" si="14"/>
        <v>0.12</v>
      </c>
      <c r="G128" s="158">
        <f t="shared" si="15"/>
        <v>0.11</v>
      </c>
      <c r="H128" s="159">
        <v>0.1</v>
      </c>
      <c r="I128" s="160">
        <f t="shared" si="17"/>
        <v>0.1</v>
      </c>
      <c r="J128" s="161" t="s">
        <v>20</v>
      </c>
      <c r="K128" s="5">
        <f t="shared" si="16"/>
        <v>8.3333333333333301E-2</v>
      </c>
    </row>
    <row r="129" spans="1:11" s="137" customFormat="1" ht="16.2" thickBot="1" x14ac:dyDescent="0.35">
      <c r="A129" s="317" t="s">
        <v>524</v>
      </c>
      <c r="B129" s="317"/>
      <c r="C129" s="156" t="s">
        <v>128</v>
      </c>
      <c r="D129" s="323">
        <v>121</v>
      </c>
      <c r="E129" s="157" t="s">
        <v>27</v>
      </c>
      <c r="F129" s="158">
        <f t="shared" si="14"/>
        <v>0.12</v>
      </c>
      <c r="G129" s="158">
        <f t="shared" si="15"/>
        <v>0.11</v>
      </c>
      <c r="H129" s="159">
        <v>0.1</v>
      </c>
      <c r="I129" s="160">
        <f t="shared" si="17"/>
        <v>0.1</v>
      </c>
      <c r="J129" s="161" t="s">
        <v>20</v>
      </c>
      <c r="K129" s="5">
        <f t="shared" si="16"/>
        <v>8.3333333333333301E-2</v>
      </c>
    </row>
    <row r="130" spans="1:11" s="137" customFormat="1" ht="16.2" thickBot="1" x14ac:dyDescent="0.35">
      <c r="A130" s="317" t="s">
        <v>525</v>
      </c>
      <c r="B130" s="317"/>
      <c r="C130" s="156" t="s">
        <v>192</v>
      </c>
      <c r="D130" s="323">
        <v>122</v>
      </c>
      <c r="E130" s="157" t="s">
        <v>129</v>
      </c>
      <c r="F130" s="158">
        <f t="shared" si="14"/>
        <v>15.26</v>
      </c>
      <c r="G130" s="158">
        <f t="shared" si="15"/>
        <v>14.3</v>
      </c>
      <c r="H130" s="159">
        <f>+I130*1.03</f>
        <v>13.39</v>
      </c>
      <c r="I130" s="160">
        <v>13</v>
      </c>
      <c r="J130" s="161" t="s">
        <v>48</v>
      </c>
      <c r="K130" s="5">
        <f t="shared" si="16"/>
        <v>6.2909567496723398E-2</v>
      </c>
    </row>
    <row r="131" spans="1:11" s="137" customFormat="1" ht="16.2" thickBot="1" x14ac:dyDescent="0.35">
      <c r="A131" s="317" t="s">
        <v>526</v>
      </c>
      <c r="B131" s="317"/>
      <c r="C131" s="156" t="s">
        <v>193</v>
      </c>
      <c r="D131" s="323">
        <v>123</v>
      </c>
      <c r="E131" s="157" t="s">
        <v>129</v>
      </c>
      <c r="F131" s="158">
        <f t="shared" si="14"/>
        <v>19.950000000000003</v>
      </c>
      <c r="G131" s="158">
        <f t="shared" si="15"/>
        <v>18.7</v>
      </c>
      <c r="H131" s="159">
        <f t="shared" ref="H131:H137" si="18">+I131*1.03</f>
        <v>17.510000000000002</v>
      </c>
      <c r="I131" s="160">
        <v>17</v>
      </c>
      <c r="J131" s="161" t="s">
        <v>48</v>
      </c>
      <c r="K131" s="5">
        <f t="shared" si="16"/>
        <v>6.2656641604010188E-2</v>
      </c>
    </row>
    <row r="132" spans="1:11" s="137" customFormat="1" ht="16.2" thickBot="1" x14ac:dyDescent="0.35">
      <c r="A132" s="317" t="s">
        <v>527</v>
      </c>
      <c r="B132" s="317"/>
      <c r="C132" s="156" t="s">
        <v>194</v>
      </c>
      <c r="D132" s="323">
        <v>124</v>
      </c>
      <c r="E132" s="157" t="s">
        <v>129</v>
      </c>
      <c r="F132" s="158">
        <f t="shared" si="14"/>
        <v>22.3</v>
      </c>
      <c r="G132" s="158">
        <f t="shared" si="15"/>
        <v>20.9</v>
      </c>
      <c r="H132" s="159">
        <f t="shared" si="18"/>
        <v>19.57</v>
      </c>
      <c r="I132" s="160">
        <v>19</v>
      </c>
      <c r="J132" s="161" t="s">
        <v>48</v>
      </c>
      <c r="K132" s="5">
        <f t="shared" si="16"/>
        <v>6.2780269058296062E-2</v>
      </c>
    </row>
    <row r="133" spans="1:11" s="137" customFormat="1" ht="16.2" thickBot="1" x14ac:dyDescent="0.35">
      <c r="A133" s="317" t="s">
        <v>528</v>
      </c>
      <c r="B133" s="317"/>
      <c r="C133" s="156" t="s">
        <v>195</v>
      </c>
      <c r="D133" s="323">
        <v>125</v>
      </c>
      <c r="E133" s="157" t="s">
        <v>129</v>
      </c>
      <c r="F133" s="158">
        <f t="shared" si="14"/>
        <v>28.17</v>
      </c>
      <c r="G133" s="158">
        <f t="shared" si="15"/>
        <v>26.4</v>
      </c>
      <c r="H133" s="159">
        <f t="shared" si="18"/>
        <v>24.72</v>
      </c>
      <c r="I133" s="160">
        <v>24</v>
      </c>
      <c r="J133" s="161" t="s">
        <v>48</v>
      </c>
      <c r="K133" s="5">
        <f t="shared" si="16"/>
        <v>6.2832800851970294E-2</v>
      </c>
    </row>
    <row r="134" spans="1:11" s="137" customFormat="1" ht="16.2" thickBot="1" x14ac:dyDescent="0.35">
      <c r="A134" s="317" t="s">
        <v>529</v>
      </c>
      <c r="B134" s="317"/>
      <c r="C134" s="156" t="s">
        <v>196</v>
      </c>
      <c r="D134" s="323">
        <v>126</v>
      </c>
      <c r="E134" s="157" t="s">
        <v>129</v>
      </c>
      <c r="F134" s="158">
        <f t="shared" si="14"/>
        <v>30.520000000000003</v>
      </c>
      <c r="G134" s="158">
        <f t="shared" si="15"/>
        <v>28.6</v>
      </c>
      <c r="H134" s="159">
        <f t="shared" si="18"/>
        <v>26.78</v>
      </c>
      <c r="I134" s="160">
        <v>26</v>
      </c>
      <c r="J134" s="161" t="s">
        <v>48</v>
      </c>
      <c r="K134" s="5">
        <f t="shared" si="16"/>
        <v>6.2909567496723509E-2</v>
      </c>
    </row>
    <row r="135" spans="1:11" s="137" customFormat="1" ht="16.2" thickBot="1" x14ac:dyDescent="0.35">
      <c r="A135" s="317" t="s">
        <v>530</v>
      </c>
      <c r="B135" s="317"/>
      <c r="C135" s="156" t="s">
        <v>197</v>
      </c>
      <c r="D135" s="323">
        <v>127</v>
      </c>
      <c r="E135" s="157" t="s">
        <v>129</v>
      </c>
      <c r="F135" s="158">
        <f t="shared" si="14"/>
        <v>38.729999999999997</v>
      </c>
      <c r="G135" s="158">
        <f t="shared" si="15"/>
        <v>36.299999999999997</v>
      </c>
      <c r="H135" s="159">
        <f t="shared" si="18"/>
        <v>33.99</v>
      </c>
      <c r="I135" s="160">
        <v>33</v>
      </c>
      <c r="J135" s="161" t="s">
        <v>48</v>
      </c>
      <c r="K135" s="5">
        <f t="shared" si="16"/>
        <v>6.2742060418280399E-2</v>
      </c>
    </row>
    <row r="136" spans="1:11" s="137" customFormat="1" ht="16.2" thickBot="1" x14ac:dyDescent="0.35">
      <c r="A136" s="317" t="s">
        <v>531</v>
      </c>
      <c r="B136" s="317"/>
      <c r="C136" s="156" t="s">
        <v>198</v>
      </c>
      <c r="D136" s="323">
        <v>128</v>
      </c>
      <c r="E136" s="157" t="s">
        <v>129</v>
      </c>
      <c r="F136" s="158">
        <f t="shared" si="14"/>
        <v>43.419999999999995</v>
      </c>
      <c r="G136" s="158">
        <f t="shared" si="15"/>
        <v>40.700000000000003</v>
      </c>
      <c r="H136" s="159">
        <f t="shared" si="18"/>
        <v>38.11</v>
      </c>
      <c r="I136" s="160">
        <v>37</v>
      </c>
      <c r="J136" s="161" t="s">
        <v>48</v>
      </c>
      <c r="K136" s="5">
        <f t="shared" si="16"/>
        <v>6.2643942883463657E-2</v>
      </c>
    </row>
    <row r="137" spans="1:11" s="137" customFormat="1" ht="16.2" thickBot="1" x14ac:dyDescent="0.35">
      <c r="A137" s="317" t="s">
        <v>532</v>
      </c>
      <c r="B137" s="317"/>
      <c r="C137" s="156" t="s">
        <v>199</v>
      </c>
      <c r="D137" s="323">
        <v>129</v>
      </c>
      <c r="E137" s="157" t="s">
        <v>129</v>
      </c>
      <c r="F137" s="158">
        <f t="shared" si="14"/>
        <v>52.809999999999995</v>
      </c>
      <c r="G137" s="158">
        <f t="shared" si="15"/>
        <v>49.5</v>
      </c>
      <c r="H137" s="159">
        <f t="shared" si="18"/>
        <v>46.35</v>
      </c>
      <c r="I137" s="160">
        <v>45</v>
      </c>
      <c r="J137" s="161" t="s">
        <v>48</v>
      </c>
      <c r="K137" s="5">
        <f t="shared" si="16"/>
        <v>6.2677523196364243E-2</v>
      </c>
    </row>
    <row r="138" spans="1:11" s="137" customFormat="1" ht="16.2" thickBot="1" x14ac:dyDescent="0.35">
      <c r="A138" s="317" t="s">
        <v>533</v>
      </c>
      <c r="B138" s="317"/>
      <c r="C138" s="156" t="s">
        <v>130</v>
      </c>
      <c r="D138" s="323">
        <v>130</v>
      </c>
      <c r="E138" s="157" t="s">
        <v>27</v>
      </c>
      <c r="F138" s="158">
        <f t="shared" si="14"/>
        <v>2.0599999999999996</v>
      </c>
      <c r="G138" s="158">
        <f t="shared" si="15"/>
        <v>1.98</v>
      </c>
      <c r="H138" s="159">
        <v>1.8</v>
      </c>
      <c r="I138" s="160">
        <f t="shared" si="17"/>
        <v>1.8</v>
      </c>
      <c r="J138" s="161" t="s">
        <v>20</v>
      </c>
      <c r="K138" s="5">
        <f t="shared" si="16"/>
        <v>3.8834951456310503E-2</v>
      </c>
    </row>
    <row r="139" spans="1:11" s="137" customFormat="1" ht="16.2" thickBot="1" x14ac:dyDescent="0.35">
      <c r="A139" s="317" t="s">
        <v>534</v>
      </c>
      <c r="B139" s="317"/>
      <c r="C139" s="156" t="s">
        <v>131</v>
      </c>
      <c r="D139" s="323">
        <v>131</v>
      </c>
      <c r="E139" s="157" t="s">
        <v>27</v>
      </c>
      <c r="F139" s="158">
        <f t="shared" si="14"/>
        <v>1.71</v>
      </c>
      <c r="G139" s="158">
        <f t="shared" si="15"/>
        <v>1.65</v>
      </c>
      <c r="H139" s="159">
        <v>1.5</v>
      </c>
      <c r="I139" s="160">
        <f t="shared" si="17"/>
        <v>1.5</v>
      </c>
      <c r="J139" s="161" t="s">
        <v>20</v>
      </c>
      <c r="K139" s="5">
        <f t="shared" si="16"/>
        <v>3.5087719298245647E-2</v>
      </c>
    </row>
    <row r="140" spans="1:11" s="137" customFormat="1" ht="16.2" thickBot="1" x14ac:dyDescent="0.35">
      <c r="A140" s="317" t="s">
        <v>535</v>
      </c>
      <c r="B140" s="317"/>
      <c r="C140" s="156" t="s">
        <v>132</v>
      </c>
      <c r="D140" s="323">
        <v>132</v>
      </c>
      <c r="E140" s="157" t="s">
        <v>27</v>
      </c>
      <c r="F140" s="158">
        <f t="shared" si="14"/>
        <v>2.8499999999999996</v>
      </c>
      <c r="G140" s="158">
        <f t="shared" si="15"/>
        <v>2.75</v>
      </c>
      <c r="H140" s="159">
        <v>2.5</v>
      </c>
      <c r="I140" s="160">
        <f t="shared" si="17"/>
        <v>2.5</v>
      </c>
      <c r="J140" s="161" t="s">
        <v>20</v>
      </c>
      <c r="K140" s="5">
        <f t="shared" si="16"/>
        <v>3.5087719298245494E-2</v>
      </c>
    </row>
    <row r="141" spans="1:11" s="137" customFormat="1" ht="16.2" thickBot="1" x14ac:dyDescent="0.35">
      <c r="A141" s="317" t="s">
        <v>536</v>
      </c>
      <c r="B141" s="317"/>
      <c r="C141" s="156" t="s">
        <v>133</v>
      </c>
      <c r="D141" s="323">
        <v>133</v>
      </c>
      <c r="E141" s="157" t="s">
        <v>129</v>
      </c>
      <c r="F141" s="158">
        <f t="shared" si="14"/>
        <v>11.17</v>
      </c>
      <c r="G141" s="158">
        <f t="shared" si="15"/>
        <v>10.78</v>
      </c>
      <c r="H141" s="159">
        <v>9.8000000000000007</v>
      </c>
      <c r="I141" s="160">
        <f t="shared" si="17"/>
        <v>9.8000000000000007</v>
      </c>
      <c r="J141" s="161" t="s">
        <v>20</v>
      </c>
      <c r="K141" s="5">
        <f t="shared" si="16"/>
        <v>3.4914950760966929E-2</v>
      </c>
    </row>
    <row r="142" spans="1:11" s="137" customFormat="1" ht="16.2" thickBot="1" x14ac:dyDescent="0.35">
      <c r="A142" s="317" t="s">
        <v>537</v>
      </c>
      <c r="B142" s="317"/>
      <c r="C142" s="156" t="s">
        <v>134</v>
      </c>
      <c r="D142" s="323">
        <v>134</v>
      </c>
      <c r="E142" s="157" t="s">
        <v>129</v>
      </c>
      <c r="F142" s="158">
        <f t="shared" si="14"/>
        <v>17.150000000000002</v>
      </c>
      <c r="G142" s="158">
        <f t="shared" si="15"/>
        <v>16.560000000000002</v>
      </c>
      <c r="H142" s="159">
        <v>15.05</v>
      </c>
      <c r="I142" s="160">
        <f t="shared" si="17"/>
        <v>15.05</v>
      </c>
      <c r="J142" s="161" t="s">
        <v>20</v>
      </c>
      <c r="K142" s="5">
        <f t="shared" si="16"/>
        <v>3.4402332361516019E-2</v>
      </c>
    </row>
    <row r="143" spans="1:11" s="137" customFormat="1" ht="16.2" thickBot="1" x14ac:dyDescent="0.35">
      <c r="A143" s="317" t="s">
        <v>538</v>
      </c>
      <c r="B143" s="317"/>
      <c r="C143" s="156" t="s">
        <v>135</v>
      </c>
      <c r="D143" s="323">
        <v>135</v>
      </c>
      <c r="E143" s="157" t="s">
        <v>129</v>
      </c>
      <c r="F143" s="158">
        <f t="shared" si="14"/>
        <v>21.080000000000002</v>
      </c>
      <c r="G143" s="158">
        <f t="shared" si="15"/>
        <v>20.350000000000001</v>
      </c>
      <c r="H143" s="159">
        <v>18.5</v>
      </c>
      <c r="I143" s="160">
        <f t="shared" si="17"/>
        <v>18.5</v>
      </c>
      <c r="J143" s="161" t="s">
        <v>20</v>
      </c>
      <c r="K143" s="5">
        <f t="shared" si="16"/>
        <v>3.4629981024667945E-2</v>
      </c>
    </row>
    <row r="144" spans="1:11" s="137" customFormat="1" ht="16.2" thickBot="1" x14ac:dyDescent="0.35">
      <c r="A144" s="317" t="s">
        <v>539</v>
      </c>
      <c r="B144" s="317"/>
      <c r="C144" s="156" t="s">
        <v>136</v>
      </c>
      <c r="D144" s="323">
        <v>136</v>
      </c>
      <c r="E144" s="157" t="s">
        <v>129</v>
      </c>
      <c r="F144" s="158">
        <f t="shared" si="14"/>
        <v>25.23</v>
      </c>
      <c r="G144" s="158">
        <f t="shared" si="15"/>
        <v>24.360000000000003</v>
      </c>
      <c r="H144" s="159">
        <v>22.14</v>
      </c>
      <c r="I144" s="160">
        <f t="shared" si="17"/>
        <v>22.14</v>
      </c>
      <c r="J144" s="161" t="s">
        <v>20</v>
      </c>
      <c r="K144" s="5">
        <f t="shared" si="16"/>
        <v>3.4482758620689551E-2</v>
      </c>
    </row>
    <row r="145" spans="1:11" s="137" customFormat="1" ht="16.2" thickBot="1" x14ac:dyDescent="0.35">
      <c r="A145" s="317" t="s">
        <v>540</v>
      </c>
      <c r="B145" s="317"/>
      <c r="C145" s="156" t="s">
        <v>137</v>
      </c>
      <c r="D145" s="323">
        <v>137</v>
      </c>
      <c r="E145" s="157" t="s">
        <v>129</v>
      </c>
      <c r="F145" s="158">
        <f t="shared" si="14"/>
        <v>31.240000000000002</v>
      </c>
      <c r="G145" s="158">
        <f t="shared" si="15"/>
        <v>30.17</v>
      </c>
      <c r="H145" s="159">
        <v>27.42</v>
      </c>
      <c r="I145" s="160">
        <f t="shared" si="17"/>
        <v>27.42</v>
      </c>
      <c r="J145" s="161" t="s">
        <v>20</v>
      </c>
      <c r="K145" s="5">
        <f t="shared" si="16"/>
        <v>3.4250960307298343E-2</v>
      </c>
    </row>
    <row r="146" spans="1:11" s="137" customFormat="1" ht="16.2" thickBot="1" x14ac:dyDescent="0.35">
      <c r="A146" s="317" t="s">
        <v>541</v>
      </c>
      <c r="B146" s="317"/>
      <c r="C146" s="156" t="s">
        <v>138</v>
      </c>
      <c r="D146" s="323">
        <v>138</v>
      </c>
      <c r="E146" s="157" t="s">
        <v>129</v>
      </c>
      <c r="F146" s="158">
        <f t="shared" si="14"/>
        <v>45.1</v>
      </c>
      <c r="G146" s="158">
        <f t="shared" si="15"/>
        <v>43.54</v>
      </c>
      <c r="H146" s="159">
        <v>39.58</v>
      </c>
      <c r="I146" s="160">
        <f t="shared" si="17"/>
        <v>39.58</v>
      </c>
      <c r="J146" s="161" t="s">
        <v>20</v>
      </c>
      <c r="K146" s="5">
        <f t="shared" si="16"/>
        <v>3.458980044345903E-2</v>
      </c>
    </row>
    <row r="147" spans="1:11" s="137" customFormat="1" ht="16.2" thickBot="1" x14ac:dyDescent="0.35">
      <c r="A147" s="317" t="s">
        <v>542</v>
      </c>
      <c r="B147" s="317"/>
      <c r="C147" s="156" t="s">
        <v>139</v>
      </c>
      <c r="D147" s="323">
        <v>139</v>
      </c>
      <c r="E147" s="157" t="s">
        <v>27</v>
      </c>
      <c r="F147" s="158">
        <f t="shared" si="14"/>
        <v>3.4699999999999998</v>
      </c>
      <c r="G147" s="158">
        <f t="shared" si="15"/>
        <v>3.3499999999999996</v>
      </c>
      <c r="H147" s="159">
        <v>3.04</v>
      </c>
      <c r="I147" s="160">
        <f t="shared" si="17"/>
        <v>3.04</v>
      </c>
      <c r="J147" s="161" t="s">
        <v>20</v>
      </c>
      <c r="K147" s="5">
        <f t="shared" si="16"/>
        <v>3.4582132564841529E-2</v>
      </c>
    </row>
    <row r="148" spans="1:11" s="137" customFormat="1" ht="16.2" thickBot="1" x14ac:dyDescent="0.35">
      <c r="A148" s="317" t="s">
        <v>543</v>
      </c>
      <c r="B148" s="317"/>
      <c r="C148" s="156" t="s">
        <v>140</v>
      </c>
      <c r="D148" s="323">
        <v>140</v>
      </c>
      <c r="E148" s="157" t="s">
        <v>27</v>
      </c>
      <c r="F148" s="158">
        <f t="shared" si="14"/>
        <v>24.16</v>
      </c>
      <c r="G148" s="158">
        <f t="shared" si="15"/>
        <v>22</v>
      </c>
      <c r="H148" s="159">
        <f t="shared" ref="H148:H154" si="19">+I148*1.06</f>
        <v>21.200000000000003</v>
      </c>
      <c r="I148" s="159">
        <v>20</v>
      </c>
      <c r="J148" s="161" t="s">
        <v>48</v>
      </c>
      <c r="K148" s="5">
        <f t="shared" si="16"/>
        <v>8.9403973509933773E-2</v>
      </c>
    </row>
    <row r="149" spans="1:11" s="137" customFormat="1" ht="16.2" thickBot="1" x14ac:dyDescent="0.35">
      <c r="A149" s="317" t="s">
        <v>544</v>
      </c>
      <c r="B149" s="317"/>
      <c r="C149" s="156" t="s">
        <v>141</v>
      </c>
      <c r="D149" s="323">
        <v>141</v>
      </c>
      <c r="E149" s="157" t="s">
        <v>34</v>
      </c>
      <c r="F149" s="158">
        <f t="shared" si="14"/>
        <v>14.5</v>
      </c>
      <c r="G149" s="158">
        <f t="shared" si="15"/>
        <v>13.2</v>
      </c>
      <c r="H149" s="159">
        <f t="shared" si="19"/>
        <v>12.72</v>
      </c>
      <c r="I149" s="160">
        <v>12</v>
      </c>
      <c r="J149" s="161" t="s">
        <v>223</v>
      </c>
      <c r="K149" s="5">
        <f t="shared" si="16"/>
        <v>8.9655172413793158E-2</v>
      </c>
    </row>
    <row r="150" spans="1:11" s="137" customFormat="1" ht="16.2" thickBot="1" x14ac:dyDescent="0.35">
      <c r="A150" s="317" t="s">
        <v>545</v>
      </c>
      <c r="B150" s="317"/>
      <c r="C150" s="156" t="s">
        <v>142</v>
      </c>
      <c r="D150" s="323">
        <v>142</v>
      </c>
      <c r="E150" s="157" t="s">
        <v>34</v>
      </c>
      <c r="F150" s="158">
        <f t="shared" si="14"/>
        <v>13.68</v>
      </c>
      <c r="G150" s="158">
        <f t="shared" si="15"/>
        <v>16.5</v>
      </c>
      <c r="H150" s="160">
        <v>12</v>
      </c>
      <c r="I150" s="160">
        <v>15</v>
      </c>
      <c r="J150" s="161" t="s">
        <v>224</v>
      </c>
      <c r="K150" s="5">
        <f t="shared" si="16"/>
        <v>-0.20614035087719301</v>
      </c>
    </row>
    <row r="151" spans="1:11" s="137" customFormat="1" ht="16.2" thickBot="1" x14ac:dyDescent="0.35">
      <c r="A151" s="317" t="s">
        <v>546</v>
      </c>
      <c r="B151" s="317"/>
      <c r="C151" s="156" t="s">
        <v>143</v>
      </c>
      <c r="D151" s="323">
        <v>143</v>
      </c>
      <c r="E151" s="157" t="s">
        <v>34</v>
      </c>
      <c r="F151" s="158">
        <f t="shared" si="14"/>
        <v>14.5</v>
      </c>
      <c r="G151" s="158">
        <f t="shared" si="15"/>
        <v>13.2</v>
      </c>
      <c r="H151" s="159">
        <f t="shared" si="19"/>
        <v>12.72</v>
      </c>
      <c r="I151" s="160">
        <v>12</v>
      </c>
      <c r="J151" s="161" t="s">
        <v>225</v>
      </c>
      <c r="K151" s="5">
        <f t="shared" si="16"/>
        <v>8.9655172413793158E-2</v>
      </c>
    </row>
    <row r="152" spans="1:11" s="137" customFormat="1" ht="16.2" thickBot="1" x14ac:dyDescent="0.35">
      <c r="A152" s="317" t="s">
        <v>547</v>
      </c>
      <c r="B152" s="317"/>
      <c r="C152" s="156" t="s">
        <v>144</v>
      </c>
      <c r="D152" s="323">
        <v>144</v>
      </c>
      <c r="E152" s="157" t="s">
        <v>34</v>
      </c>
      <c r="F152" s="158">
        <f t="shared" si="14"/>
        <v>14.5</v>
      </c>
      <c r="G152" s="158">
        <f t="shared" si="15"/>
        <v>13.2</v>
      </c>
      <c r="H152" s="159">
        <f t="shared" si="19"/>
        <v>12.72</v>
      </c>
      <c r="I152" s="160">
        <v>12</v>
      </c>
      <c r="J152" s="161" t="s">
        <v>223</v>
      </c>
      <c r="K152" s="5">
        <f t="shared" si="16"/>
        <v>8.9655172413793158E-2</v>
      </c>
    </row>
    <row r="153" spans="1:11" s="137" customFormat="1" ht="16.2" thickBot="1" x14ac:dyDescent="0.35">
      <c r="A153" s="317" t="s">
        <v>548</v>
      </c>
      <c r="B153" s="317"/>
      <c r="C153" s="156" t="s">
        <v>145</v>
      </c>
      <c r="D153" s="323">
        <v>145</v>
      </c>
      <c r="E153" s="157" t="s">
        <v>34</v>
      </c>
      <c r="F153" s="158">
        <f t="shared" si="14"/>
        <v>7.25</v>
      </c>
      <c r="G153" s="158">
        <f t="shared" si="15"/>
        <v>6.6</v>
      </c>
      <c r="H153" s="159">
        <f t="shared" si="19"/>
        <v>6.36</v>
      </c>
      <c r="I153" s="160">
        <v>6</v>
      </c>
      <c r="J153" s="161" t="s">
        <v>592</v>
      </c>
      <c r="K153" s="5">
        <f t="shared" si="16"/>
        <v>8.9655172413793158E-2</v>
      </c>
    </row>
    <row r="154" spans="1:11" s="137" customFormat="1" ht="16.2" thickBot="1" x14ac:dyDescent="0.35">
      <c r="A154" s="317" t="s">
        <v>549</v>
      </c>
      <c r="B154" s="317"/>
      <c r="C154" s="156" t="s">
        <v>146</v>
      </c>
      <c r="D154" s="323">
        <v>146</v>
      </c>
      <c r="E154" s="157" t="s">
        <v>34</v>
      </c>
      <c r="F154" s="158">
        <f t="shared" si="14"/>
        <v>7.25</v>
      </c>
      <c r="G154" s="158">
        <f t="shared" si="15"/>
        <v>6.6</v>
      </c>
      <c r="H154" s="159">
        <f t="shared" si="19"/>
        <v>6.36</v>
      </c>
      <c r="I154" s="160">
        <v>6</v>
      </c>
      <c r="J154" s="161" t="s">
        <v>592</v>
      </c>
      <c r="K154" s="5">
        <f t="shared" si="16"/>
        <v>8.9655172413793158E-2</v>
      </c>
    </row>
    <row r="155" spans="1:11" s="137" customFormat="1" ht="16.2" thickBot="1" x14ac:dyDescent="0.35">
      <c r="A155" s="317" t="s">
        <v>550</v>
      </c>
      <c r="B155" s="317"/>
      <c r="C155" s="156" t="s">
        <v>147</v>
      </c>
      <c r="D155" s="323">
        <v>147</v>
      </c>
      <c r="E155" s="157" t="s">
        <v>27</v>
      </c>
      <c r="F155" s="158">
        <f t="shared" si="14"/>
        <v>4.5599999999999996</v>
      </c>
      <c r="G155" s="158">
        <f t="shared" si="15"/>
        <v>4.4000000000000004</v>
      </c>
      <c r="H155" s="159">
        <v>4</v>
      </c>
      <c r="I155" s="160">
        <v>4</v>
      </c>
      <c r="J155" s="161" t="s">
        <v>28</v>
      </c>
      <c r="K155" s="5">
        <f t="shared" si="16"/>
        <v>3.5087719298245452E-2</v>
      </c>
    </row>
    <row r="156" spans="1:11" s="137" customFormat="1" ht="16.2" thickBot="1" x14ac:dyDescent="0.35">
      <c r="A156" s="317" t="s">
        <v>551</v>
      </c>
      <c r="B156" s="317"/>
      <c r="C156" s="156" t="s">
        <v>148</v>
      </c>
      <c r="D156" s="323">
        <v>148</v>
      </c>
      <c r="E156" s="157" t="s">
        <v>34</v>
      </c>
      <c r="F156" s="158">
        <f t="shared" si="14"/>
        <v>3.65</v>
      </c>
      <c r="G156" s="158">
        <f t="shared" si="15"/>
        <v>3.15</v>
      </c>
      <c r="H156" s="159">
        <v>3.2</v>
      </c>
      <c r="I156" s="160">
        <f>20/7</f>
        <v>2.8571428571428572</v>
      </c>
      <c r="J156" s="161" t="s">
        <v>215</v>
      </c>
      <c r="K156" s="5">
        <f t="shared" si="16"/>
        <v>0.13698630136986301</v>
      </c>
    </row>
    <row r="157" spans="1:11" s="137" customFormat="1" ht="16.2" thickBot="1" x14ac:dyDescent="0.35">
      <c r="A157" s="317" t="s">
        <v>552</v>
      </c>
      <c r="B157" s="317"/>
      <c r="C157" s="156" t="s">
        <v>149</v>
      </c>
      <c r="D157" s="323">
        <v>149</v>
      </c>
      <c r="E157" s="157" t="s">
        <v>19</v>
      </c>
      <c r="F157" s="158">
        <f t="shared" si="14"/>
        <v>3.42</v>
      </c>
      <c r="G157" s="158">
        <f t="shared" si="15"/>
        <v>3.3</v>
      </c>
      <c r="H157" s="159">
        <v>3</v>
      </c>
      <c r="I157" s="160">
        <v>3</v>
      </c>
      <c r="J157" s="161" t="s">
        <v>150</v>
      </c>
      <c r="K157" s="5">
        <f t="shared" si="16"/>
        <v>3.5087719298245647E-2</v>
      </c>
    </row>
    <row r="158" spans="1:11" s="137" customFormat="1" ht="16.2" thickBot="1" x14ac:dyDescent="0.35">
      <c r="A158" s="317" t="s">
        <v>553</v>
      </c>
      <c r="B158" s="317"/>
      <c r="C158" s="156" t="s">
        <v>151</v>
      </c>
      <c r="D158" s="323">
        <v>150</v>
      </c>
      <c r="E158" s="157" t="s">
        <v>27</v>
      </c>
      <c r="F158" s="158">
        <f t="shared" si="14"/>
        <v>0.18000000000000002</v>
      </c>
      <c r="G158" s="158">
        <f t="shared" si="15"/>
        <v>0.17</v>
      </c>
      <c r="H158" s="159">
        <v>0.15</v>
      </c>
      <c r="I158" s="160">
        <v>0.15</v>
      </c>
      <c r="J158" s="161" t="s">
        <v>20</v>
      </c>
      <c r="K158" s="5">
        <f t="shared" si="16"/>
        <v>5.5555555555555601E-2</v>
      </c>
    </row>
    <row r="159" spans="1:11" s="137" customFormat="1" ht="16.2" thickBot="1" x14ac:dyDescent="0.35">
      <c r="A159" s="317" t="s">
        <v>554</v>
      </c>
      <c r="B159" s="317"/>
      <c r="C159" s="156" t="s">
        <v>152</v>
      </c>
      <c r="D159" s="323">
        <v>151</v>
      </c>
      <c r="E159" s="157" t="s">
        <v>34</v>
      </c>
      <c r="F159" s="158">
        <f t="shared" si="14"/>
        <v>12.31</v>
      </c>
      <c r="G159" s="158">
        <f t="shared" si="15"/>
        <v>10.69</v>
      </c>
      <c r="H159" s="159">
        <f>9.15*1.18</f>
        <v>10.797000000000001</v>
      </c>
      <c r="I159" s="160">
        <f>+H159*0.9</f>
        <v>9.7173000000000016</v>
      </c>
      <c r="J159" s="161" t="s">
        <v>153</v>
      </c>
      <c r="K159" s="5">
        <f t="shared" si="16"/>
        <v>0.131600324939074</v>
      </c>
    </row>
    <row r="160" spans="1:11" s="137" customFormat="1" ht="16.2" thickBot="1" x14ac:dyDescent="0.35">
      <c r="A160" s="317" t="s">
        <v>555</v>
      </c>
      <c r="B160" s="317"/>
      <c r="C160" s="156" t="s">
        <v>154</v>
      </c>
      <c r="D160" s="323">
        <v>152</v>
      </c>
      <c r="E160" s="157" t="s">
        <v>34</v>
      </c>
      <c r="F160" s="158">
        <f t="shared" si="14"/>
        <v>14.77</v>
      </c>
      <c r="G160" s="158">
        <f t="shared" si="15"/>
        <v>12.83</v>
      </c>
      <c r="H160" s="159">
        <f>10.98*1.18</f>
        <v>12.9564</v>
      </c>
      <c r="I160" s="160">
        <f>+H160*0.9</f>
        <v>11.66076</v>
      </c>
      <c r="J160" s="161" t="s">
        <v>155</v>
      </c>
      <c r="K160" s="5">
        <f t="shared" si="16"/>
        <v>0.13134732566012183</v>
      </c>
    </row>
    <row r="161" spans="1:12" s="137" customFormat="1" ht="16.2" thickBot="1" x14ac:dyDescent="0.35">
      <c r="A161" s="317" t="s">
        <v>556</v>
      </c>
      <c r="B161" s="317"/>
      <c r="C161" s="156" t="s">
        <v>156</v>
      </c>
      <c r="D161" s="323">
        <v>153</v>
      </c>
      <c r="E161" s="157" t="s">
        <v>19</v>
      </c>
      <c r="F161" s="158">
        <f t="shared" si="14"/>
        <v>1.94</v>
      </c>
      <c r="G161" s="158">
        <f t="shared" si="15"/>
        <v>1.87</v>
      </c>
      <c r="H161" s="159">
        <v>1.7</v>
      </c>
      <c r="I161" s="160">
        <v>1.7</v>
      </c>
      <c r="J161" s="161" t="s">
        <v>35</v>
      </c>
      <c r="K161" s="5">
        <f t="shared" si="16"/>
        <v>3.6082474226804044E-2</v>
      </c>
    </row>
    <row r="162" spans="1:12" s="137" customFormat="1" ht="16.2" thickBot="1" x14ac:dyDescent="0.35">
      <c r="A162" s="317" t="s">
        <v>557</v>
      </c>
      <c r="B162" s="317"/>
      <c r="C162" s="156" t="s">
        <v>157</v>
      </c>
      <c r="D162" s="323">
        <v>154</v>
      </c>
      <c r="E162" s="157" t="s">
        <v>158</v>
      </c>
      <c r="F162" s="158">
        <f t="shared" ref="F162:F183" si="20">ROUNDUP(H162*0.87*1.1/0.84,2)</f>
        <v>6.38</v>
      </c>
      <c r="G162" s="158">
        <f t="shared" ref="G162:G183" si="21">ROUNDUP(I162*1.1,2)</f>
        <v>6.16</v>
      </c>
      <c r="H162" s="159">
        <v>5.6</v>
      </c>
      <c r="I162" s="160">
        <v>5.6</v>
      </c>
      <c r="J162" s="161" t="s">
        <v>35</v>
      </c>
      <c r="K162" s="5">
        <f t="shared" si="16"/>
        <v>3.448275862068962E-2</v>
      </c>
    </row>
    <row r="163" spans="1:12" s="137" customFormat="1" ht="16.2" thickBot="1" x14ac:dyDescent="0.35">
      <c r="A163" s="317" t="s">
        <v>558</v>
      </c>
      <c r="B163" s="317"/>
      <c r="C163" s="156" t="s">
        <v>216</v>
      </c>
      <c r="D163" s="323">
        <v>155</v>
      </c>
      <c r="E163" s="157" t="s">
        <v>27</v>
      </c>
      <c r="F163" s="158">
        <f t="shared" si="20"/>
        <v>10.87</v>
      </c>
      <c r="G163" s="158">
        <f t="shared" si="21"/>
        <v>9.9</v>
      </c>
      <c r="H163" s="159">
        <f>1.06*I163</f>
        <v>9.5400000000000009</v>
      </c>
      <c r="I163" s="160">
        <v>9</v>
      </c>
      <c r="J163" s="161" t="s">
        <v>593</v>
      </c>
      <c r="K163" s="5">
        <f t="shared" si="16"/>
        <v>8.9236430542778189E-2</v>
      </c>
    </row>
    <row r="164" spans="1:12" s="137" customFormat="1" ht="16.2" thickBot="1" x14ac:dyDescent="0.35">
      <c r="A164" s="317" t="s">
        <v>559</v>
      </c>
      <c r="B164" s="317"/>
      <c r="C164" s="156" t="s">
        <v>217</v>
      </c>
      <c r="D164" s="323">
        <v>156</v>
      </c>
      <c r="E164" s="157" t="s">
        <v>27</v>
      </c>
      <c r="F164" s="158">
        <f t="shared" si="20"/>
        <v>2.2799999999999998</v>
      </c>
      <c r="G164" s="158">
        <f t="shared" si="21"/>
        <v>1.98</v>
      </c>
      <c r="H164" s="159">
        <v>2</v>
      </c>
      <c r="I164" s="160">
        <v>1.8</v>
      </c>
      <c r="J164" s="161"/>
      <c r="K164" s="5">
        <f t="shared" si="16"/>
        <v>0.13157894736842099</v>
      </c>
    </row>
    <row r="165" spans="1:12" s="137" customFormat="1" ht="16.2" thickBot="1" x14ac:dyDescent="0.35">
      <c r="A165" s="317" t="s">
        <v>560</v>
      </c>
      <c r="B165" s="317"/>
      <c r="C165" s="156" t="s">
        <v>226</v>
      </c>
      <c r="D165" s="323">
        <v>157</v>
      </c>
      <c r="E165" s="157" t="s">
        <v>27</v>
      </c>
      <c r="F165" s="158">
        <f t="shared" si="20"/>
        <v>13.68</v>
      </c>
      <c r="G165" s="158">
        <f t="shared" si="21"/>
        <v>13.2</v>
      </c>
      <c r="H165" s="159">
        <v>12</v>
      </c>
      <c r="I165" s="160">
        <v>12</v>
      </c>
      <c r="J165" s="161"/>
      <c r="K165" s="5">
        <f t="shared" si="16"/>
        <v>3.5087719298245647E-2</v>
      </c>
    </row>
    <row r="166" spans="1:12" s="137" customFormat="1" ht="16.2" thickBot="1" x14ac:dyDescent="0.35">
      <c r="A166" s="317" t="s">
        <v>561</v>
      </c>
      <c r="B166" s="317"/>
      <c r="C166" s="175" t="s">
        <v>227</v>
      </c>
      <c r="D166" s="323">
        <v>158</v>
      </c>
      <c r="E166" s="157" t="s">
        <v>27</v>
      </c>
      <c r="F166" s="158">
        <f t="shared" si="20"/>
        <v>3.42</v>
      </c>
      <c r="G166" s="158">
        <f t="shared" si="21"/>
        <v>3.3</v>
      </c>
      <c r="H166" s="159">
        <v>3</v>
      </c>
      <c r="I166" s="160">
        <v>3</v>
      </c>
      <c r="J166" s="161"/>
      <c r="K166" s="5">
        <f t="shared" si="16"/>
        <v>3.5087719298245647E-2</v>
      </c>
    </row>
    <row r="167" spans="1:12" s="137" customFormat="1" ht="16.2" thickBot="1" x14ac:dyDescent="0.35">
      <c r="A167" s="317" t="s">
        <v>562</v>
      </c>
      <c r="B167" s="317"/>
      <c r="C167" s="175" t="s">
        <v>228</v>
      </c>
      <c r="D167" s="323">
        <v>159</v>
      </c>
      <c r="E167" s="157" t="s">
        <v>27</v>
      </c>
      <c r="F167" s="158">
        <f t="shared" si="20"/>
        <v>1.1399999999999999</v>
      </c>
      <c r="G167" s="158">
        <f t="shared" si="21"/>
        <v>1.1000000000000001</v>
      </c>
      <c r="H167" s="159">
        <v>1</v>
      </c>
      <c r="I167" s="160">
        <v>1</v>
      </c>
      <c r="J167" s="161"/>
      <c r="K167" s="5">
        <f t="shared" si="16"/>
        <v>3.5087719298245452E-2</v>
      </c>
    </row>
    <row r="168" spans="1:12" s="137" customFormat="1" ht="16.2" thickBot="1" x14ac:dyDescent="0.35">
      <c r="A168" s="317" t="s">
        <v>563</v>
      </c>
      <c r="B168" s="317"/>
      <c r="C168" s="175" t="s">
        <v>229</v>
      </c>
      <c r="D168" s="323">
        <v>160</v>
      </c>
      <c r="E168" s="157" t="s">
        <v>34</v>
      </c>
      <c r="F168" s="158">
        <f t="shared" si="20"/>
        <v>24.16</v>
      </c>
      <c r="G168" s="158">
        <f t="shared" si="21"/>
        <v>22</v>
      </c>
      <c r="H168" s="159">
        <f t="shared" ref="H168:H173" si="22">1.06*I168</f>
        <v>21.200000000000003</v>
      </c>
      <c r="I168" s="176">
        <v>20</v>
      </c>
      <c r="J168" s="161" t="s">
        <v>230</v>
      </c>
      <c r="K168" s="5">
        <f t="shared" si="16"/>
        <v>8.9403973509933773E-2</v>
      </c>
    </row>
    <row r="169" spans="1:12" s="137" customFormat="1" ht="16.2" thickBot="1" x14ac:dyDescent="0.35">
      <c r="A169" s="317" t="s">
        <v>564</v>
      </c>
      <c r="B169" s="317"/>
      <c r="C169" s="175" t="s">
        <v>231</v>
      </c>
      <c r="D169" s="323">
        <v>161</v>
      </c>
      <c r="E169" s="157" t="s">
        <v>34</v>
      </c>
      <c r="F169" s="158">
        <f t="shared" si="20"/>
        <v>36.229999999999997</v>
      </c>
      <c r="G169" s="158">
        <f t="shared" si="21"/>
        <v>33</v>
      </c>
      <c r="H169" s="159">
        <f t="shared" si="22"/>
        <v>31.8</v>
      </c>
      <c r="I169" s="176">
        <v>30</v>
      </c>
      <c r="J169" s="161" t="s">
        <v>232</v>
      </c>
      <c r="K169" s="5">
        <f t="shared" si="16"/>
        <v>8.9152635937068653E-2</v>
      </c>
    </row>
    <row r="170" spans="1:12" s="137" customFormat="1" ht="16.2" thickBot="1" x14ac:dyDescent="0.35">
      <c r="A170" s="317" t="s">
        <v>565</v>
      </c>
      <c r="B170" s="317"/>
      <c r="C170" s="175" t="s">
        <v>233</v>
      </c>
      <c r="D170" s="323">
        <v>162</v>
      </c>
      <c r="E170" s="157" t="s">
        <v>34</v>
      </c>
      <c r="F170" s="158">
        <f t="shared" si="20"/>
        <v>18.12</v>
      </c>
      <c r="G170" s="158">
        <f t="shared" si="21"/>
        <v>16.5</v>
      </c>
      <c r="H170" s="159">
        <f t="shared" si="22"/>
        <v>15.9</v>
      </c>
      <c r="I170" s="176">
        <v>15</v>
      </c>
      <c r="J170" s="161" t="s">
        <v>234</v>
      </c>
      <c r="K170" s="5">
        <f t="shared" si="16"/>
        <v>8.9403973509933829E-2</v>
      </c>
    </row>
    <row r="171" spans="1:12" s="137" customFormat="1" ht="16.2" thickBot="1" x14ac:dyDescent="0.35">
      <c r="A171" s="317" t="s">
        <v>566</v>
      </c>
      <c r="B171" s="317"/>
      <c r="C171" s="175" t="s">
        <v>235</v>
      </c>
      <c r="D171" s="323">
        <v>163</v>
      </c>
      <c r="E171" s="157" t="s">
        <v>34</v>
      </c>
      <c r="F171" s="158">
        <f t="shared" si="20"/>
        <v>24.16</v>
      </c>
      <c r="G171" s="158">
        <f t="shared" si="21"/>
        <v>22</v>
      </c>
      <c r="H171" s="159">
        <f t="shared" si="22"/>
        <v>21.200000000000003</v>
      </c>
      <c r="I171" s="176">
        <v>20</v>
      </c>
      <c r="J171" s="161" t="s">
        <v>236</v>
      </c>
      <c r="K171" s="5">
        <f t="shared" si="16"/>
        <v>8.9403973509933773E-2</v>
      </c>
    </row>
    <row r="172" spans="1:12" s="137" customFormat="1" ht="16.2" thickBot="1" x14ac:dyDescent="0.35">
      <c r="A172" s="317" t="s">
        <v>567</v>
      </c>
      <c r="B172" s="317"/>
      <c r="C172" s="175" t="s">
        <v>237</v>
      </c>
      <c r="D172" s="323">
        <v>164</v>
      </c>
      <c r="E172" s="157" t="s">
        <v>34</v>
      </c>
      <c r="F172" s="158">
        <f t="shared" si="20"/>
        <v>16.91</v>
      </c>
      <c r="G172" s="158">
        <f t="shared" si="21"/>
        <v>15.4</v>
      </c>
      <c r="H172" s="159">
        <f t="shared" si="22"/>
        <v>14.84</v>
      </c>
      <c r="I172" s="176">
        <v>14</v>
      </c>
      <c r="J172" s="161" t="s">
        <v>238</v>
      </c>
      <c r="K172" s="5">
        <f t="shared" si="16"/>
        <v>8.9296274393849781E-2</v>
      </c>
    </row>
    <row r="173" spans="1:12" s="177" customFormat="1" ht="16.2" thickBot="1" x14ac:dyDescent="0.35">
      <c r="A173" s="317" t="s">
        <v>568</v>
      </c>
      <c r="B173" s="317"/>
      <c r="C173" s="53" t="s">
        <v>286</v>
      </c>
      <c r="D173" s="323">
        <v>165</v>
      </c>
      <c r="E173" s="157" t="s">
        <v>27</v>
      </c>
      <c r="F173" s="158">
        <f t="shared" si="20"/>
        <v>8.4599999999999991</v>
      </c>
      <c r="G173" s="158">
        <f t="shared" si="21"/>
        <v>7.7</v>
      </c>
      <c r="H173" s="159">
        <f t="shared" si="22"/>
        <v>7.42</v>
      </c>
      <c r="I173" s="176">
        <v>7</v>
      </c>
      <c r="J173" s="161"/>
      <c r="K173" s="5">
        <f t="shared" si="16"/>
        <v>8.983451536643014E-2</v>
      </c>
      <c r="L173" s="137"/>
    </row>
    <row r="174" spans="1:12" s="177" customFormat="1" ht="16.2" thickBot="1" x14ac:dyDescent="0.35">
      <c r="A174" s="317" t="s">
        <v>569</v>
      </c>
      <c r="B174" s="317"/>
      <c r="C174" s="178" t="s">
        <v>287</v>
      </c>
      <c r="D174" s="323">
        <v>166</v>
      </c>
      <c r="E174" s="157" t="s">
        <v>34</v>
      </c>
      <c r="F174" s="158">
        <f t="shared" si="20"/>
        <v>48.54</v>
      </c>
      <c r="G174" s="158">
        <f t="shared" si="21"/>
        <v>46.86</v>
      </c>
      <c r="H174" s="160">
        <f>35.5*1.2</f>
        <v>42.6</v>
      </c>
      <c r="I174" s="160">
        <f>35.5*1.2</f>
        <v>42.6</v>
      </c>
      <c r="J174" s="173" t="s">
        <v>375</v>
      </c>
      <c r="K174" s="5">
        <f t="shared" si="16"/>
        <v>3.4610630407910993E-2</v>
      </c>
      <c r="L174" s="137"/>
    </row>
    <row r="175" spans="1:12" s="177" customFormat="1" ht="16.2" thickBot="1" x14ac:dyDescent="0.35">
      <c r="A175" s="317" t="s">
        <v>570</v>
      </c>
      <c r="B175" s="317"/>
      <c r="C175" s="156" t="s">
        <v>288</v>
      </c>
      <c r="D175" s="323">
        <v>167</v>
      </c>
      <c r="E175" s="157" t="s">
        <v>34</v>
      </c>
      <c r="F175" s="158">
        <f t="shared" si="20"/>
        <v>63.69</v>
      </c>
      <c r="G175" s="158">
        <f t="shared" si="21"/>
        <v>61.49</v>
      </c>
      <c r="H175" s="160">
        <f>43*1.3</f>
        <v>55.9</v>
      </c>
      <c r="I175" s="160">
        <f>43*1.3</f>
        <v>55.9</v>
      </c>
      <c r="J175" s="174" t="s">
        <v>289</v>
      </c>
      <c r="K175" s="5">
        <f t="shared" si="16"/>
        <v>3.4542314335060387E-2</v>
      </c>
      <c r="L175" s="137"/>
    </row>
    <row r="176" spans="1:12" s="177" customFormat="1" ht="16.2" thickBot="1" x14ac:dyDescent="0.35">
      <c r="A176" s="317" t="s">
        <v>571</v>
      </c>
      <c r="B176" s="317"/>
      <c r="C176" s="156" t="s">
        <v>290</v>
      </c>
      <c r="D176" s="323">
        <v>168</v>
      </c>
      <c r="E176" s="157" t="s">
        <v>34</v>
      </c>
      <c r="F176" s="158">
        <f t="shared" si="20"/>
        <v>68.13000000000001</v>
      </c>
      <c r="G176" s="158">
        <f t="shared" si="21"/>
        <v>65.78</v>
      </c>
      <c r="H176" s="160">
        <f>46*1.3</f>
        <v>59.800000000000004</v>
      </c>
      <c r="I176" s="160">
        <f>46*1.3</f>
        <v>59.800000000000004</v>
      </c>
      <c r="J176" s="174" t="s">
        <v>291</v>
      </c>
      <c r="K176" s="5">
        <f t="shared" si="16"/>
        <v>3.4492881256421665E-2</v>
      </c>
      <c r="L176" s="137"/>
    </row>
    <row r="177" spans="1:12" s="177" customFormat="1" ht="16.2" thickBot="1" x14ac:dyDescent="0.35">
      <c r="A177" s="317" t="s">
        <v>572</v>
      </c>
      <c r="B177" s="317"/>
      <c r="C177" s="156" t="s">
        <v>292</v>
      </c>
      <c r="D177" s="323">
        <v>169</v>
      </c>
      <c r="E177" s="157" t="s">
        <v>34</v>
      </c>
      <c r="F177" s="158">
        <f t="shared" si="20"/>
        <v>35.549999999999997</v>
      </c>
      <c r="G177" s="158">
        <f t="shared" si="21"/>
        <v>34.32</v>
      </c>
      <c r="H177" s="160">
        <f>24*1.3</f>
        <v>31.200000000000003</v>
      </c>
      <c r="I177" s="160">
        <f>24*1.3</f>
        <v>31.200000000000003</v>
      </c>
      <c r="J177" s="174" t="s">
        <v>293</v>
      </c>
      <c r="K177" s="5"/>
      <c r="L177" s="137"/>
    </row>
    <row r="178" spans="1:12" s="177" customFormat="1" ht="16.2" thickBot="1" x14ac:dyDescent="0.35">
      <c r="A178" s="317" t="s">
        <v>573</v>
      </c>
      <c r="B178" s="317"/>
      <c r="C178" s="53" t="s">
        <v>294</v>
      </c>
      <c r="D178" s="323">
        <v>170</v>
      </c>
      <c r="E178" s="157" t="s">
        <v>27</v>
      </c>
      <c r="F178" s="158">
        <f t="shared" si="20"/>
        <v>8.4599999999999991</v>
      </c>
      <c r="G178" s="158">
        <f t="shared" si="21"/>
        <v>7.7</v>
      </c>
      <c r="H178" s="159">
        <f>1.06*I178</f>
        <v>7.42</v>
      </c>
      <c r="I178" s="176">
        <v>7</v>
      </c>
      <c r="J178" s="161"/>
      <c r="K178" s="5">
        <f>(-G178+F178)/F178</f>
        <v>8.983451536643014E-2</v>
      </c>
      <c r="L178" s="137"/>
    </row>
    <row r="179" spans="1:12" s="177" customFormat="1" ht="16.2" thickBot="1" x14ac:dyDescent="0.35">
      <c r="A179" s="317" t="s">
        <v>574</v>
      </c>
      <c r="B179" s="317"/>
      <c r="C179" s="156" t="s">
        <v>366</v>
      </c>
      <c r="D179" s="323">
        <v>171</v>
      </c>
      <c r="E179" s="157" t="s">
        <v>34</v>
      </c>
      <c r="F179" s="158">
        <f t="shared" si="20"/>
        <v>13.68</v>
      </c>
      <c r="G179" s="158">
        <f t="shared" si="21"/>
        <v>13.2</v>
      </c>
      <c r="H179" s="160">
        <f>10*1.2</f>
        <v>12</v>
      </c>
      <c r="I179" s="160">
        <f>10*1.2</f>
        <v>12</v>
      </c>
      <c r="J179" s="174" t="s">
        <v>367</v>
      </c>
      <c r="K179" s="5"/>
      <c r="L179" s="137"/>
    </row>
    <row r="180" spans="1:12" s="177" customFormat="1" ht="16.2" thickBot="1" x14ac:dyDescent="0.35">
      <c r="A180" s="317" t="s">
        <v>575</v>
      </c>
      <c r="B180" s="317"/>
      <c r="C180" s="156" t="s">
        <v>368</v>
      </c>
      <c r="D180" s="323">
        <v>172</v>
      </c>
      <c r="E180" s="157" t="s">
        <v>34</v>
      </c>
      <c r="F180" s="158">
        <f t="shared" si="20"/>
        <v>16.41</v>
      </c>
      <c r="G180" s="158">
        <f t="shared" si="21"/>
        <v>15.84</v>
      </c>
      <c r="H180" s="159">
        <f>12*1.2</f>
        <v>14.399999999999999</v>
      </c>
      <c r="I180" s="176">
        <f>12*1.2</f>
        <v>14.399999999999999</v>
      </c>
      <c r="J180" s="174" t="s">
        <v>369</v>
      </c>
      <c r="K180" s="5">
        <f>(-G180+F180)/F180</f>
        <v>3.4734917733089593E-2</v>
      </c>
      <c r="L180" s="137"/>
    </row>
    <row r="181" spans="1:12" s="177" customFormat="1" ht="16.2" thickBot="1" x14ac:dyDescent="0.35">
      <c r="A181" s="317" t="s">
        <v>576</v>
      </c>
      <c r="B181" s="317"/>
      <c r="C181" s="156" t="s">
        <v>370</v>
      </c>
      <c r="D181" s="323">
        <v>173</v>
      </c>
      <c r="E181" s="157" t="s">
        <v>96</v>
      </c>
      <c r="F181" s="158">
        <f t="shared" si="20"/>
        <v>4.2799999999999994</v>
      </c>
      <c r="G181" s="158">
        <f t="shared" si="21"/>
        <v>4.13</v>
      </c>
      <c r="H181" s="159">
        <f>3*1.25</f>
        <v>3.75</v>
      </c>
      <c r="I181" s="176">
        <f>3*1.25</f>
        <v>3.75</v>
      </c>
      <c r="J181" s="174" t="s">
        <v>371</v>
      </c>
      <c r="K181" s="5">
        <f>(-G181+F181)/F181</f>
        <v>3.5046728971962496E-2</v>
      </c>
      <c r="L181" s="137"/>
    </row>
    <row r="182" spans="1:12" s="177" customFormat="1" ht="16.2" thickBot="1" x14ac:dyDescent="0.35">
      <c r="A182" s="317" t="s">
        <v>577</v>
      </c>
      <c r="B182" s="317"/>
      <c r="C182" s="156" t="s">
        <v>372</v>
      </c>
      <c r="D182" s="323">
        <v>174</v>
      </c>
      <c r="E182" s="157" t="s">
        <v>34</v>
      </c>
      <c r="F182" s="158">
        <f t="shared" si="20"/>
        <v>22.220000000000002</v>
      </c>
      <c r="G182" s="158">
        <f t="shared" si="21"/>
        <v>21.45</v>
      </c>
      <c r="H182" s="176">
        <f>15*1.3</f>
        <v>19.5</v>
      </c>
      <c r="I182" s="176">
        <f>15*1.3</f>
        <v>19.5</v>
      </c>
      <c r="J182" s="174" t="s">
        <v>373</v>
      </c>
      <c r="K182" s="5">
        <f>(-G182+F182)/F182</f>
        <v>3.4653465346534788E-2</v>
      </c>
      <c r="L182" s="137"/>
    </row>
    <row r="183" spans="1:12" s="137" customFormat="1" ht="16.2" thickBot="1" x14ac:dyDescent="0.35">
      <c r="A183" s="317" t="s">
        <v>578</v>
      </c>
      <c r="B183" s="317"/>
      <c r="C183" s="156" t="s">
        <v>374</v>
      </c>
      <c r="D183" s="323">
        <v>175</v>
      </c>
      <c r="E183" s="157" t="s">
        <v>34</v>
      </c>
      <c r="F183" s="158">
        <f t="shared" si="20"/>
        <v>78.62</v>
      </c>
      <c r="G183" s="158">
        <f t="shared" si="21"/>
        <v>75.900000000000006</v>
      </c>
      <c r="H183" s="160">
        <f>60*1.15</f>
        <v>69</v>
      </c>
      <c r="I183" s="160">
        <f>60*1.15</f>
        <v>69</v>
      </c>
      <c r="J183" s="174" t="s">
        <v>603</v>
      </c>
      <c r="K183" s="5">
        <f>(-G183+F183)/F183</f>
        <v>3.4596794708725502E-2</v>
      </c>
    </row>
    <row r="184" spans="1:12" s="177" customFormat="1" ht="16.2" thickBot="1" x14ac:dyDescent="0.35">
      <c r="A184" s="317" t="s">
        <v>579</v>
      </c>
      <c r="B184" s="317"/>
      <c r="C184" s="156" t="s">
        <v>604</v>
      </c>
      <c r="D184" s="323">
        <v>176</v>
      </c>
      <c r="E184" s="157" t="s">
        <v>34</v>
      </c>
      <c r="F184" s="158">
        <f>2*F100</f>
        <v>28.2</v>
      </c>
      <c r="G184" s="158">
        <f>2*G100</f>
        <v>27.24</v>
      </c>
      <c r="H184" s="160">
        <f>2*H100</f>
        <v>24.747999999999998</v>
      </c>
      <c r="I184" s="160">
        <f>2*I100</f>
        <v>24.747999999999998</v>
      </c>
      <c r="J184" s="174" t="s">
        <v>605</v>
      </c>
      <c r="K184" s="5"/>
      <c r="L184" s="137"/>
    </row>
    <row r="185" spans="1:12" s="177" customFormat="1" ht="16.2" thickBot="1" x14ac:dyDescent="0.35">
      <c r="A185" s="317" t="s">
        <v>580</v>
      </c>
      <c r="B185" s="317"/>
      <c r="C185" s="156" t="s">
        <v>606</v>
      </c>
      <c r="D185" s="323">
        <v>177</v>
      </c>
      <c r="E185" s="157" t="s">
        <v>34</v>
      </c>
      <c r="F185" s="158">
        <f>ROUNDUP(H185*0.87*1.1/0.84,2)</f>
        <v>32.629999999999995</v>
      </c>
      <c r="G185" s="158">
        <f>ROUNDUP(I185*1.1,2)</f>
        <v>31.5</v>
      </c>
      <c r="H185" s="160">
        <f>24.9*1.15</f>
        <v>28.634999999999994</v>
      </c>
      <c r="I185" s="160">
        <f>24.9*1.15</f>
        <v>28.634999999999994</v>
      </c>
      <c r="J185" s="174" t="s">
        <v>607</v>
      </c>
      <c r="K185" s="5"/>
      <c r="L185" s="137"/>
    </row>
    <row r="186" spans="1:12" s="177" customFormat="1" ht="16.2" thickBot="1" x14ac:dyDescent="0.35">
      <c r="A186" s="317" t="s">
        <v>581</v>
      </c>
      <c r="B186" s="317"/>
      <c r="C186" s="156" t="s">
        <v>608</v>
      </c>
      <c r="D186" s="323">
        <v>178</v>
      </c>
      <c r="E186" s="157" t="s">
        <v>34</v>
      </c>
      <c r="F186" s="158">
        <f>F100+F185</f>
        <v>46.73</v>
      </c>
      <c r="G186" s="158">
        <f>G100+G185</f>
        <v>45.12</v>
      </c>
      <c r="H186" s="160">
        <f>H100+H185</f>
        <v>41.008999999999993</v>
      </c>
      <c r="I186" s="160">
        <f>I100+I185</f>
        <v>41.008999999999993</v>
      </c>
      <c r="J186" s="174" t="s">
        <v>605</v>
      </c>
      <c r="K186" s="319"/>
      <c r="L186" s="137"/>
    </row>
    <row r="187" spans="1:12" s="177" customFormat="1" ht="16.2" thickBot="1" x14ac:dyDescent="0.35">
      <c r="A187" s="317" t="s">
        <v>582</v>
      </c>
      <c r="B187" s="317"/>
      <c r="C187" s="320" t="s">
        <v>609</v>
      </c>
      <c r="D187" s="323">
        <v>179</v>
      </c>
      <c r="E187" s="157" t="s">
        <v>610</v>
      </c>
      <c r="F187" s="158">
        <f t="shared" ref="F187:F193" si="23">ROUNDUP(H187*0.87*1.1/0.84,2)</f>
        <v>7.2799999999999994</v>
      </c>
      <c r="G187" s="158">
        <f t="shared" ref="G187:G193" si="24">ROUNDUP(I187*1.1,2)</f>
        <v>7.0299999999999994</v>
      </c>
      <c r="H187" s="160">
        <f>+L187*1.15</f>
        <v>6.386333333333333</v>
      </c>
      <c r="I187" s="160">
        <f>+L187*1.15</f>
        <v>6.386333333333333</v>
      </c>
      <c r="J187" s="174" t="s">
        <v>611</v>
      </c>
      <c r="K187" s="319">
        <v>33.32</v>
      </c>
      <c r="L187" s="163">
        <f>+K187/6</f>
        <v>5.5533333333333337</v>
      </c>
    </row>
    <row r="188" spans="1:12" s="177" customFormat="1" ht="16.2" thickBot="1" x14ac:dyDescent="0.35">
      <c r="A188" s="317" t="s">
        <v>583</v>
      </c>
      <c r="B188" s="317"/>
      <c r="C188" s="321" t="s">
        <v>612</v>
      </c>
      <c r="D188" s="323">
        <v>180</v>
      </c>
      <c r="E188" s="157" t="s">
        <v>610</v>
      </c>
      <c r="F188" s="158">
        <f t="shared" si="23"/>
        <v>2.46</v>
      </c>
      <c r="G188" s="158">
        <f t="shared" si="24"/>
        <v>2.3699999999999997</v>
      </c>
      <c r="H188" s="160">
        <f t="shared" ref="H188:H191" si="25">+L188*1.15</f>
        <v>2.1505000000000001</v>
      </c>
      <c r="I188" s="160">
        <f t="shared" ref="I188:I191" si="26">+L188*1.15</f>
        <v>2.1505000000000001</v>
      </c>
      <c r="J188" s="174" t="s">
        <v>613</v>
      </c>
      <c r="K188" s="319">
        <v>11.22</v>
      </c>
      <c r="L188" s="163">
        <f t="shared" ref="L188:L190" si="27">+K188/6</f>
        <v>1.87</v>
      </c>
    </row>
    <row r="189" spans="1:12" s="177" customFormat="1" ht="16.2" thickBot="1" x14ac:dyDescent="0.35">
      <c r="A189" s="317" t="s">
        <v>584</v>
      </c>
      <c r="B189" s="317"/>
      <c r="C189" s="321" t="s">
        <v>614</v>
      </c>
      <c r="D189" s="323">
        <v>181</v>
      </c>
      <c r="E189" s="157" t="s">
        <v>610</v>
      </c>
      <c r="F189" s="158">
        <f t="shared" si="23"/>
        <v>5.67</v>
      </c>
      <c r="G189" s="158">
        <f t="shared" si="24"/>
        <v>5.4799999999999995</v>
      </c>
      <c r="H189" s="160">
        <f t="shared" si="25"/>
        <v>4.9737499999999999</v>
      </c>
      <c r="I189" s="160">
        <f t="shared" si="26"/>
        <v>4.9737499999999999</v>
      </c>
      <c r="J189" s="174" t="s">
        <v>615</v>
      </c>
      <c r="K189" s="319">
        <v>25.95</v>
      </c>
      <c r="L189" s="163">
        <f t="shared" si="27"/>
        <v>4.3250000000000002</v>
      </c>
    </row>
    <row r="190" spans="1:12" s="177" customFormat="1" ht="16.2" thickBot="1" x14ac:dyDescent="0.35">
      <c r="A190" s="317" t="s">
        <v>585</v>
      </c>
      <c r="B190" s="317"/>
      <c r="C190" s="321" t="s">
        <v>616</v>
      </c>
      <c r="D190" s="323">
        <v>182</v>
      </c>
      <c r="E190" s="157" t="s">
        <v>610</v>
      </c>
      <c r="F190" s="158">
        <f t="shared" si="23"/>
        <v>3.53</v>
      </c>
      <c r="G190" s="158">
        <f t="shared" si="24"/>
        <v>3.4</v>
      </c>
      <c r="H190" s="160">
        <f t="shared" si="25"/>
        <v>3.089666666666667</v>
      </c>
      <c r="I190" s="160">
        <f t="shared" si="26"/>
        <v>3.089666666666667</v>
      </c>
      <c r="J190" s="174" t="s">
        <v>617</v>
      </c>
      <c r="K190" s="319">
        <v>16.12</v>
      </c>
      <c r="L190" s="163">
        <f t="shared" si="27"/>
        <v>2.686666666666667</v>
      </c>
    </row>
    <row r="191" spans="1:12" s="177" customFormat="1" ht="16.2" thickBot="1" x14ac:dyDescent="0.35">
      <c r="A191" s="317" t="s">
        <v>586</v>
      </c>
      <c r="B191" s="317"/>
      <c r="C191" s="322" t="s">
        <v>618</v>
      </c>
      <c r="D191" s="323">
        <v>183</v>
      </c>
      <c r="E191" s="157" t="s">
        <v>27</v>
      </c>
      <c r="F191" s="158">
        <f t="shared" si="23"/>
        <v>0</v>
      </c>
      <c r="G191" s="158">
        <f t="shared" si="24"/>
        <v>0</v>
      </c>
      <c r="H191" s="160">
        <f t="shared" si="25"/>
        <v>0</v>
      </c>
      <c r="I191" s="160">
        <f t="shared" si="26"/>
        <v>0</v>
      </c>
      <c r="J191" s="174"/>
      <c r="K191" s="5"/>
      <c r="L191" s="163"/>
    </row>
    <row r="192" spans="1:12" s="177" customFormat="1" ht="16.2" thickBot="1" x14ac:dyDescent="0.35">
      <c r="A192" s="317" t="s">
        <v>587</v>
      </c>
      <c r="B192" s="317"/>
      <c r="C192" s="53" t="s">
        <v>619</v>
      </c>
      <c r="D192" s="323">
        <v>184</v>
      </c>
      <c r="E192" s="157" t="s">
        <v>27</v>
      </c>
      <c r="F192" s="158">
        <f t="shared" si="23"/>
        <v>6.27</v>
      </c>
      <c r="G192" s="158">
        <f t="shared" si="24"/>
        <v>6.05</v>
      </c>
      <c r="H192" s="160">
        <v>5.5</v>
      </c>
      <c r="I192" s="160">
        <v>5.5</v>
      </c>
      <c r="J192" s="174" t="s">
        <v>591</v>
      </c>
      <c r="K192" s="5"/>
      <c r="L192" s="137"/>
    </row>
    <row r="193" spans="1:12" s="177" customFormat="1" ht="16.2" thickBot="1" x14ac:dyDescent="0.35">
      <c r="A193" s="317" t="s">
        <v>588</v>
      </c>
      <c r="B193" s="317"/>
      <c r="C193" s="53" t="s">
        <v>620</v>
      </c>
      <c r="D193" s="323">
        <v>185</v>
      </c>
      <c r="E193" s="157" t="s">
        <v>27</v>
      </c>
      <c r="F193" s="158">
        <f t="shared" si="23"/>
        <v>39.879999999999995</v>
      </c>
      <c r="G193" s="158">
        <f t="shared" si="24"/>
        <v>38.5</v>
      </c>
      <c r="H193" s="160">
        <v>35</v>
      </c>
      <c r="I193" s="160">
        <v>35</v>
      </c>
      <c r="J193" s="174" t="s">
        <v>591</v>
      </c>
      <c r="K193" s="5"/>
      <c r="L193" s="137"/>
    </row>
    <row r="194" spans="1:12" s="177" customFormat="1" ht="16.2" thickBot="1" x14ac:dyDescent="0.35">
      <c r="A194" s="317" t="s">
        <v>589</v>
      </c>
      <c r="B194" s="317"/>
      <c r="C194" s="156" t="s">
        <v>632</v>
      </c>
      <c r="D194" s="323">
        <v>186</v>
      </c>
      <c r="E194" s="157" t="s">
        <v>34</v>
      </c>
      <c r="F194" s="158">
        <f t="shared" ref="F194" si="28">ROUNDUP(H194*0.87*1.1/0.84,2)</f>
        <v>5.7</v>
      </c>
      <c r="G194" s="158">
        <f t="shared" ref="G194" si="29">ROUNDUP(I194*1.1,2)</f>
        <v>5.5</v>
      </c>
      <c r="H194" s="160">
        <v>5</v>
      </c>
      <c r="I194" s="160">
        <v>5</v>
      </c>
      <c r="J194" s="174"/>
      <c r="K194" s="5"/>
      <c r="L194" s="137"/>
    </row>
    <row r="195" spans="1:12" s="177" customFormat="1" ht="16.2" thickBot="1" x14ac:dyDescent="0.35">
      <c r="A195" s="317" t="s">
        <v>590</v>
      </c>
      <c r="B195" s="317"/>
      <c r="C195" s="156"/>
      <c r="D195" s="323">
        <v>187</v>
      </c>
      <c r="E195" s="157"/>
      <c r="F195" s="158"/>
      <c r="G195" s="158"/>
      <c r="H195" s="160"/>
      <c r="I195" s="160"/>
      <c r="J195" s="174"/>
      <c r="K195" s="5"/>
      <c r="L195" s="137"/>
    </row>
    <row r="196" spans="1:12" s="177" customFormat="1" ht="16.2" thickBot="1" x14ac:dyDescent="0.35">
      <c r="A196" s="317" t="s">
        <v>623</v>
      </c>
      <c r="B196" s="317"/>
      <c r="C196" s="156"/>
      <c r="D196" s="323">
        <v>188</v>
      </c>
      <c r="E196" s="157"/>
      <c r="F196" s="158"/>
      <c r="G196" s="158"/>
      <c r="H196" s="160"/>
      <c r="I196" s="160"/>
      <c r="J196" s="174"/>
      <c r="K196" s="5"/>
      <c r="L196" s="137"/>
    </row>
    <row r="197" spans="1:12" s="177" customFormat="1" ht="16.2" thickBot="1" x14ac:dyDescent="0.35">
      <c r="A197" s="317" t="s">
        <v>624</v>
      </c>
      <c r="B197" s="317"/>
      <c r="C197" s="156"/>
      <c r="D197" s="323">
        <v>189</v>
      </c>
      <c r="E197" s="157"/>
      <c r="F197" s="158"/>
      <c r="G197" s="158"/>
      <c r="H197" s="160"/>
      <c r="I197" s="160"/>
      <c r="J197" s="174"/>
      <c r="K197" s="5"/>
      <c r="L197" s="137"/>
    </row>
    <row r="198" spans="1:12" s="177" customFormat="1" ht="16.2" thickBot="1" x14ac:dyDescent="0.35">
      <c r="A198" s="317" t="s">
        <v>625</v>
      </c>
      <c r="B198" s="317"/>
      <c r="C198" s="156"/>
      <c r="D198" s="323">
        <v>190</v>
      </c>
      <c r="E198" s="157"/>
      <c r="F198" s="158"/>
      <c r="G198" s="158"/>
      <c r="H198" s="160"/>
      <c r="I198" s="160"/>
      <c r="J198" s="174"/>
      <c r="K198" s="5"/>
      <c r="L198" s="137"/>
    </row>
    <row r="199" spans="1:12" s="177" customFormat="1" ht="16.2" thickBot="1" x14ac:dyDescent="0.35">
      <c r="A199" s="317" t="s">
        <v>626</v>
      </c>
      <c r="B199" s="317"/>
      <c r="C199" s="156"/>
      <c r="D199" s="323">
        <v>191</v>
      </c>
      <c r="E199" s="157"/>
      <c r="F199" s="158"/>
      <c r="G199" s="158"/>
      <c r="H199" s="160"/>
      <c r="I199" s="160"/>
      <c r="J199" s="174"/>
      <c r="K199" s="5"/>
      <c r="L199" s="137"/>
    </row>
    <row r="200" spans="1:12" s="177" customFormat="1" ht="16.2" thickBot="1" x14ac:dyDescent="0.35">
      <c r="A200" s="317" t="s">
        <v>627</v>
      </c>
      <c r="B200" s="317"/>
      <c r="C200" s="156"/>
      <c r="D200" s="323">
        <v>192</v>
      </c>
      <c r="E200" s="157"/>
      <c r="F200" s="158"/>
      <c r="G200" s="158"/>
      <c r="H200" s="160"/>
      <c r="I200" s="160"/>
      <c r="J200" s="174"/>
      <c r="K200" s="5"/>
      <c r="L200" s="137"/>
    </row>
    <row r="201" spans="1:12" s="177" customFormat="1" ht="16.2" thickBot="1" x14ac:dyDescent="0.35">
      <c r="A201" s="317" t="s">
        <v>628</v>
      </c>
      <c r="B201" s="317"/>
      <c r="C201" s="156"/>
      <c r="D201" s="323">
        <v>193</v>
      </c>
      <c r="E201" s="157"/>
      <c r="F201" s="158"/>
      <c r="G201" s="158"/>
      <c r="H201" s="160"/>
      <c r="I201" s="160"/>
      <c r="J201" s="174"/>
      <c r="K201" s="5"/>
      <c r="L201" s="137"/>
    </row>
    <row r="202" spans="1:12" s="177" customFormat="1" ht="16.2" thickBot="1" x14ac:dyDescent="0.35">
      <c r="A202" s="317" t="s">
        <v>629</v>
      </c>
      <c r="B202" s="317"/>
      <c r="C202" s="156"/>
      <c r="D202" s="323">
        <v>194</v>
      </c>
      <c r="E202" s="157"/>
      <c r="F202" s="158"/>
      <c r="G202" s="158"/>
      <c r="H202" s="160"/>
      <c r="I202" s="160"/>
      <c r="J202" s="174"/>
      <c r="K202" s="5"/>
      <c r="L202" s="137"/>
    </row>
    <row r="203" spans="1:12" s="177" customFormat="1" ht="16.2" thickBot="1" x14ac:dyDescent="0.35">
      <c r="A203" s="317" t="s">
        <v>630</v>
      </c>
      <c r="B203" s="317"/>
      <c r="C203" s="156"/>
      <c r="D203" s="323">
        <v>195</v>
      </c>
      <c r="E203" s="157"/>
      <c r="F203" s="158"/>
      <c r="G203" s="158"/>
      <c r="H203" s="160"/>
      <c r="I203" s="160"/>
      <c r="J203" s="174"/>
      <c r="K203" s="5"/>
      <c r="L203" s="137"/>
    </row>
  </sheetData>
  <mergeCells count="2">
    <mergeCell ref="H3:I3"/>
    <mergeCell ref="D3:D5"/>
  </mergeCells>
  <phoneticPr fontId="0" type="noConversion"/>
  <pageMargins left="0.45" right="0.33" top="0.21" bottom="0.34" header="0" footer="0"/>
  <pageSetup scale="71" fitToHeight="0" orientation="portrait" horizontalDpi="180" verticalDpi="14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1"/>
  <sheetViews>
    <sheetView tabSelected="1" topLeftCell="A26" zoomScale="60" zoomScaleNormal="60" zoomScalePageLayoutView="80" workbookViewId="0">
      <selection activeCell="D44" sqref="D44"/>
    </sheetView>
  </sheetViews>
  <sheetFormatPr baseColWidth="10" defaultColWidth="11.44140625" defaultRowHeight="13.2" x14ac:dyDescent="0.25"/>
  <cols>
    <col min="1" max="1" width="48" style="25" bestFit="1" customWidth="1"/>
    <col min="2" max="2" width="8.33203125" style="25" customWidth="1"/>
    <col min="3" max="3" width="10" style="25" customWidth="1"/>
    <col min="4" max="4" width="12.33203125" style="25" customWidth="1"/>
    <col min="5" max="5" width="5.6640625" style="64" customWidth="1"/>
    <col min="6" max="6" width="13.6640625" style="25" customWidth="1"/>
    <col min="7" max="7" width="12.44140625" style="25" customWidth="1"/>
    <col min="8" max="9" width="12.33203125" style="25" customWidth="1"/>
    <col min="10" max="16384" width="11.44140625" style="25"/>
  </cols>
  <sheetData>
    <row r="1" spans="1:9" ht="70.5" customHeight="1" thickBot="1" x14ac:dyDescent="0.4">
      <c r="A1" s="75"/>
      <c r="B1" s="76"/>
      <c r="C1" s="76"/>
      <c r="D1" s="77"/>
      <c r="H1" s="77"/>
      <c r="I1" s="77"/>
    </row>
    <row r="2" spans="1:9" ht="18.600000000000001" x14ac:dyDescent="0.35">
      <c r="A2" s="391" t="s">
        <v>244</v>
      </c>
      <c r="B2" s="392"/>
      <c r="C2" s="393"/>
      <c r="D2" s="78" t="s">
        <v>218</v>
      </c>
      <c r="E2" s="79"/>
      <c r="F2" s="386" t="s">
        <v>159</v>
      </c>
      <c r="G2" s="387"/>
      <c r="H2" s="78" t="s">
        <v>218</v>
      </c>
      <c r="I2" s="78" t="s">
        <v>218</v>
      </c>
    </row>
    <row r="3" spans="1:9" s="84" customFormat="1" ht="67.5" customHeight="1" thickBot="1" x14ac:dyDescent="0.3">
      <c r="A3" s="388" t="s">
        <v>246</v>
      </c>
      <c r="B3" s="389"/>
      <c r="C3" s="390"/>
      <c r="D3" s="80" t="str">
        <f>IF(D11=8,"8 mm.","10 mm.")</f>
        <v>8 mm.</v>
      </c>
      <c r="E3" s="81"/>
      <c r="F3" s="82"/>
      <c r="G3" s="83"/>
      <c r="H3" s="80" t="str">
        <f>IF(H11=8,"8 mm.","10 mm.")</f>
        <v>10 mm.</v>
      </c>
      <c r="I3" s="80" t="str">
        <f>IF(I11=8,"8 mm.","10 mm.")</f>
        <v>10 mm.</v>
      </c>
    </row>
    <row r="4" spans="1:9" s="85" customFormat="1" ht="13.8" thickBot="1" x14ac:dyDescent="0.3">
      <c r="A4" s="85" t="s">
        <v>160</v>
      </c>
      <c r="C4" s="86"/>
      <c r="D4" s="87" t="str">
        <f>IF(D10=1,"INCOLORO","COLOR")</f>
        <v>INCOLORO</v>
      </c>
      <c r="E4" s="88"/>
      <c r="F4" s="89"/>
      <c r="G4" s="90"/>
      <c r="H4" s="87" t="str">
        <f>IF(H10=1,"INCOLORO","COLOR")</f>
        <v>INCOLORO</v>
      </c>
      <c r="I4" s="87" t="str">
        <f>IF(I10=1,"INCOLORO","COLOR")</f>
        <v>INCOLORO</v>
      </c>
    </row>
    <row r="5" spans="1:9" ht="15.6" x14ac:dyDescent="0.3">
      <c r="A5" s="91" t="s">
        <v>161</v>
      </c>
      <c r="B5" s="92"/>
      <c r="C5" s="93"/>
      <c r="D5" s="28">
        <v>5</v>
      </c>
      <c r="E5" s="94"/>
      <c r="F5" s="95"/>
      <c r="G5" s="96"/>
      <c r="H5" s="28">
        <v>6</v>
      </c>
      <c r="I5" s="28">
        <v>6</v>
      </c>
    </row>
    <row r="6" spans="1:9" ht="15.6" x14ac:dyDescent="0.3">
      <c r="A6" s="97" t="s">
        <v>162</v>
      </c>
      <c r="B6" s="98"/>
      <c r="C6" s="99"/>
      <c r="D6" s="28">
        <v>6</v>
      </c>
      <c r="E6" s="94"/>
      <c r="F6" s="95"/>
      <c r="G6" s="96"/>
      <c r="H6" s="28">
        <v>6</v>
      </c>
      <c r="I6" s="28">
        <v>6</v>
      </c>
    </row>
    <row r="7" spans="1:9" ht="15.6" x14ac:dyDescent="0.3">
      <c r="A7" s="97" t="s">
        <v>163</v>
      </c>
      <c r="B7" s="98"/>
      <c r="C7" s="99"/>
      <c r="D7" s="28">
        <v>3</v>
      </c>
      <c r="E7" s="94"/>
      <c r="F7" s="23">
        <f>SUM(H7:IU7)</f>
        <v>2</v>
      </c>
      <c r="G7" s="24" t="s">
        <v>213</v>
      </c>
      <c r="H7" s="28">
        <v>1</v>
      </c>
      <c r="I7" s="28">
        <v>1</v>
      </c>
    </row>
    <row r="8" spans="1:9" ht="15.6" x14ac:dyDescent="0.3">
      <c r="A8" s="10" t="s">
        <v>239</v>
      </c>
      <c r="B8" s="98"/>
      <c r="C8" s="99"/>
      <c r="D8" s="28">
        <v>5</v>
      </c>
      <c r="E8" s="94"/>
      <c r="F8" s="23"/>
      <c r="G8" s="24"/>
      <c r="H8" s="28">
        <v>5</v>
      </c>
      <c r="I8" s="28">
        <v>5</v>
      </c>
    </row>
    <row r="9" spans="1:9" ht="15.6" x14ac:dyDescent="0.3">
      <c r="A9" s="10" t="s">
        <v>240</v>
      </c>
      <c r="B9" s="98"/>
      <c r="D9" s="28">
        <v>6</v>
      </c>
      <c r="E9" s="94"/>
      <c r="F9" s="23"/>
      <c r="G9" s="24"/>
      <c r="H9" s="28">
        <v>3</v>
      </c>
      <c r="I9" s="28">
        <v>3</v>
      </c>
    </row>
    <row r="10" spans="1:9" ht="15.6" x14ac:dyDescent="0.3">
      <c r="A10" s="100" t="s">
        <v>179</v>
      </c>
      <c r="B10" s="98"/>
      <c r="C10" s="99"/>
      <c r="D10" s="28">
        <v>1</v>
      </c>
      <c r="E10" s="94"/>
      <c r="F10" s="23"/>
      <c r="G10" s="24"/>
      <c r="H10" s="28">
        <v>1</v>
      </c>
      <c r="I10" s="28">
        <v>1</v>
      </c>
    </row>
    <row r="11" spans="1:9" ht="15.6" x14ac:dyDescent="0.3">
      <c r="A11" s="100" t="s">
        <v>200</v>
      </c>
      <c r="B11" s="98"/>
      <c r="C11" s="99"/>
      <c r="D11" s="28">
        <v>8</v>
      </c>
      <c r="E11" s="94"/>
      <c r="F11" s="23"/>
      <c r="G11" s="24"/>
      <c r="H11" s="28">
        <v>10</v>
      </c>
      <c r="I11" s="28">
        <v>10</v>
      </c>
    </row>
    <row r="12" spans="1:9" ht="16.2" thickBot="1" x14ac:dyDescent="0.35">
      <c r="A12" s="101" t="s">
        <v>222</v>
      </c>
      <c r="B12" s="102"/>
      <c r="C12" s="103"/>
      <c r="D12" s="104"/>
      <c r="E12" s="94"/>
      <c r="F12" s="23"/>
      <c r="G12" s="24"/>
      <c r="H12" s="104"/>
      <c r="I12" s="104"/>
    </row>
    <row r="13" spans="1:9" ht="15.6" x14ac:dyDescent="0.3">
      <c r="A13" s="394" t="s">
        <v>245</v>
      </c>
      <c r="B13" s="394"/>
      <c r="C13" s="395"/>
      <c r="D13" s="74">
        <v>2</v>
      </c>
      <c r="E13" s="94"/>
      <c r="F13" s="23"/>
      <c r="G13" s="24"/>
      <c r="H13" s="74">
        <v>1</v>
      </c>
      <c r="I13" s="74">
        <v>2</v>
      </c>
    </row>
    <row r="14" spans="1:9" ht="18" x14ac:dyDescent="0.35">
      <c r="A14" s="11" t="s">
        <v>241</v>
      </c>
      <c r="B14" s="12"/>
      <c r="C14" s="12"/>
      <c r="D14" s="13"/>
      <c r="E14" s="94"/>
      <c r="F14" s="23"/>
      <c r="G14" s="24"/>
      <c r="H14" s="13"/>
      <c r="I14" s="13"/>
    </row>
    <row r="15" spans="1:9" ht="18" x14ac:dyDescent="0.35">
      <c r="A15" s="14" t="s">
        <v>242</v>
      </c>
      <c r="B15" s="15"/>
      <c r="C15" s="15"/>
      <c r="D15" s="16">
        <f>+D5/D8</f>
        <v>1</v>
      </c>
      <c r="E15" s="94"/>
      <c r="F15" s="23"/>
      <c r="G15" s="24"/>
      <c r="H15" s="16">
        <f>+H5/H8</f>
        <v>1.2</v>
      </c>
      <c r="I15" s="16">
        <f>+I5/I8</f>
        <v>1.2</v>
      </c>
    </row>
    <row r="16" spans="1:9" ht="18" x14ac:dyDescent="0.35">
      <c r="A16" s="18" t="s">
        <v>243</v>
      </c>
      <c r="B16" s="19"/>
      <c r="C16" s="19"/>
      <c r="D16" s="17">
        <f>+D6/D9</f>
        <v>1</v>
      </c>
      <c r="E16" s="94"/>
      <c r="F16" s="23"/>
      <c r="G16" s="24"/>
      <c r="H16" s="17">
        <f>+H6/H9</f>
        <v>2</v>
      </c>
      <c r="I16" s="17">
        <f>+I6/I9</f>
        <v>2</v>
      </c>
    </row>
    <row r="17" spans="1:9" ht="15.6" x14ac:dyDescent="0.3">
      <c r="A17" s="105" t="s">
        <v>164</v>
      </c>
      <c r="B17" s="41"/>
      <c r="C17" s="106" t="s">
        <v>212</v>
      </c>
      <c r="D17" s="21">
        <f>+D51</f>
        <v>13860.894</v>
      </c>
      <c r="E17" s="22"/>
      <c r="F17" s="23">
        <f>SUM(H17:IU17)</f>
        <v>6745.4380000000001</v>
      </c>
      <c r="G17" s="24" t="s">
        <v>165</v>
      </c>
      <c r="H17" s="21">
        <f>+H51</f>
        <v>2832.4549999999999</v>
      </c>
      <c r="I17" s="21">
        <f>+I51</f>
        <v>3912.9830000000006</v>
      </c>
    </row>
    <row r="18" spans="1:9" ht="15.6" x14ac:dyDescent="0.3">
      <c r="A18" s="26" t="s">
        <v>166</v>
      </c>
      <c r="B18" s="20"/>
      <c r="C18" s="27"/>
      <c r="D18" s="28">
        <f>+D5*D6*D$7+IF(D13=1,D7*D6*(D8-1)*0.2,0)</f>
        <v>90</v>
      </c>
      <c r="E18" s="29"/>
      <c r="F18" s="23">
        <f>SUM(H18:IU18)</f>
        <v>76.8</v>
      </c>
      <c r="G18" s="24" t="s">
        <v>34</v>
      </c>
      <c r="H18" s="28">
        <f>+H5*H6*H$7+IF(H13=1,H7*H6*(H8-1)*0.2,0)</f>
        <v>40.799999999999997</v>
      </c>
      <c r="I18" s="28">
        <f>+I5*I6*I$7+IF(I13=1,I7*I6*(I8-1)*0.2,0)</f>
        <v>36</v>
      </c>
    </row>
    <row r="19" spans="1:9" ht="15.6" x14ac:dyDescent="0.3">
      <c r="A19" s="26" t="s">
        <v>167</v>
      </c>
      <c r="B19" s="20"/>
      <c r="C19" s="27"/>
      <c r="D19" s="21">
        <f>+D17/D18</f>
        <v>154.00993333333332</v>
      </c>
      <c r="E19" s="22"/>
      <c r="F19" s="23">
        <f>+F17/F18</f>
        <v>87.831223958333339</v>
      </c>
      <c r="G19" s="24" t="s">
        <v>168</v>
      </c>
      <c r="H19" s="21">
        <f>+H17/H18</f>
        <v>69.422916666666666</v>
      </c>
      <c r="I19" s="21">
        <f>+I17/I18</f>
        <v>108.69397222222224</v>
      </c>
    </row>
    <row r="20" spans="1:9" ht="15.6" x14ac:dyDescent="0.3">
      <c r="A20" s="26" t="s">
        <v>169</v>
      </c>
      <c r="B20" s="20"/>
      <c r="C20" s="27"/>
      <c r="D20" s="21">
        <f>+D72</f>
        <v>13360.197</v>
      </c>
      <c r="E20" s="22"/>
      <c r="F20" s="23">
        <f>SUM(H20:IU20)</f>
        <v>6500.5579999999991</v>
      </c>
      <c r="G20" s="24" t="s">
        <v>165</v>
      </c>
      <c r="H20" s="21">
        <f>+H72</f>
        <v>2739.3989999999994</v>
      </c>
      <c r="I20" s="21">
        <f>+I72</f>
        <v>3761.1590000000001</v>
      </c>
    </row>
    <row r="21" spans="1:9" ht="15.6" x14ac:dyDescent="0.3">
      <c r="A21" s="26" t="s">
        <v>170</v>
      </c>
      <c r="B21" s="20"/>
      <c r="C21" s="27"/>
      <c r="D21" s="21">
        <f>+D20/D18</f>
        <v>148.44663333333332</v>
      </c>
      <c r="E21" s="22"/>
      <c r="F21" s="23">
        <f>+F20/F18</f>
        <v>84.642682291666659</v>
      </c>
      <c r="G21" s="24" t="s">
        <v>168</v>
      </c>
      <c r="H21" s="21">
        <f>+H20/H18</f>
        <v>67.142132352941161</v>
      </c>
      <c r="I21" s="21">
        <f>+I20/I18</f>
        <v>104.47663888888889</v>
      </c>
    </row>
    <row r="22" spans="1:9" ht="15.6" x14ac:dyDescent="0.3">
      <c r="A22" s="259" t="s">
        <v>353</v>
      </c>
      <c r="B22" s="285"/>
      <c r="C22" s="286"/>
      <c r="D22" s="287">
        <f>0.9*SUM(D52:D55)</f>
        <v>2838.8070000000002</v>
      </c>
      <c r="E22" s="22"/>
      <c r="F22" s="291">
        <f>SUM(H22:IU22)</f>
        <v>2500.0973999999997</v>
      </c>
      <c r="G22" s="292" t="s">
        <v>165</v>
      </c>
      <c r="H22" s="287">
        <f>0.9*SUM(H52:H55)</f>
        <v>1327.5710999999999</v>
      </c>
      <c r="I22" s="287">
        <f>0.9*SUM(I52:I55)</f>
        <v>1172.5263</v>
      </c>
    </row>
    <row r="23" spans="1:9" ht="15.6" x14ac:dyDescent="0.3">
      <c r="A23" s="259" t="s">
        <v>354</v>
      </c>
      <c r="B23" s="285"/>
      <c r="C23" s="286"/>
      <c r="D23" s="287">
        <f>0.9*SUM(D57:D69)</f>
        <v>7789.1976000000004</v>
      </c>
      <c r="E23" s="22"/>
      <c r="F23" s="291">
        <f>SUM(H23:IU23)</f>
        <v>1994.8608000000002</v>
      </c>
      <c r="G23" s="292" t="s">
        <v>165</v>
      </c>
      <c r="H23" s="287">
        <f>0.9*SUM(H57:H69)</f>
        <v>384.42239999999998</v>
      </c>
      <c r="I23" s="287">
        <f>0.9*SUM(I57:I69)</f>
        <v>1610.4384000000002</v>
      </c>
    </row>
    <row r="24" spans="1:9" ht="15.6" x14ac:dyDescent="0.3">
      <c r="A24" s="259" t="s">
        <v>182</v>
      </c>
      <c r="B24" s="285"/>
      <c r="C24" s="286"/>
      <c r="D24" s="287">
        <f>0.9*D56</f>
        <v>1846.8</v>
      </c>
      <c r="E24" s="22"/>
      <c r="F24" s="291">
        <f>SUM(H24:IU24)</f>
        <v>1575.9360000000001</v>
      </c>
      <c r="G24" s="292" t="s">
        <v>165</v>
      </c>
      <c r="H24" s="287">
        <f>0.9*H56</f>
        <v>837.21600000000001</v>
      </c>
      <c r="I24" s="287">
        <f>0.9*I56</f>
        <v>738.72</v>
      </c>
    </row>
    <row r="25" spans="1:9" ht="15.6" x14ac:dyDescent="0.3">
      <c r="A25" s="259" t="s">
        <v>355</v>
      </c>
      <c r="B25" s="285"/>
      <c r="C25" s="286"/>
      <c r="D25" s="287">
        <f>+D17-D24-D23-D22</f>
        <v>1386.0894000000003</v>
      </c>
      <c r="E25" s="22"/>
      <c r="F25" s="291">
        <f>SUM(H25:IU25)</f>
        <v>674.54380000000083</v>
      </c>
      <c r="G25" s="292" t="s">
        <v>165</v>
      </c>
      <c r="H25" s="287">
        <f>+H17-H24-H23-H22</f>
        <v>283.24550000000022</v>
      </c>
      <c r="I25" s="287">
        <f>+I17-I24-I23-I22</f>
        <v>391.29830000000061</v>
      </c>
    </row>
    <row r="26" spans="1:9" ht="15.6" x14ac:dyDescent="0.3">
      <c r="A26" s="281" t="s">
        <v>356</v>
      </c>
      <c r="B26" s="288"/>
      <c r="C26" s="289"/>
      <c r="D26" s="290">
        <f>SUM(D22:D25)</f>
        <v>13860.894</v>
      </c>
      <c r="E26" s="22"/>
      <c r="F26" s="299">
        <f>SUM(H26:IU26)</f>
        <v>6745.438000000001</v>
      </c>
      <c r="G26" s="300" t="s">
        <v>165</v>
      </c>
      <c r="H26" s="290">
        <f>SUM(H22:H25)</f>
        <v>2832.4549999999999</v>
      </c>
      <c r="I26" s="290">
        <f>SUM(I22:I25)</f>
        <v>3912.9830000000011</v>
      </c>
    </row>
    <row r="27" spans="1:9" ht="15.6" x14ac:dyDescent="0.3">
      <c r="A27" s="30" t="s">
        <v>171</v>
      </c>
      <c r="B27" s="31"/>
      <c r="C27" s="32"/>
      <c r="D27" s="33">
        <f>+(D17-D20)/D17</f>
        <v>3.6122994663980557E-2</v>
      </c>
      <c r="E27" s="34"/>
      <c r="F27" s="35">
        <f>+(F17-F20)/F17</f>
        <v>3.6303054004795686E-2</v>
      </c>
      <c r="G27" s="36"/>
      <c r="H27" s="33">
        <f>+(H17-H20)/H17</f>
        <v>3.2853478696043006E-2</v>
      </c>
      <c r="I27" s="33">
        <f>+(I17-I20)/I17</f>
        <v>3.8800066343247723E-2</v>
      </c>
    </row>
    <row r="28" spans="1:9" ht="15.6" x14ac:dyDescent="0.3">
      <c r="A28" s="37"/>
      <c r="B28" s="31"/>
      <c r="C28" s="38"/>
      <c r="D28" s="39"/>
      <c r="E28" s="40"/>
      <c r="F28" s="39"/>
      <c r="G28" s="39"/>
      <c r="H28" s="39"/>
      <c r="I28" s="39"/>
    </row>
    <row r="29" spans="1:9" x14ac:dyDescent="0.25">
      <c r="A29" s="41" t="s">
        <v>172</v>
      </c>
      <c r="B29" s="42"/>
      <c r="C29" s="43"/>
      <c r="D29" s="44"/>
      <c r="E29" s="45"/>
      <c r="F29" s="42"/>
      <c r="G29" s="42"/>
      <c r="H29" s="44"/>
      <c r="I29" s="44"/>
    </row>
    <row r="30" spans="1:9" x14ac:dyDescent="0.25">
      <c r="A30" s="46" t="s">
        <v>173</v>
      </c>
      <c r="B30" s="47"/>
      <c r="C30" s="48" t="s">
        <v>2</v>
      </c>
      <c r="D30" s="49" t="str">
        <f>+D2</f>
        <v>PF</v>
      </c>
      <c r="E30" s="50"/>
      <c r="F30" s="51" t="s">
        <v>174</v>
      </c>
      <c r="G30" s="52" t="s">
        <v>2</v>
      </c>
      <c r="H30" s="49" t="str">
        <f>+H2</f>
        <v>PF</v>
      </c>
      <c r="I30" s="49" t="str">
        <f>+I2</f>
        <v>PF</v>
      </c>
    </row>
    <row r="31" spans="1:9" ht="18" x14ac:dyDescent="0.3">
      <c r="A31" s="53" t="s">
        <v>33</v>
      </c>
      <c r="B31" s="54"/>
      <c r="C31" s="55" t="s">
        <v>34</v>
      </c>
      <c r="D31" s="56">
        <f>IF(D$10=1,IF(D$11=10,((D$6*0.05)+(D$5*D$6))*D$7+IF(D13=1,D$7*D6*(D8-1)*0.2,0),0),0)</f>
        <v>0</v>
      </c>
      <c r="E31" s="325">
        <v>17</v>
      </c>
      <c r="F31" s="58">
        <f t="shared" ref="F31:F37" si="0">ROUNDUP(SUM(H31:IU31),1)</f>
        <v>77.400000000000006</v>
      </c>
      <c r="G31" s="55" t="s">
        <v>34</v>
      </c>
      <c r="H31" s="56">
        <f>IF(H$10=1,IF(H$11=10,((H$6*0.05)+(H$5*H$6))*H$7+IF(H13=1,H$7*H6*(H8-1)*0.2,0),0),0)</f>
        <v>41.099999999999994</v>
      </c>
      <c r="I31" s="56">
        <f>IF(I$10=1,IF(I$11=10,((I$6*0.05)+(I$5*I$6))*I$7+IF(I13=1,I$7*I6*(I8-1)*0.2,0),0),0)</f>
        <v>36.299999999999997</v>
      </c>
    </row>
    <row r="32" spans="1:9" ht="18" x14ac:dyDescent="0.3">
      <c r="A32" s="53" t="s">
        <v>40</v>
      </c>
      <c r="B32" s="54"/>
      <c r="C32" s="55" t="s">
        <v>34</v>
      </c>
      <c r="D32" s="56">
        <f>IF(D$10=2,IF(D$11=10,((D$6*0.05)+(D$5*D$6))*D$7+IF(D13=1,D7*D6*(D8-1)*0.2,0),0),0)</f>
        <v>0</v>
      </c>
      <c r="E32" s="325">
        <v>22</v>
      </c>
      <c r="F32" s="58">
        <f t="shared" si="0"/>
        <v>0</v>
      </c>
      <c r="G32" s="55" t="s">
        <v>34</v>
      </c>
      <c r="H32" s="56">
        <f>IF(H$10=2,IF(H$11=10,((H$6*0.05)+(H$5*H$6))*H$7+IF(H13=1,H7*H6*(H8-1)*0.2,0),0),0)</f>
        <v>0</v>
      </c>
      <c r="I32" s="56">
        <f>IF(I$10=2,IF(I$11=10,((I$6*0.05)+(I$5*I$6))*I$7+IF(I13=1,I7*I6*(I8-1)*0.2,0),0),0)</f>
        <v>0</v>
      </c>
    </row>
    <row r="33" spans="1:9" ht="18" x14ac:dyDescent="0.3">
      <c r="A33" s="53" t="s">
        <v>36</v>
      </c>
      <c r="B33" s="54"/>
      <c r="C33" s="55" t="s">
        <v>34</v>
      </c>
      <c r="D33" s="56">
        <f>IF(D$10=1,IF(D$11=8,((D$6*0.05)+(D$5*D$6))*D$7+IF(D13=1,D7*D6*(D8-1)*0.2,0),0),0)</f>
        <v>90.9</v>
      </c>
      <c r="E33" s="325">
        <v>18</v>
      </c>
      <c r="F33" s="58">
        <f t="shared" si="0"/>
        <v>0</v>
      </c>
      <c r="G33" s="55" t="s">
        <v>34</v>
      </c>
      <c r="H33" s="56">
        <f>IF(H$10=1,IF(H$11=8,((H$6*0.05)+(H$5*H$6))*H$7+IF(H13=1,H7*H6*(H8-1)*0.2,0),0),0)</f>
        <v>0</v>
      </c>
      <c r="I33" s="56">
        <f>IF(I$10=1,IF(I$11=8,((I$6*0.05)+(I$5*I$6))*I$7+IF(I13=1,I7*I6*(I8-1)*0.2,0),0),0)</f>
        <v>0</v>
      </c>
    </row>
    <row r="34" spans="1:9" ht="18" x14ac:dyDescent="0.3">
      <c r="A34" s="53" t="s">
        <v>41</v>
      </c>
      <c r="B34" s="54"/>
      <c r="C34" s="55" t="s">
        <v>34</v>
      </c>
      <c r="D34" s="56">
        <f>IF(D$10=2,IF(D$11=8,((D$5*D$6))*D$7+IF(D13=1,D7*D6*(D8-1)*0.2,0),0),0)</f>
        <v>0</v>
      </c>
      <c r="E34" s="325">
        <v>23</v>
      </c>
      <c r="F34" s="58">
        <f t="shared" si="0"/>
        <v>0</v>
      </c>
      <c r="G34" s="55" t="s">
        <v>34</v>
      </c>
      <c r="H34" s="56">
        <f>IF(H$10=2,IF(H$11=8,((H$5*H$6))*H$7+IF(H13=1,H7*H6*(H8-1)*0.2,0),0),0)</f>
        <v>0</v>
      </c>
      <c r="I34" s="56">
        <f>IF(I$10=2,IF(I$11=8,((I$5*I$6))*I$7+IF(I13=1,I7*I6*(I8-1)*0.2,0),0),0)</f>
        <v>0</v>
      </c>
    </row>
    <row r="35" spans="1:9" ht="18" x14ac:dyDescent="0.3">
      <c r="A35" s="53" t="s">
        <v>182</v>
      </c>
      <c r="B35" s="54"/>
      <c r="C35" s="55" t="s">
        <v>34</v>
      </c>
      <c r="D35" s="56">
        <f>+D18</f>
        <v>90</v>
      </c>
      <c r="E35" s="325">
        <v>75</v>
      </c>
      <c r="F35" s="58">
        <f t="shared" si="0"/>
        <v>76.8</v>
      </c>
      <c r="G35" s="55" t="s">
        <v>34</v>
      </c>
      <c r="H35" s="56">
        <f>+H18</f>
        <v>40.799999999999997</v>
      </c>
      <c r="I35" s="56">
        <f>+I18</f>
        <v>36</v>
      </c>
    </row>
    <row r="36" spans="1:9" ht="18" x14ac:dyDescent="0.3">
      <c r="A36" s="156" t="s">
        <v>12</v>
      </c>
      <c r="B36" s="54"/>
      <c r="C36" s="55" t="s">
        <v>13</v>
      </c>
      <c r="D36" s="56">
        <f>D7*(4*D5+4*D6+(D8-1)*D6+(D9-1)*D5)/6</f>
        <v>46.5</v>
      </c>
      <c r="E36" s="325">
        <v>1</v>
      </c>
      <c r="F36" s="58">
        <f t="shared" si="0"/>
        <v>28</v>
      </c>
      <c r="G36" s="55" t="s">
        <v>13</v>
      </c>
      <c r="H36" s="56">
        <f>H7*(4*H5+4*H6+(H8-1)*H6+(H9-1)*H5)/6</f>
        <v>14</v>
      </c>
      <c r="I36" s="56">
        <f>I7*(4*I5+4*I6+(I8-1)*I6+(I9-1)*I5)/6</f>
        <v>14</v>
      </c>
    </row>
    <row r="37" spans="1:9" ht="18" x14ac:dyDescent="0.3">
      <c r="A37" s="53" t="s">
        <v>15</v>
      </c>
      <c r="B37" s="54"/>
      <c r="C37" s="55" t="s">
        <v>16</v>
      </c>
      <c r="D37" s="56">
        <f>+D36*12/20</f>
        <v>27.9</v>
      </c>
      <c r="E37" s="325">
        <v>3</v>
      </c>
      <c r="F37" s="58">
        <f t="shared" si="0"/>
        <v>16.8</v>
      </c>
      <c r="G37" s="55" t="s">
        <v>16</v>
      </c>
      <c r="H37" s="56">
        <f>+H7*H36*12/20</f>
        <v>8.4</v>
      </c>
      <c r="I37" s="56">
        <f>+I7*I36*12/20</f>
        <v>8.4</v>
      </c>
    </row>
    <row r="38" spans="1:9" ht="18" x14ac:dyDescent="0.3">
      <c r="A38" s="53" t="s">
        <v>295</v>
      </c>
      <c r="B38" s="54">
        <v>0.2</v>
      </c>
      <c r="C38" s="55" t="s">
        <v>186</v>
      </c>
      <c r="D38" s="56">
        <f>(2*D$6+2*D5)*$B38*D$7</f>
        <v>13.200000000000001</v>
      </c>
      <c r="E38" s="325">
        <v>5</v>
      </c>
      <c r="F38" s="58">
        <f>ROUNDUP(SUM(H38:IU38)/(6*B38),1)</f>
        <v>8</v>
      </c>
      <c r="G38" s="55" t="s">
        <v>262</v>
      </c>
      <c r="H38" s="56">
        <f>(2*H$6+2*H5)*$B38*H$7</f>
        <v>4.8000000000000007</v>
      </c>
      <c r="I38" s="56">
        <f>(2*I$6+2*I5)*$B38*I$7</f>
        <v>4.8000000000000007</v>
      </c>
    </row>
    <row r="39" spans="1:9" ht="18" x14ac:dyDescent="0.3">
      <c r="A39" s="53" t="s">
        <v>221</v>
      </c>
      <c r="B39" s="54"/>
      <c r="C39" s="55" t="s">
        <v>34</v>
      </c>
      <c r="D39" s="56">
        <f>IF((D12="e"),D18*D7,IF( (D12="E"),D18*D7,0))</f>
        <v>0</v>
      </c>
      <c r="E39" s="325">
        <v>186</v>
      </c>
      <c r="F39" s="58">
        <f t="shared" ref="F39:F48" si="1">ROUNDUP(SUM(H39:IU39),1)</f>
        <v>0</v>
      </c>
      <c r="G39" s="55" t="s">
        <v>34</v>
      </c>
      <c r="H39" s="56">
        <f>IF((H12="e"),H18*H7,IF( (H12="E"),H18*H7,0))</f>
        <v>0</v>
      </c>
      <c r="I39" s="56">
        <f>IF((I12="e"),I18*I7,IF( (I12="E"),I18*I7,0))</f>
        <v>0</v>
      </c>
    </row>
    <row r="40" spans="1:9" ht="18" x14ac:dyDescent="0.3">
      <c r="A40" s="53" t="s">
        <v>29</v>
      </c>
      <c r="B40" s="54"/>
      <c r="C40" s="55" t="s">
        <v>27</v>
      </c>
      <c r="D40" s="56">
        <f>D$7*(2*D$5+2*D$6)/0.4</f>
        <v>165</v>
      </c>
      <c r="E40" s="325">
        <v>13</v>
      </c>
      <c r="F40" s="58">
        <f t="shared" si="1"/>
        <v>120</v>
      </c>
      <c r="G40" s="55" t="s">
        <v>27</v>
      </c>
      <c r="H40" s="56">
        <f>H$7*(2*H$5+2*H$6)/0.4</f>
        <v>60</v>
      </c>
      <c r="I40" s="56">
        <f>I$7*(2*I$5+2*I$6)/0.4</f>
        <v>60</v>
      </c>
    </row>
    <row r="41" spans="1:9" ht="18" x14ac:dyDescent="0.3">
      <c r="A41" s="53" t="s">
        <v>30</v>
      </c>
      <c r="B41" s="54"/>
      <c r="C41" s="55" t="s">
        <v>27</v>
      </c>
      <c r="D41" s="56">
        <f>D$7*(2*D$5+2*D$6)/0.4</f>
        <v>165</v>
      </c>
      <c r="E41" s="325">
        <v>14</v>
      </c>
      <c r="F41" s="58">
        <f t="shared" si="1"/>
        <v>120</v>
      </c>
      <c r="G41" s="55" t="s">
        <v>27</v>
      </c>
      <c r="H41" s="56">
        <f>H$7*(2*H$5+2*H$6)/0.4</f>
        <v>60</v>
      </c>
      <c r="I41" s="56">
        <f>I$7*(2*I$5+2*I$6)/0.4</f>
        <v>60</v>
      </c>
    </row>
    <row r="42" spans="1:9" ht="18" x14ac:dyDescent="0.3">
      <c r="A42" s="53" t="s">
        <v>247</v>
      </c>
      <c r="B42" s="54"/>
      <c r="C42" s="55" t="s">
        <v>249</v>
      </c>
      <c r="D42" s="56">
        <f>IF(D13=2,D7*(D8-1)*D6,0)</f>
        <v>72</v>
      </c>
      <c r="E42" s="325">
        <v>16</v>
      </c>
      <c r="F42" s="58">
        <f t="shared" si="1"/>
        <v>24</v>
      </c>
      <c r="G42" s="55" t="s">
        <v>249</v>
      </c>
      <c r="H42" s="56">
        <f>IF(H13=2,H7*(H8-1)*H6,0)</f>
        <v>0</v>
      </c>
      <c r="I42" s="56">
        <f>IF(I13=2,I7*(I8-1)*I6,0)</f>
        <v>24</v>
      </c>
    </row>
    <row r="43" spans="1:9" ht="18" x14ac:dyDescent="0.3">
      <c r="A43" s="53" t="s">
        <v>248</v>
      </c>
      <c r="B43" s="54"/>
      <c r="C43" s="55" t="s">
        <v>27</v>
      </c>
      <c r="D43" s="56">
        <f>IF(D13=2,D7*(D8-1)*(D9-1),0)</f>
        <v>60</v>
      </c>
      <c r="E43" s="325">
        <v>76</v>
      </c>
      <c r="F43" s="58">
        <f t="shared" si="1"/>
        <v>8</v>
      </c>
      <c r="G43" s="55" t="s">
        <v>27</v>
      </c>
      <c r="H43" s="56">
        <f>IF(H13=2,H7*(H8-1)*(H9-1),0)</f>
        <v>0</v>
      </c>
      <c r="I43" s="56">
        <f>IF(I13=2,I7*(I8-1)*(I9-1),0)</f>
        <v>8</v>
      </c>
    </row>
    <row r="44" spans="1:9" ht="18" x14ac:dyDescent="0.3">
      <c r="A44" s="53" t="s">
        <v>250</v>
      </c>
      <c r="B44" s="54"/>
      <c r="C44" s="55" t="s">
        <v>27</v>
      </c>
      <c r="D44" s="56">
        <f>+D43</f>
        <v>60</v>
      </c>
      <c r="E44" s="325">
        <v>77</v>
      </c>
      <c r="F44" s="58">
        <f t="shared" si="1"/>
        <v>8</v>
      </c>
      <c r="G44" s="55" t="s">
        <v>27</v>
      </c>
      <c r="H44" s="56">
        <f>+H43*H7</f>
        <v>0</v>
      </c>
      <c r="I44" s="56">
        <f>+I43*I7</f>
        <v>8</v>
      </c>
    </row>
    <row r="45" spans="1:9" ht="18" x14ac:dyDescent="0.3">
      <c r="A45" s="53" t="s">
        <v>253</v>
      </c>
      <c r="B45" s="54"/>
      <c r="C45" s="55" t="s">
        <v>27</v>
      </c>
      <c r="D45" s="56">
        <f>+(D8-1)*2*D7</f>
        <v>24</v>
      </c>
      <c r="E45" s="325">
        <v>147</v>
      </c>
      <c r="F45" s="58">
        <f t="shared" si="1"/>
        <v>16</v>
      </c>
      <c r="G45" s="55" t="s">
        <v>27</v>
      </c>
      <c r="H45" s="56">
        <f>+(H8-1)*2*H7</f>
        <v>8</v>
      </c>
      <c r="I45" s="56">
        <f>+(I8-1)*2*I7</f>
        <v>8</v>
      </c>
    </row>
    <row r="46" spans="1:9" ht="18" x14ac:dyDescent="0.3">
      <c r="A46" s="53">
        <v>1318</v>
      </c>
      <c r="B46" s="54"/>
      <c r="C46" s="55" t="s">
        <v>27</v>
      </c>
      <c r="D46" s="56">
        <f>IF(D13=1,D7*(D8-1)*(D9-1),0)</f>
        <v>0</v>
      </c>
      <c r="E46" s="325">
        <v>78</v>
      </c>
      <c r="F46" s="58">
        <f t="shared" si="1"/>
        <v>8</v>
      </c>
      <c r="G46" s="55" t="s">
        <v>27</v>
      </c>
      <c r="H46" s="56">
        <f>IF(H13=1,H7*(H8-1)*(H9-1),0)</f>
        <v>8</v>
      </c>
      <c r="I46" s="56">
        <f>IF(I13=1,I7*(I8-1)*(I9-1),0)</f>
        <v>0</v>
      </c>
    </row>
    <row r="47" spans="1:9" ht="18" x14ac:dyDescent="0.3">
      <c r="A47" s="60">
        <v>1302</v>
      </c>
      <c r="B47" s="54"/>
      <c r="C47" s="61" t="s">
        <v>27</v>
      </c>
      <c r="D47" s="56">
        <f>IF(D13=1,D7*2*(D8-1),0)</f>
        <v>0</v>
      </c>
      <c r="E47" s="325">
        <v>55</v>
      </c>
      <c r="F47" s="58">
        <f t="shared" si="1"/>
        <v>8</v>
      </c>
      <c r="G47" s="61" t="s">
        <v>27</v>
      </c>
      <c r="H47" s="56">
        <f>IF(H13=1,H7*2*(H8-1),0)</f>
        <v>8</v>
      </c>
      <c r="I47" s="56">
        <f>IF(I13=1,I7*2*(I8-1),0)</f>
        <v>0</v>
      </c>
    </row>
    <row r="48" spans="1:9" ht="18" x14ac:dyDescent="0.3">
      <c r="A48" s="53">
        <v>1306</v>
      </c>
      <c r="B48" s="54"/>
      <c r="C48" s="55" t="s">
        <v>27</v>
      </c>
      <c r="D48" s="56">
        <f>IF(D13=1,D7*(D8-1)*(D9-1),0)</f>
        <v>0</v>
      </c>
      <c r="E48" s="325">
        <v>56</v>
      </c>
      <c r="F48" s="58">
        <f t="shared" si="1"/>
        <v>8</v>
      </c>
      <c r="G48" s="55" t="s">
        <v>27</v>
      </c>
      <c r="H48" s="56">
        <f>IF(H13=1,H7*(H8-1)*(H9-1),0)</f>
        <v>8</v>
      </c>
      <c r="I48" s="56">
        <f>IF(I13=1,I7*(I8-1)*(I9-1),0)</f>
        <v>0</v>
      </c>
    </row>
    <row r="49" spans="1:9" ht="18" x14ac:dyDescent="0.3">
      <c r="A49" s="179"/>
      <c r="B49" s="1"/>
      <c r="C49" s="181"/>
      <c r="D49" s="65"/>
      <c r="E49" s="325"/>
      <c r="F49" s="180"/>
      <c r="G49" s="181"/>
      <c r="H49" s="65"/>
      <c r="I49" s="65"/>
    </row>
    <row r="50" spans="1:9" ht="18" x14ac:dyDescent="0.25">
      <c r="C50" s="65"/>
      <c r="D50" s="65"/>
      <c r="E50" s="325"/>
      <c r="H50" s="65"/>
      <c r="I50" s="65"/>
    </row>
    <row r="51" spans="1:9" ht="18" x14ac:dyDescent="0.3">
      <c r="A51" s="66" t="s">
        <v>188</v>
      </c>
      <c r="B51" s="67"/>
      <c r="C51" s="68"/>
      <c r="D51" s="68">
        <f>SUM(D52:D69)</f>
        <v>13860.894</v>
      </c>
      <c r="E51" s="325"/>
      <c r="F51" s="68">
        <f>SUM(F52:F68)</f>
        <v>6694.2999999999993</v>
      </c>
      <c r="H51" s="68">
        <f>SUM(H52:H69)</f>
        <v>2832.4549999999999</v>
      </c>
      <c r="I51" s="68">
        <f>SUM(I52:I69)</f>
        <v>3912.9830000000006</v>
      </c>
    </row>
    <row r="52" spans="1:9" ht="18" x14ac:dyDescent="0.3">
      <c r="A52" s="53" t="s">
        <v>33</v>
      </c>
      <c r="B52" s="54"/>
      <c r="C52" s="69">
        <f>+'Costo M.P.yMat.'!F24</f>
        <v>35.89</v>
      </c>
      <c r="D52" s="56">
        <f t="shared" ref="D52:D66" si="2">+$C52*D31</f>
        <v>0</v>
      </c>
      <c r="E52" s="325">
        <v>17</v>
      </c>
      <c r="F52" s="58">
        <f t="shared" ref="F52:F69" si="3">ROUNDUP(SUM(H52:IU52),1)</f>
        <v>2777.9</v>
      </c>
      <c r="H52" s="56">
        <f t="shared" ref="H52:I66" si="4">+$C52*H31</f>
        <v>1475.0789999999997</v>
      </c>
      <c r="I52" s="56">
        <f t="shared" si="4"/>
        <v>1302.807</v>
      </c>
    </row>
    <row r="53" spans="1:9" ht="18" x14ac:dyDescent="0.3">
      <c r="A53" s="53" t="s">
        <v>40</v>
      </c>
      <c r="B53" s="54"/>
      <c r="C53" s="69">
        <f>+'Costo M.P.yMat.'!F29</f>
        <v>46.66</v>
      </c>
      <c r="D53" s="56">
        <f t="shared" si="2"/>
        <v>0</v>
      </c>
      <c r="E53" s="325">
        <v>22</v>
      </c>
      <c r="F53" s="58">
        <f t="shared" si="3"/>
        <v>0</v>
      </c>
      <c r="H53" s="56">
        <f t="shared" si="4"/>
        <v>0</v>
      </c>
      <c r="I53" s="56">
        <f t="shared" si="4"/>
        <v>0</v>
      </c>
    </row>
    <row r="54" spans="1:9" ht="18" x14ac:dyDescent="0.3">
      <c r="A54" s="53" t="s">
        <v>36</v>
      </c>
      <c r="B54" s="54"/>
      <c r="C54" s="69">
        <f>+'Costo M.P.yMat.'!F25</f>
        <v>34.699999999999996</v>
      </c>
      <c r="D54" s="56">
        <f t="shared" si="2"/>
        <v>3154.23</v>
      </c>
      <c r="E54" s="325">
        <v>18</v>
      </c>
      <c r="F54" s="58">
        <f t="shared" si="3"/>
        <v>0</v>
      </c>
      <c r="H54" s="56">
        <f t="shared" si="4"/>
        <v>0</v>
      </c>
      <c r="I54" s="56">
        <f t="shared" si="4"/>
        <v>0</v>
      </c>
    </row>
    <row r="55" spans="1:9" ht="18" x14ac:dyDescent="0.3">
      <c r="A55" s="53" t="s">
        <v>41</v>
      </c>
      <c r="B55" s="54"/>
      <c r="C55" s="69">
        <f>+'Costo M.P.yMat.'!F30</f>
        <v>45.46</v>
      </c>
      <c r="D55" s="56">
        <f t="shared" si="2"/>
        <v>0</v>
      </c>
      <c r="E55" s="325">
        <v>23</v>
      </c>
      <c r="F55" s="58">
        <f t="shared" si="3"/>
        <v>0</v>
      </c>
      <c r="H55" s="56">
        <f t="shared" si="4"/>
        <v>0</v>
      </c>
      <c r="I55" s="56">
        <f t="shared" si="4"/>
        <v>0</v>
      </c>
    </row>
    <row r="56" spans="1:9" ht="18" x14ac:dyDescent="0.3">
      <c r="A56" s="53" t="s">
        <v>182</v>
      </c>
      <c r="B56" s="54"/>
      <c r="C56" s="69">
        <f>+'Costo M.P.yMat.'!F82*2</f>
        <v>22.8</v>
      </c>
      <c r="D56" s="56">
        <f t="shared" si="2"/>
        <v>2052</v>
      </c>
      <c r="E56" s="325">
        <v>75</v>
      </c>
      <c r="F56" s="58">
        <f t="shared" si="3"/>
        <v>1751.1</v>
      </c>
      <c r="H56" s="56">
        <f t="shared" si="4"/>
        <v>930.24</v>
      </c>
      <c r="I56" s="56">
        <f t="shared" si="4"/>
        <v>820.80000000000007</v>
      </c>
    </row>
    <row r="57" spans="1:9" ht="18" x14ac:dyDescent="0.3">
      <c r="A57" s="53" t="s">
        <v>190</v>
      </c>
      <c r="B57" s="54"/>
      <c r="C57" s="69">
        <f>+'Costo M.P.yMat.'!F7</f>
        <v>3.3099999999999996</v>
      </c>
      <c r="D57" s="56">
        <f t="shared" si="2"/>
        <v>153.91499999999999</v>
      </c>
      <c r="E57" s="325">
        <v>1</v>
      </c>
      <c r="F57" s="58">
        <f t="shared" si="3"/>
        <v>92.699999999999989</v>
      </c>
      <c r="H57" s="56">
        <f t="shared" si="4"/>
        <v>46.339999999999996</v>
      </c>
      <c r="I57" s="56">
        <f t="shared" si="4"/>
        <v>46.339999999999996</v>
      </c>
    </row>
    <row r="58" spans="1:9" ht="18" x14ac:dyDescent="0.3">
      <c r="A58" s="53" t="s">
        <v>15</v>
      </c>
      <c r="B58" s="54"/>
      <c r="C58" s="69">
        <f>+'Costo M.P.yMat.'!F9</f>
        <v>0.75</v>
      </c>
      <c r="D58" s="56">
        <f t="shared" si="2"/>
        <v>20.924999999999997</v>
      </c>
      <c r="E58" s="325">
        <v>3</v>
      </c>
      <c r="F58" s="58">
        <f t="shared" si="3"/>
        <v>12.6</v>
      </c>
      <c r="H58" s="56">
        <f t="shared" si="4"/>
        <v>6.3000000000000007</v>
      </c>
      <c r="I58" s="56">
        <f t="shared" si="4"/>
        <v>6.3000000000000007</v>
      </c>
    </row>
    <row r="59" spans="1:9" ht="18" x14ac:dyDescent="0.3">
      <c r="A59" s="53" t="s">
        <v>295</v>
      </c>
      <c r="B59" s="54">
        <v>0.2</v>
      </c>
      <c r="C59" s="69">
        <f>+'Costo M.P.yMat.'!$F$96</f>
        <v>8.82</v>
      </c>
      <c r="D59" s="56">
        <f t="shared" si="2"/>
        <v>116.42400000000001</v>
      </c>
      <c r="E59" s="325">
        <v>5</v>
      </c>
      <c r="F59" s="58">
        <f t="shared" si="3"/>
        <v>84.699999999999989</v>
      </c>
      <c r="H59" s="56">
        <f t="shared" si="4"/>
        <v>42.336000000000006</v>
      </c>
      <c r="I59" s="56">
        <f t="shared" si="4"/>
        <v>42.336000000000006</v>
      </c>
    </row>
    <row r="60" spans="1:9" ht="18" x14ac:dyDescent="0.3">
      <c r="A60" s="53" t="s">
        <v>221</v>
      </c>
      <c r="B60" s="54"/>
      <c r="C60" s="69">
        <f>+'Costo M.P.yMat.'!F194</f>
        <v>5.7</v>
      </c>
      <c r="D60" s="56">
        <f t="shared" si="2"/>
        <v>0</v>
      </c>
      <c r="E60" s="325">
        <v>186</v>
      </c>
      <c r="F60" s="58">
        <f t="shared" si="3"/>
        <v>0</v>
      </c>
      <c r="H60" s="56">
        <f t="shared" si="4"/>
        <v>0</v>
      </c>
      <c r="I60" s="56">
        <f t="shared" si="4"/>
        <v>0</v>
      </c>
    </row>
    <row r="61" spans="1:9" ht="18" x14ac:dyDescent="0.3">
      <c r="A61" s="53" t="s">
        <v>29</v>
      </c>
      <c r="B61" s="54"/>
      <c r="C61" s="69">
        <f>+'Costo M.P.yMat.'!F19</f>
        <v>0.04</v>
      </c>
      <c r="D61" s="56">
        <f t="shared" si="2"/>
        <v>6.6000000000000005</v>
      </c>
      <c r="E61" s="325">
        <v>13</v>
      </c>
      <c r="F61" s="58">
        <f t="shared" si="3"/>
        <v>4.8</v>
      </c>
      <c r="H61" s="56">
        <f t="shared" si="4"/>
        <v>2.4</v>
      </c>
      <c r="I61" s="56">
        <f t="shared" si="4"/>
        <v>2.4</v>
      </c>
    </row>
    <row r="62" spans="1:9" ht="18" x14ac:dyDescent="0.3">
      <c r="A62" s="53" t="s">
        <v>30</v>
      </c>
      <c r="B62" s="54"/>
      <c r="C62" s="69">
        <f>+'Costo M.P.yMat.'!F20</f>
        <v>0.04</v>
      </c>
      <c r="D62" s="56">
        <f t="shared" si="2"/>
        <v>6.6000000000000005</v>
      </c>
      <c r="E62" s="325">
        <v>14</v>
      </c>
      <c r="F62" s="58">
        <f t="shared" si="3"/>
        <v>4.8</v>
      </c>
      <c r="H62" s="56">
        <f t="shared" si="4"/>
        <v>2.4</v>
      </c>
      <c r="I62" s="56">
        <f t="shared" si="4"/>
        <v>2.4</v>
      </c>
    </row>
    <row r="63" spans="1:9" ht="18" x14ac:dyDescent="0.3">
      <c r="A63" s="53" t="s">
        <v>247</v>
      </c>
      <c r="B63" s="54"/>
      <c r="C63" s="69">
        <f>+'Costo M.P.yMat.'!F22</f>
        <v>29.91</v>
      </c>
      <c r="D63" s="56">
        <f t="shared" si="2"/>
        <v>2153.52</v>
      </c>
      <c r="E63" s="325">
        <v>16</v>
      </c>
      <c r="F63" s="58">
        <f t="shared" si="3"/>
        <v>717.9</v>
      </c>
      <c r="H63" s="56">
        <f t="shared" si="4"/>
        <v>0</v>
      </c>
      <c r="I63" s="56">
        <f t="shared" si="4"/>
        <v>717.84</v>
      </c>
    </row>
    <row r="64" spans="1:9" ht="18" x14ac:dyDescent="0.3">
      <c r="A64" s="53" t="s">
        <v>248</v>
      </c>
      <c r="B64" s="54"/>
      <c r="C64" s="69">
        <f>+'Costo M.P.yMat.'!F83</f>
        <v>68.36</v>
      </c>
      <c r="D64" s="56">
        <f t="shared" si="2"/>
        <v>4101.6000000000004</v>
      </c>
      <c r="E64" s="325">
        <v>76</v>
      </c>
      <c r="F64" s="58">
        <f t="shared" si="3"/>
        <v>546.9</v>
      </c>
      <c r="H64" s="56">
        <f t="shared" si="4"/>
        <v>0</v>
      </c>
      <c r="I64" s="56">
        <f t="shared" si="4"/>
        <v>546.88</v>
      </c>
    </row>
    <row r="65" spans="1:9" ht="18" x14ac:dyDescent="0.3">
      <c r="A65" s="53" t="s">
        <v>250</v>
      </c>
      <c r="B65" s="54"/>
      <c r="C65" s="69">
        <f>+'Costo M.P.yMat.'!F84</f>
        <v>22.790000000000003</v>
      </c>
      <c r="D65" s="56">
        <f t="shared" si="2"/>
        <v>1367.4</v>
      </c>
      <c r="E65" s="325">
        <v>77</v>
      </c>
      <c r="F65" s="58">
        <f t="shared" si="3"/>
        <v>182.4</v>
      </c>
      <c r="H65" s="56">
        <f t="shared" si="4"/>
        <v>0</v>
      </c>
      <c r="I65" s="56">
        <f t="shared" si="4"/>
        <v>182.32000000000002</v>
      </c>
    </row>
    <row r="66" spans="1:9" ht="18" x14ac:dyDescent="0.3">
      <c r="A66" s="53" t="s">
        <v>253</v>
      </c>
      <c r="B66" s="54"/>
      <c r="C66" s="69">
        <f>+'Costo M.P.yMat.'!F165</f>
        <v>13.68</v>
      </c>
      <c r="D66" s="56">
        <f t="shared" si="2"/>
        <v>328.32</v>
      </c>
      <c r="E66" s="325">
        <v>147</v>
      </c>
      <c r="F66" s="58">
        <f t="shared" si="3"/>
        <v>218.9</v>
      </c>
      <c r="H66" s="56">
        <f t="shared" si="4"/>
        <v>109.44</v>
      </c>
      <c r="I66" s="56">
        <f t="shared" si="4"/>
        <v>109.44</v>
      </c>
    </row>
    <row r="67" spans="1:9" ht="18" x14ac:dyDescent="0.3">
      <c r="A67" s="53">
        <v>1318</v>
      </c>
      <c r="B67" s="54"/>
      <c r="C67" s="69">
        <f>+'Costo M.P.yMat.'!F85</f>
        <v>16.64</v>
      </c>
      <c r="D67" s="56">
        <f>+$C67*D45</f>
        <v>399.36</v>
      </c>
      <c r="E67" s="325">
        <v>78</v>
      </c>
      <c r="F67" s="58">
        <f t="shared" si="3"/>
        <v>266.3</v>
      </c>
      <c r="H67" s="56">
        <f>+$C67*H45</f>
        <v>133.12</v>
      </c>
      <c r="I67" s="56">
        <f>+$C67*I45</f>
        <v>133.12</v>
      </c>
    </row>
    <row r="68" spans="1:9" ht="18" x14ac:dyDescent="0.3">
      <c r="A68" s="60">
        <v>1302</v>
      </c>
      <c r="B68" s="54"/>
      <c r="C68" s="69">
        <f>+'Costo M.P.yMat.'!F62</f>
        <v>4.16</v>
      </c>
      <c r="D68" s="56">
        <f>+$C68*D46</f>
        <v>0</v>
      </c>
      <c r="E68" s="325">
        <v>55</v>
      </c>
      <c r="F68" s="58">
        <f t="shared" si="3"/>
        <v>33.300000000000004</v>
      </c>
      <c r="H68" s="56">
        <f>+$C68*H46</f>
        <v>33.28</v>
      </c>
      <c r="I68" s="56">
        <f>+$C68*I46</f>
        <v>0</v>
      </c>
    </row>
    <row r="69" spans="1:9" ht="18" x14ac:dyDescent="0.3">
      <c r="A69" s="53">
        <v>1306</v>
      </c>
      <c r="B69" s="54"/>
      <c r="C69" s="69">
        <f>+'Costo M.P.yMat.'!F63</f>
        <v>6.4399999999999995</v>
      </c>
      <c r="D69" s="56">
        <f>+$C69*D48</f>
        <v>0</v>
      </c>
      <c r="E69" s="325">
        <v>56</v>
      </c>
      <c r="F69" s="58">
        <f t="shared" si="3"/>
        <v>51.6</v>
      </c>
      <c r="H69" s="56">
        <f>+$C69*H48</f>
        <v>51.519999999999996</v>
      </c>
      <c r="I69" s="56">
        <f>+$C69*I48</f>
        <v>0</v>
      </c>
    </row>
    <row r="70" spans="1:9" ht="18" x14ac:dyDescent="0.3">
      <c r="A70" s="179"/>
      <c r="B70" s="1"/>
      <c r="C70" s="70"/>
      <c r="D70" s="65"/>
      <c r="E70" s="325"/>
      <c r="F70" s="180"/>
      <c r="H70" s="65"/>
      <c r="I70" s="65"/>
    </row>
    <row r="71" spans="1:9" ht="18" x14ac:dyDescent="0.25">
      <c r="C71" s="70"/>
      <c r="D71" s="65"/>
      <c r="E71" s="325"/>
      <c r="H71" s="65"/>
      <c r="I71" s="65"/>
    </row>
    <row r="72" spans="1:9" s="72" customFormat="1" ht="18" x14ac:dyDescent="0.3">
      <c r="A72" s="66" t="s">
        <v>187</v>
      </c>
      <c r="B72" s="67"/>
      <c r="C72" s="68"/>
      <c r="D72" s="68">
        <f>SUM(D73:D90)</f>
        <v>13360.197</v>
      </c>
      <c r="E72" s="325"/>
      <c r="F72" s="68">
        <f>SUM(F73:F89)</f>
        <v>6451.2</v>
      </c>
      <c r="H72" s="68">
        <f>SUM(H73:H90)</f>
        <v>2739.3989999999994</v>
      </c>
      <c r="I72" s="68">
        <f>SUM(I73:I90)</f>
        <v>3761.1590000000001</v>
      </c>
    </row>
    <row r="73" spans="1:9" ht="18" x14ac:dyDescent="0.3">
      <c r="A73" s="53" t="s">
        <v>33</v>
      </c>
      <c r="B73" s="54"/>
      <c r="C73" s="69">
        <f>+'Costo M.P.yMat.'!G24</f>
        <v>34.65</v>
      </c>
      <c r="D73" s="56">
        <f t="shared" ref="D73:D87" si="5">+$C73*D31</f>
        <v>0</v>
      </c>
      <c r="E73" s="325">
        <v>17</v>
      </c>
      <c r="F73" s="58">
        <f t="shared" ref="F73:F90" si="6">ROUNDUP(SUM(H73:IU73),1)</f>
        <v>2682</v>
      </c>
      <c r="H73" s="56">
        <f t="shared" ref="H73:I87" si="7">+$C73*H31</f>
        <v>1424.1149999999998</v>
      </c>
      <c r="I73" s="56">
        <f t="shared" si="7"/>
        <v>1257.7949999999998</v>
      </c>
    </row>
    <row r="74" spans="1:9" ht="18" x14ac:dyDescent="0.3">
      <c r="A74" s="53" t="s">
        <v>40</v>
      </c>
      <c r="B74" s="54"/>
      <c r="C74" s="69">
        <f>+'Costo M.P.yMat.'!G29</f>
        <v>45.05</v>
      </c>
      <c r="D74" s="56">
        <f t="shared" si="5"/>
        <v>0</v>
      </c>
      <c r="E74" s="325">
        <v>22</v>
      </c>
      <c r="F74" s="58">
        <f t="shared" si="6"/>
        <v>0</v>
      </c>
      <c r="H74" s="56">
        <f t="shared" si="7"/>
        <v>0</v>
      </c>
      <c r="I74" s="56">
        <f t="shared" si="7"/>
        <v>0</v>
      </c>
    </row>
    <row r="75" spans="1:9" ht="18" x14ac:dyDescent="0.3">
      <c r="A75" s="53" t="s">
        <v>36</v>
      </c>
      <c r="B75" s="54"/>
      <c r="C75" s="69">
        <f>+'Costo M.P.yMat.'!G25</f>
        <v>33.5</v>
      </c>
      <c r="D75" s="56">
        <f t="shared" si="5"/>
        <v>3045.15</v>
      </c>
      <c r="E75" s="325">
        <v>18</v>
      </c>
      <c r="F75" s="58">
        <f t="shared" si="6"/>
        <v>0</v>
      </c>
      <c r="H75" s="56">
        <f t="shared" si="7"/>
        <v>0</v>
      </c>
      <c r="I75" s="56">
        <f t="shared" si="7"/>
        <v>0</v>
      </c>
    </row>
    <row r="76" spans="1:9" ht="18" x14ac:dyDescent="0.3">
      <c r="A76" s="53" t="s">
        <v>41</v>
      </c>
      <c r="B76" s="54"/>
      <c r="C76" s="69">
        <f>+'Costo M.P.yMat.'!G30</f>
        <v>43.89</v>
      </c>
      <c r="D76" s="56">
        <f t="shared" si="5"/>
        <v>0</v>
      </c>
      <c r="E76" s="325">
        <v>23</v>
      </c>
      <c r="F76" s="58">
        <f t="shared" si="6"/>
        <v>0</v>
      </c>
      <c r="H76" s="56">
        <f t="shared" si="7"/>
        <v>0</v>
      </c>
      <c r="I76" s="56">
        <f t="shared" si="7"/>
        <v>0</v>
      </c>
    </row>
    <row r="77" spans="1:9" ht="18" x14ac:dyDescent="0.3">
      <c r="A77" s="53" t="s">
        <v>182</v>
      </c>
      <c r="B77" s="54"/>
      <c r="C77" s="69">
        <f>+'Costo M.P.yMat.'!G82*2</f>
        <v>22</v>
      </c>
      <c r="D77" s="56">
        <f t="shared" si="5"/>
        <v>1980</v>
      </c>
      <c r="E77" s="325">
        <v>75</v>
      </c>
      <c r="F77" s="58">
        <f t="shared" si="6"/>
        <v>1689.6</v>
      </c>
      <c r="H77" s="56">
        <f t="shared" si="7"/>
        <v>897.59999999999991</v>
      </c>
      <c r="I77" s="56">
        <f t="shared" si="7"/>
        <v>792</v>
      </c>
    </row>
    <row r="78" spans="1:9" ht="18" x14ac:dyDescent="0.3">
      <c r="A78" s="53" t="s">
        <v>190</v>
      </c>
      <c r="B78" s="54"/>
      <c r="C78" s="69">
        <f>+'Costo M.P.yMat.'!G7</f>
        <v>3.19</v>
      </c>
      <c r="D78" s="56">
        <f t="shared" si="5"/>
        <v>148.33500000000001</v>
      </c>
      <c r="E78" s="325">
        <v>1</v>
      </c>
      <c r="F78" s="58">
        <f t="shared" si="6"/>
        <v>89.399999999999991</v>
      </c>
      <c r="H78" s="56">
        <f t="shared" si="7"/>
        <v>44.66</v>
      </c>
      <c r="I78" s="56">
        <f t="shared" si="7"/>
        <v>44.66</v>
      </c>
    </row>
    <row r="79" spans="1:9" ht="18" x14ac:dyDescent="0.3">
      <c r="A79" s="53" t="s">
        <v>15</v>
      </c>
      <c r="B79" s="54"/>
      <c r="C79" s="69">
        <f>+'Costo M.P.yMat.'!G9</f>
        <v>0.72</v>
      </c>
      <c r="D79" s="56">
        <f t="shared" si="5"/>
        <v>20.087999999999997</v>
      </c>
      <c r="E79" s="325">
        <v>3</v>
      </c>
      <c r="F79" s="58">
        <f t="shared" si="6"/>
        <v>12.1</v>
      </c>
      <c r="H79" s="56">
        <f t="shared" si="7"/>
        <v>6.048</v>
      </c>
      <c r="I79" s="56">
        <f t="shared" si="7"/>
        <v>6.048</v>
      </c>
    </row>
    <row r="80" spans="1:9" ht="18" x14ac:dyDescent="0.3">
      <c r="A80" s="53" t="s">
        <v>295</v>
      </c>
      <c r="B80" s="54">
        <v>0.2</v>
      </c>
      <c r="C80" s="69">
        <f>+'Costo M.P.yMat.'!$F$96</f>
        <v>8.82</v>
      </c>
      <c r="D80" s="56">
        <f t="shared" si="5"/>
        <v>116.42400000000001</v>
      </c>
      <c r="E80" s="325">
        <v>5</v>
      </c>
      <c r="F80" s="58">
        <f t="shared" si="6"/>
        <v>84.699999999999989</v>
      </c>
      <c r="H80" s="56">
        <f t="shared" si="7"/>
        <v>42.336000000000006</v>
      </c>
      <c r="I80" s="56">
        <f t="shared" si="7"/>
        <v>42.336000000000006</v>
      </c>
    </row>
    <row r="81" spans="1:9" ht="18" x14ac:dyDescent="0.3">
      <c r="A81" s="53" t="s">
        <v>221</v>
      </c>
      <c r="B81" s="54"/>
      <c r="C81" s="69">
        <f>+'Costo M.P.yMat.'!G194</f>
        <v>5.5</v>
      </c>
      <c r="D81" s="56">
        <f t="shared" si="5"/>
        <v>0</v>
      </c>
      <c r="E81" s="325">
        <v>186</v>
      </c>
      <c r="F81" s="58">
        <f t="shared" si="6"/>
        <v>0</v>
      </c>
      <c r="H81" s="56">
        <f t="shared" si="7"/>
        <v>0</v>
      </c>
      <c r="I81" s="56">
        <f t="shared" si="7"/>
        <v>0</v>
      </c>
    </row>
    <row r="82" spans="1:9" ht="18" x14ac:dyDescent="0.3">
      <c r="A82" s="53" t="s">
        <v>29</v>
      </c>
      <c r="B82" s="54"/>
      <c r="C82" s="69">
        <f>+'Costo M.P.yMat.'!G19</f>
        <v>0.04</v>
      </c>
      <c r="D82" s="56">
        <f t="shared" si="5"/>
        <v>6.6000000000000005</v>
      </c>
      <c r="E82" s="325">
        <v>13</v>
      </c>
      <c r="F82" s="58">
        <f t="shared" si="6"/>
        <v>4.8</v>
      </c>
      <c r="H82" s="56">
        <f t="shared" si="7"/>
        <v>2.4</v>
      </c>
      <c r="I82" s="56">
        <f t="shared" si="7"/>
        <v>2.4</v>
      </c>
    </row>
    <row r="83" spans="1:9" ht="18" x14ac:dyDescent="0.3">
      <c r="A83" s="53" t="s">
        <v>30</v>
      </c>
      <c r="B83" s="54"/>
      <c r="C83" s="69">
        <f>+'Costo M.P.yMat.'!G20</f>
        <v>0.04</v>
      </c>
      <c r="D83" s="56">
        <f t="shared" si="5"/>
        <v>6.6000000000000005</v>
      </c>
      <c r="E83" s="325">
        <v>14</v>
      </c>
      <c r="F83" s="58">
        <f t="shared" si="6"/>
        <v>4.8</v>
      </c>
      <c r="H83" s="56">
        <f t="shared" si="7"/>
        <v>2.4</v>
      </c>
      <c r="I83" s="56">
        <f t="shared" si="7"/>
        <v>2.4</v>
      </c>
    </row>
    <row r="84" spans="1:9" ht="18" x14ac:dyDescent="0.3">
      <c r="A84" s="53" t="s">
        <v>247</v>
      </c>
      <c r="B84" s="54"/>
      <c r="C84" s="69">
        <f>+'Costo M.P.yMat.'!G22</f>
        <v>27.72</v>
      </c>
      <c r="D84" s="56">
        <f t="shared" si="5"/>
        <v>1995.84</v>
      </c>
      <c r="E84" s="325">
        <v>16</v>
      </c>
      <c r="F84" s="58">
        <f t="shared" si="6"/>
        <v>665.30000000000007</v>
      </c>
      <c r="H84" s="56">
        <f t="shared" si="7"/>
        <v>0</v>
      </c>
      <c r="I84" s="56">
        <f t="shared" si="7"/>
        <v>665.28</v>
      </c>
    </row>
    <row r="85" spans="1:9" ht="18" x14ac:dyDescent="0.3">
      <c r="A85" s="53" t="s">
        <v>248</v>
      </c>
      <c r="B85" s="54"/>
      <c r="C85" s="69">
        <f>+'Costo M.P.yMat.'!G83</f>
        <v>66</v>
      </c>
      <c r="D85" s="56">
        <f t="shared" si="5"/>
        <v>3960</v>
      </c>
      <c r="E85" s="325">
        <v>76</v>
      </c>
      <c r="F85" s="58">
        <f t="shared" si="6"/>
        <v>528</v>
      </c>
      <c r="H85" s="56">
        <f t="shared" si="7"/>
        <v>0</v>
      </c>
      <c r="I85" s="56">
        <f t="shared" si="7"/>
        <v>528</v>
      </c>
    </row>
    <row r="86" spans="1:9" ht="18" x14ac:dyDescent="0.3">
      <c r="A86" s="53" t="s">
        <v>250</v>
      </c>
      <c r="B86" s="54"/>
      <c r="C86" s="69">
        <f>+'Costo M.P.yMat.'!F84</f>
        <v>22.790000000000003</v>
      </c>
      <c r="D86" s="56">
        <f t="shared" si="5"/>
        <v>1367.4</v>
      </c>
      <c r="E86" s="325">
        <v>77</v>
      </c>
      <c r="F86" s="58">
        <f t="shared" si="6"/>
        <v>182.4</v>
      </c>
      <c r="H86" s="56">
        <f t="shared" si="7"/>
        <v>0</v>
      </c>
      <c r="I86" s="56">
        <f t="shared" si="7"/>
        <v>182.32000000000002</v>
      </c>
    </row>
    <row r="87" spans="1:9" ht="18" x14ac:dyDescent="0.3">
      <c r="A87" s="53" t="s">
        <v>253</v>
      </c>
      <c r="B87" s="54"/>
      <c r="C87" s="69">
        <f>+'Costo M.P.yMat.'!F165</f>
        <v>13.68</v>
      </c>
      <c r="D87" s="56">
        <f t="shared" si="5"/>
        <v>328.32</v>
      </c>
      <c r="E87" s="325">
        <v>147</v>
      </c>
      <c r="F87" s="58">
        <f t="shared" si="6"/>
        <v>218.9</v>
      </c>
      <c r="H87" s="56">
        <f t="shared" si="7"/>
        <v>109.44</v>
      </c>
      <c r="I87" s="56">
        <f t="shared" si="7"/>
        <v>109.44</v>
      </c>
    </row>
    <row r="88" spans="1:9" ht="18" x14ac:dyDescent="0.3">
      <c r="A88" s="53">
        <v>1318</v>
      </c>
      <c r="B88" s="54"/>
      <c r="C88" s="69">
        <f>+'Costo M.P.yMat.'!G85</f>
        <v>16.059999999999999</v>
      </c>
      <c r="D88" s="56">
        <f>+$C88*D45</f>
        <v>385.43999999999994</v>
      </c>
      <c r="E88" s="325">
        <v>78</v>
      </c>
      <c r="F88" s="58">
        <f t="shared" si="6"/>
        <v>257</v>
      </c>
      <c r="H88" s="56">
        <f>+$C88*H45</f>
        <v>128.47999999999999</v>
      </c>
      <c r="I88" s="56">
        <f>+$C88*I45</f>
        <v>128.47999999999999</v>
      </c>
    </row>
    <row r="89" spans="1:9" ht="18" x14ac:dyDescent="0.3">
      <c r="A89" s="60">
        <v>1302</v>
      </c>
      <c r="B89" s="54"/>
      <c r="C89" s="69">
        <f>+'Costo M.P.yMat.'!G62</f>
        <v>4.0199999999999996</v>
      </c>
      <c r="D89" s="56">
        <f>+$C89*D46</f>
        <v>0</v>
      </c>
      <c r="E89" s="325">
        <v>55</v>
      </c>
      <c r="F89" s="58">
        <f t="shared" si="6"/>
        <v>32.200000000000003</v>
      </c>
      <c r="H89" s="56">
        <f>+$C89*H46</f>
        <v>32.159999999999997</v>
      </c>
      <c r="I89" s="56">
        <f>+$C89*I46</f>
        <v>0</v>
      </c>
    </row>
    <row r="90" spans="1:9" ht="18" x14ac:dyDescent="0.3">
      <c r="A90" s="53">
        <v>1306</v>
      </c>
      <c r="B90" s="54"/>
      <c r="C90" s="69">
        <f>+'Costo M.P.yMat.'!G63</f>
        <v>6.22</v>
      </c>
      <c r="D90" s="56">
        <f>+$C90*D48</f>
        <v>0</v>
      </c>
      <c r="E90" s="325">
        <v>56</v>
      </c>
      <c r="F90" s="58">
        <f t="shared" si="6"/>
        <v>49.800000000000004</v>
      </c>
      <c r="H90" s="56">
        <f>+$C90*H48</f>
        <v>49.76</v>
      </c>
      <c r="I90" s="56">
        <f>+$C90*I48</f>
        <v>0</v>
      </c>
    </row>
    <row r="91" spans="1:9" ht="18" x14ac:dyDescent="0.25">
      <c r="C91" s="73"/>
      <c r="D91" s="63"/>
      <c r="E91" s="325"/>
      <c r="H91" s="63"/>
      <c r="I91" s="63"/>
    </row>
    <row r="92" spans="1:9" ht="18" x14ac:dyDescent="0.25">
      <c r="C92" s="73"/>
      <c r="D92" s="63"/>
      <c r="E92" s="325"/>
      <c r="H92" s="63"/>
      <c r="I92" s="63"/>
    </row>
    <row r="93" spans="1:9" ht="18" x14ac:dyDescent="0.3">
      <c r="A93" s="129" t="s">
        <v>270</v>
      </c>
      <c r="B93" s="130"/>
      <c r="C93" s="130" t="s">
        <v>258</v>
      </c>
      <c r="D93" s="130" t="s">
        <v>259</v>
      </c>
      <c r="E93" s="325"/>
      <c r="F93" s="130" t="s">
        <v>264</v>
      </c>
      <c r="G93" s="130" t="s">
        <v>267</v>
      </c>
      <c r="H93" s="130" t="s">
        <v>259</v>
      </c>
      <c r="I93" s="130" t="s">
        <v>259</v>
      </c>
    </row>
    <row r="94" spans="1:9" ht="18" x14ac:dyDescent="0.25">
      <c r="A94" s="131" t="s">
        <v>33</v>
      </c>
      <c r="B94" s="132">
        <f t="shared" ref="B94:B110" si="8">+C52</f>
        <v>35.89</v>
      </c>
      <c r="C94" s="133"/>
      <c r="D94" s="133"/>
      <c r="E94" s="325">
        <v>17</v>
      </c>
      <c r="F94" s="133"/>
      <c r="G94" s="133"/>
      <c r="H94" s="133"/>
      <c r="I94" s="133"/>
    </row>
    <row r="95" spans="1:9" ht="18" x14ac:dyDescent="0.25">
      <c r="A95" s="131" t="s">
        <v>40</v>
      </c>
      <c r="B95" s="132">
        <f t="shared" si="8"/>
        <v>46.66</v>
      </c>
      <c r="C95" s="133"/>
      <c r="D95" s="133"/>
      <c r="E95" s="325">
        <v>22</v>
      </c>
      <c r="F95" s="133"/>
      <c r="G95" s="133"/>
      <c r="H95" s="133"/>
      <c r="I95" s="133"/>
    </row>
    <row r="96" spans="1:9" ht="18" x14ac:dyDescent="0.25">
      <c r="A96" s="131" t="s">
        <v>36</v>
      </c>
      <c r="B96" s="132">
        <f t="shared" si="8"/>
        <v>34.699999999999996</v>
      </c>
      <c r="C96" s="133"/>
      <c r="D96" s="133"/>
      <c r="E96" s="325">
        <v>18</v>
      </c>
      <c r="F96" s="133"/>
      <c r="G96" s="133"/>
      <c r="H96" s="133"/>
      <c r="I96" s="133"/>
    </row>
    <row r="97" spans="1:9" ht="18" x14ac:dyDescent="0.25">
      <c r="A97" s="131" t="s">
        <v>41</v>
      </c>
      <c r="B97" s="132">
        <f t="shared" si="8"/>
        <v>45.46</v>
      </c>
      <c r="C97" s="133"/>
      <c r="D97" s="133"/>
      <c r="E97" s="325">
        <v>23</v>
      </c>
      <c r="F97" s="133"/>
      <c r="G97" s="133"/>
      <c r="H97" s="133"/>
      <c r="I97" s="133"/>
    </row>
    <row r="98" spans="1:9" ht="18" x14ac:dyDescent="0.25">
      <c r="A98" s="131" t="s">
        <v>182</v>
      </c>
      <c r="B98" s="132">
        <f t="shared" si="8"/>
        <v>22.8</v>
      </c>
      <c r="C98" s="133"/>
      <c r="D98" s="133"/>
      <c r="E98" s="325">
        <v>75</v>
      </c>
      <c r="F98" s="133">
        <v>1</v>
      </c>
      <c r="G98" s="133"/>
      <c r="H98" s="133"/>
      <c r="I98" s="133"/>
    </row>
    <row r="99" spans="1:9" ht="18" x14ac:dyDescent="0.25">
      <c r="A99" s="131" t="s">
        <v>190</v>
      </c>
      <c r="B99" s="132">
        <f t="shared" si="8"/>
        <v>3.3099999999999996</v>
      </c>
      <c r="C99" s="133">
        <v>0.34</v>
      </c>
      <c r="D99" s="133">
        <v>0.34</v>
      </c>
      <c r="E99" s="325">
        <v>1</v>
      </c>
      <c r="F99" s="133"/>
      <c r="G99" s="133"/>
      <c r="H99" s="133">
        <v>0.34</v>
      </c>
      <c r="I99" s="133">
        <v>0.34</v>
      </c>
    </row>
    <row r="100" spans="1:9" ht="18" x14ac:dyDescent="0.25">
      <c r="A100" s="131" t="s">
        <v>15</v>
      </c>
      <c r="B100" s="132">
        <f t="shared" si="8"/>
        <v>0.75</v>
      </c>
      <c r="C100" s="133">
        <v>0.4</v>
      </c>
      <c r="D100" s="133">
        <v>0.4</v>
      </c>
      <c r="E100" s="325">
        <v>3</v>
      </c>
      <c r="F100" s="133"/>
      <c r="G100" s="133"/>
      <c r="H100" s="133">
        <v>0.4</v>
      </c>
      <c r="I100" s="133">
        <v>0.4</v>
      </c>
    </row>
    <row r="101" spans="1:9" ht="18" x14ac:dyDescent="0.25">
      <c r="A101" s="131" t="s">
        <v>185</v>
      </c>
      <c r="B101" s="132">
        <f t="shared" si="8"/>
        <v>8.82</v>
      </c>
      <c r="C101" s="133">
        <f>2*0.159</f>
        <v>0.318</v>
      </c>
      <c r="D101" s="133">
        <f>2*0.159</f>
        <v>0.318</v>
      </c>
      <c r="E101" s="325">
        <v>5</v>
      </c>
      <c r="F101" s="133"/>
      <c r="G101" s="133"/>
      <c r="H101" s="133">
        <f>2*0.159</f>
        <v>0.318</v>
      </c>
      <c r="I101" s="133">
        <f>2*0.159</f>
        <v>0.318</v>
      </c>
    </row>
    <row r="102" spans="1:9" ht="18" x14ac:dyDescent="0.25">
      <c r="A102" s="131" t="s">
        <v>221</v>
      </c>
      <c r="B102" s="132">
        <f t="shared" si="8"/>
        <v>5.7</v>
      </c>
      <c r="C102" s="133"/>
      <c r="D102" s="133"/>
      <c r="E102" s="325">
        <v>186</v>
      </c>
      <c r="F102" s="133">
        <v>1</v>
      </c>
      <c r="G102" s="133"/>
      <c r="H102" s="133"/>
      <c r="I102" s="133"/>
    </row>
    <row r="103" spans="1:9" ht="18" x14ac:dyDescent="0.25">
      <c r="A103" s="131" t="s">
        <v>29</v>
      </c>
      <c r="B103" s="132">
        <f t="shared" si="8"/>
        <v>0.04</v>
      </c>
      <c r="C103" s="133">
        <v>5</v>
      </c>
      <c r="D103" s="133">
        <v>5</v>
      </c>
      <c r="E103" s="325">
        <v>13</v>
      </c>
      <c r="F103" s="133"/>
      <c r="G103" s="133"/>
      <c r="H103" s="133">
        <v>5</v>
      </c>
      <c r="I103" s="133">
        <v>5</v>
      </c>
    </row>
    <row r="104" spans="1:9" ht="18" x14ac:dyDescent="0.25">
      <c r="A104" s="131" t="s">
        <v>30</v>
      </c>
      <c r="B104" s="132">
        <f t="shared" si="8"/>
        <v>0.04</v>
      </c>
      <c r="C104" s="133">
        <v>5</v>
      </c>
      <c r="D104" s="133">
        <v>5</v>
      </c>
      <c r="E104" s="325">
        <v>14</v>
      </c>
      <c r="F104" s="133"/>
      <c r="G104" s="133"/>
      <c r="H104" s="133">
        <v>5</v>
      </c>
      <c r="I104" s="133">
        <v>5</v>
      </c>
    </row>
    <row r="105" spans="1:9" ht="18" x14ac:dyDescent="0.25">
      <c r="A105" s="131" t="s">
        <v>247</v>
      </c>
      <c r="B105" s="132">
        <f t="shared" si="8"/>
        <v>29.91</v>
      </c>
      <c r="C105" s="133"/>
      <c r="D105" s="133"/>
      <c r="E105" s="325">
        <v>16</v>
      </c>
      <c r="F105" s="133"/>
      <c r="G105" s="133"/>
      <c r="H105" s="133"/>
      <c r="I105" s="133"/>
    </row>
    <row r="106" spans="1:9" ht="18" x14ac:dyDescent="0.25">
      <c r="A106" s="131" t="s">
        <v>248</v>
      </c>
      <c r="B106" s="132">
        <f t="shared" si="8"/>
        <v>68.36</v>
      </c>
      <c r="C106" s="133"/>
      <c r="D106" s="133"/>
      <c r="E106" s="325">
        <v>76</v>
      </c>
      <c r="F106" s="133"/>
      <c r="G106" s="133">
        <v>1</v>
      </c>
      <c r="H106" s="133"/>
      <c r="I106" s="133"/>
    </row>
    <row r="107" spans="1:9" ht="18" x14ac:dyDescent="0.25">
      <c r="A107" s="131" t="s">
        <v>250</v>
      </c>
      <c r="B107" s="132">
        <f t="shared" si="8"/>
        <v>22.790000000000003</v>
      </c>
      <c r="C107" s="133"/>
      <c r="D107" s="133"/>
      <c r="E107" s="325">
        <v>77</v>
      </c>
      <c r="F107" s="133"/>
      <c r="G107" s="133">
        <v>1</v>
      </c>
      <c r="H107" s="133"/>
      <c r="I107" s="133"/>
    </row>
    <row r="108" spans="1:9" ht="18" x14ac:dyDescent="0.25">
      <c r="A108" s="131" t="s">
        <v>253</v>
      </c>
      <c r="B108" s="132">
        <f t="shared" si="8"/>
        <v>13.68</v>
      </c>
      <c r="C108" s="133"/>
      <c r="D108" s="133"/>
      <c r="E108" s="325">
        <v>147</v>
      </c>
      <c r="F108" s="133"/>
      <c r="G108" s="133"/>
      <c r="H108" s="133"/>
      <c r="I108" s="133"/>
    </row>
    <row r="109" spans="1:9" ht="18" x14ac:dyDescent="0.25">
      <c r="A109" s="131">
        <v>1318</v>
      </c>
      <c r="B109" s="132">
        <f t="shared" si="8"/>
        <v>16.64</v>
      </c>
      <c r="C109" s="133"/>
      <c r="D109" s="133"/>
      <c r="E109" s="325">
        <v>78</v>
      </c>
      <c r="F109" s="133"/>
      <c r="G109" s="133"/>
      <c r="H109" s="133"/>
      <c r="I109" s="133"/>
    </row>
    <row r="110" spans="1:9" ht="18" x14ac:dyDescent="0.25">
      <c r="A110" s="131">
        <v>1302</v>
      </c>
      <c r="B110" s="132">
        <f t="shared" si="8"/>
        <v>4.16</v>
      </c>
      <c r="C110" s="133"/>
      <c r="D110" s="133"/>
      <c r="E110" s="325">
        <v>55</v>
      </c>
      <c r="F110" s="133"/>
      <c r="G110" s="133"/>
      <c r="H110" s="133"/>
      <c r="I110" s="133"/>
    </row>
    <row r="111" spans="1:9" x14ac:dyDescent="0.25">
      <c r="E111" s="324"/>
    </row>
    <row r="112" spans="1:9" x14ac:dyDescent="0.25">
      <c r="A112" s="131" t="s">
        <v>33</v>
      </c>
      <c r="C112" s="119">
        <f>SUMPRODUCT($B$94:$B$110,C$94:C$110)</f>
        <v>4.6301600000000001</v>
      </c>
      <c r="D112" s="119">
        <f>SUMPRODUCT($B$94:$B$110,D$94:D$110)</f>
        <v>4.6301600000000001</v>
      </c>
      <c r="E112" s="324"/>
      <c r="F112" s="119">
        <f>SUMPRODUCT($B$94:$B$110,F$94:F$110)+B94</f>
        <v>64.39</v>
      </c>
      <c r="G112" s="119">
        <f>SUMPRODUCT($B$94:$B$110,G$94:G$110)</f>
        <v>91.15</v>
      </c>
      <c r="H112" s="119">
        <f>SUMPRODUCT($B$94:$B$110,H$94:H$110)</f>
        <v>4.6301600000000001</v>
      </c>
      <c r="I112" s="119">
        <f>SUMPRODUCT($B$94:$B$110,I$94:I$110)</f>
        <v>4.6301600000000001</v>
      </c>
    </row>
    <row r="113" spans="1:9" x14ac:dyDescent="0.25">
      <c r="A113" s="131" t="s">
        <v>40</v>
      </c>
      <c r="C113" s="119">
        <f t="shared" ref="C113:D115" si="9">SUMPRODUCT($B$94:$B$110,C$94:C$110)</f>
        <v>4.6301600000000001</v>
      </c>
      <c r="D113" s="119">
        <f t="shared" si="9"/>
        <v>4.6301600000000001</v>
      </c>
      <c r="E113" s="324"/>
      <c r="F113" s="119">
        <f>SUMPRODUCT($B$94:$B$110,F$94:F$110)+B95</f>
        <v>75.16</v>
      </c>
      <c r="G113" s="119">
        <f>SUMPRODUCT($B$94:$B$110,G$94:G$110)</f>
        <v>91.15</v>
      </c>
      <c r="H113" s="119">
        <f t="shared" ref="H113:I115" si="10">SUMPRODUCT($B$94:$B$110,H$94:H$110)</f>
        <v>4.6301600000000001</v>
      </c>
      <c r="I113" s="119">
        <f t="shared" si="10"/>
        <v>4.6301600000000001</v>
      </c>
    </row>
    <row r="114" spans="1:9" x14ac:dyDescent="0.25">
      <c r="A114" s="131" t="s">
        <v>36</v>
      </c>
      <c r="C114" s="119">
        <f t="shared" si="9"/>
        <v>4.6301600000000001</v>
      </c>
      <c r="D114" s="119">
        <f t="shared" si="9"/>
        <v>4.6301600000000001</v>
      </c>
      <c r="E114" s="324"/>
      <c r="F114" s="119">
        <f>SUMPRODUCT($B$94:$B$110,F$94:F$110)+B96</f>
        <v>63.199999999999996</v>
      </c>
      <c r="G114" s="119">
        <f>SUMPRODUCT($B$94:$B$110,G$94:G$110)</f>
        <v>91.15</v>
      </c>
      <c r="H114" s="119">
        <f t="shared" si="10"/>
        <v>4.6301600000000001</v>
      </c>
      <c r="I114" s="119">
        <f t="shared" si="10"/>
        <v>4.6301600000000001</v>
      </c>
    </row>
    <row r="115" spans="1:9" x14ac:dyDescent="0.25">
      <c r="A115" s="131" t="s">
        <v>41</v>
      </c>
      <c r="C115" s="119">
        <f t="shared" si="9"/>
        <v>4.6301600000000001</v>
      </c>
      <c r="D115" s="119">
        <f t="shared" si="9"/>
        <v>4.6301600000000001</v>
      </c>
      <c r="E115" s="324"/>
      <c r="F115" s="119">
        <f>SUMPRODUCT($B$94:$B$110,F$94:F$110)+B97</f>
        <v>73.960000000000008</v>
      </c>
      <c r="G115" s="119">
        <f>SUMPRODUCT($B$94:$B$110,G$94:G$110)</f>
        <v>91.15</v>
      </c>
      <c r="H115" s="119">
        <f t="shared" si="10"/>
        <v>4.6301600000000001</v>
      </c>
      <c r="I115" s="119">
        <f t="shared" si="10"/>
        <v>4.6301600000000001</v>
      </c>
    </row>
    <row r="116" spans="1:9" x14ac:dyDescent="0.25">
      <c r="E116" s="324"/>
    </row>
    <row r="117" spans="1:9" x14ac:dyDescent="0.25">
      <c r="E117" s="324"/>
    </row>
    <row r="118" spans="1:9" ht="15.6" x14ac:dyDescent="0.3">
      <c r="B118" s="130" t="s">
        <v>268</v>
      </c>
      <c r="C118" s="130" t="s">
        <v>266</v>
      </c>
      <c r="D118" s="130" t="s">
        <v>269</v>
      </c>
      <c r="E118" s="324"/>
      <c r="H118" s="130" t="s">
        <v>269</v>
      </c>
      <c r="I118" s="130" t="s">
        <v>269</v>
      </c>
    </row>
    <row r="119" spans="1:9" x14ac:dyDescent="0.25">
      <c r="B119" s="133"/>
      <c r="C119" s="133"/>
      <c r="D119" s="133"/>
      <c r="E119" s="324"/>
      <c r="H119" s="133"/>
      <c r="I119" s="133"/>
    </row>
    <row r="120" spans="1:9" x14ac:dyDescent="0.25">
      <c r="B120" s="133"/>
      <c r="C120" s="133"/>
      <c r="D120" s="133"/>
      <c r="E120" s="324"/>
      <c r="H120" s="133"/>
      <c r="I120" s="133"/>
    </row>
    <row r="121" spans="1:9" x14ac:dyDescent="0.25">
      <c r="B121" s="133"/>
      <c r="C121" s="133"/>
      <c r="D121" s="133"/>
      <c r="E121" s="324"/>
      <c r="H121" s="133"/>
      <c r="I121" s="133"/>
    </row>
    <row r="122" spans="1:9" x14ac:dyDescent="0.25">
      <c r="B122" s="133"/>
      <c r="C122" s="133"/>
      <c r="D122" s="133"/>
      <c r="E122" s="324"/>
      <c r="H122" s="133"/>
      <c r="I122" s="133"/>
    </row>
    <row r="123" spans="1:9" x14ac:dyDescent="0.25">
      <c r="B123" s="133"/>
      <c r="C123" s="133"/>
      <c r="D123" s="133"/>
      <c r="E123" s="324"/>
      <c r="H123" s="133"/>
      <c r="I123" s="133"/>
    </row>
    <row r="124" spans="1:9" x14ac:dyDescent="0.25">
      <c r="B124" s="133"/>
      <c r="C124" s="133">
        <v>0.16666666666666666</v>
      </c>
      <c r="D124" s="133">
        <v>0.17</v>
      </c>
      <c r="E124" s="324"/>
      <c r="H124" s="133">
        <v>0.17</v>
      </c>
      <c r="I124" s="133">
        <v>0.17</v>
      </c>
    </row>
    <row r="125" spans="1:9" x14ac:dyDescent="0.25">
      <c r="B125" s="133"/>
      <c r="C125" s="133">
        <v>0.1</v>
      </c>
      <c r="D125" s="133">
        <v>0.1</v>
      </c>
      <c r="E125" s="324"/>
      <c r="H125" s="133">
        <v>0.1</v>
      </c>
      <c r="I125" s="133">
        <v>0.1</v>
      </c>
    </row>
    <row r="126" spans="1:9" x14ac:dyDescent="0.25">
      <c r="B126" s="133"/>
      <c r="C126" s="133"/>
      <c r="D126" s="133"/>
      <c r="E126" s="324"/>
      <c r="H126" s="133"/>
      <c r="I126" s="133"/>
    </row>
    <row r="127" spans="1:9" x14ac:dyDescent="0.25">
      <c r="B127" s="133"/>
      <c r="C127" s="133"/>
      <c r="D127" s="133"/>
      <c r="E127" s="324"/>
      <c r="H127" s="133"/>
      <c r="I127" s="133"/>
    </row>
    <row r="128" spans="1:9" x14ac:dyDescent="0.25">
      <c r="B128" s="133"/>
      <c r="C128" s="133"/>
      <c r="D128" s="133"/>
      <c r="E128" s="324"/>
      <c r="H128" s="133"/>
      <c r="I128" s="133"/>
    </row>
    <row r="129" spans="1:9" x14ac:dyDescent="0.25">
      <c r="B129" s="133"/>
      <c r="C129" s="133"/>
      <c r="D129" s="133"/>
      <c r="E129" s="324"/>
      <c r="H129" s="133"/>
      <c r="I129" s="133"/>
    </row>
    <row r="130" spans="1:9" x14ac:dyDescent="0.25">
      <c r="B130" s="133"/>
      <c r="C130" s="133">
        <v>1</v>
      </c>
      <c r="D130" s="133"/>
      <c r="E130" s="324"/>
      <c r="H130" s="133"/>
      <c r="I130" s="133"/>
    </row>
    <row r="131" spans="1:9" x14ac:dyDescent="0.25">
      <c r="B131" s="133"/>
      <c r="C131" s="133"/>
      <c r="D131" s="133"/>
      <c r="E131" s="324"/>
      <c r="H131" s="133"/>
      <c r="I131" s="133"/>
    </row>
    <row r="132" spans="1:9" x14ac:dyDescent="0.25">
      <c r="B132" s="133"/>
      <c r="C132" s="133"/>
      <c r="D132" s="133"/>
      <c r="E132" s="324"/>
      <c r="H132" s="133"/>
      <c r="I132" s="133"/>
    </row>
    <row r="133" spans="1:9" x14ac:dyDescent="0.25">
      <c r="B133" s="133">
        <v>2</v>
      </c>
      <c r="C133" s="133"/>
      <c r="D133" s="133"/>
      <c r="E133" s="324"/>
      <c r="H133" s="133"/>
      <c r="I133" s="133"/>
    </row>
    <row r="134" spans="1:9" x14ac:dyDescent="0.25">
      <c r="B134" s="133"/>
      <c r="C134" s="133"/>
      <c r="D134" s="133"/>
      <c r="E134" s="324"/>
      <c r="H134" s="133"/>
      <c r="I134" s="133"/>
    </row>
    <row r="135" spans="1:9" x14ac:dyDescent="0.25">
      <c r="B135" s="133"/>
      <c r="C135" s="133"/>
      <c r="D135" s="133"/>
      <c r="E135" s="324"/>
      <c r="H135" s="133"/>
      <c r="I135" s="133"/>
    </row>
    <row r="136" spans="1:9" x14ac:dyDescent="0.25">
      <c r="E136" s="324"/>
    </row>
    <row r="137" spans="1:9" x14ac:dyDescent="0.25">
      <c r="B137" s="119">
        <f t="shared" ref="B137:D140" si="11">SUMPRODUCT($B$94:$B$110,B$119:B$135)</f>
        <v>27.36</v>
      </c>
      <c r="C137" s="119">
        <f t="shared" si="11"/>
        <v>30.536666666666665</v>
      </c>
      <c r="D137" s="119">
        <f t="shared" si="11"/>
        <v>0.63769999999999993</v>
      </c>
      <c r="E137" s="324"/>
      <c r="H137" s="119">
        <f t="shared" ref="H137:I140" si="12">SUMPRODUCT($B$94:$B$110,H$119:H$135)</f>
        <v>0.63769999999999993</v>
      </c>
      <c r="I137" s="119">
        <f t="shared" si="12"/>
        <v>0.63769999999999993</v>
      </c>
    </row>
    <row r="138" spans="1:9" x14ac:dyDescent="0.25">
      <c r="B138" s="119">
        <f t="shared" si="11"/>
        <v>27.36</v>
      </c>
      <c r="C138" s="119">
        <f t="shared" si="11"/>
        <v>30.536666666666665</v>
      </c>
      <c r="D138" s="119">
        <f t="shared" si="11"/>
        <v>0.63769999999999993</v>
      </c>
      <c r="E138" s="324"/>
      <c r="H138" s="119">
        <f t="shared" si="12"/>
        <v>0.63769999999999993</v>
      </c>
      <c r="I138" s="119">
        <f t="shared" si="12"/>
        <v>0.63769999999999993</v>
      </c>
    </row>
    <row r="139" spans="1:9" x14ac:dyDescent="0.25">
      <c r="B139" s="119">
        <f t="shared" si="11"/>
        <v>27.36</v>
      </c>
      <c r="C139" s="119">
        <f t="shared" si="11"/>
        <v>30.536666666666665</v>
      </c>
      <c r="D139" s="119">
        <f t="shared" si="11"/>
        <v>0.63769999999999993</v>
      </c>
      <c r="E139" s="324"/>
      <c r="H139" s="119">
        <f t="shared" si="12"/>
        <v>0.63769999999999993</v>
      </c>
      <c r="I139" s="119">
        <f t="shared" si="12"/>
        <v>0.63769999999999993</v>
      </c>
    </row>
    <row r="140" spans="1:9" x14ac:dyDescent="0.25">
      <c r="B140" s="119">
        <f t="shared" si="11"/>
        <v>27.36</v>
      </c>
      <c r="C140" s="119">
        <f t="shared" si="11"/>
        <v>30.536666666666665</v>
      </c>
      <c r="D140" s="119">
        <f t="shared" si="11"/>
        <v>0.63769999999999993</v>
      </c>
      <c r="E140" s="324"/>
      <c r="H140" s="119">
        <f t="shared" si="12"/>
        <v>0.63769999999999993</v>
      </c>
      <c r="I140" s="119">
        <f t="shared" si="12"/>
        <v>0.63769999999999993</v>
      </c>
    </row>
    <row r="141" spans="1:9" x14ac:dyDescent="0.25">
      <c r="E141" s="324"/>
    </row>
    <row r="142" spans="1:9" x14ac:dyDescent="0.25">
      <c r="E142" s="324"/>
    </row>
    <row r="143" spans="1:9" x14ac:dyDescent="0.25">
      <c r="E143" s="324"/>
    </row>
    <row r="144" spans="1:9" ht="15.6" x14ac:dyDescent="0.3">
      <c r="A144" s="129" t="s">
        <v>271</v>
      </c>
      <c r="B144" s="130"/>
      <c r="C144" s="130" t="s">
        <v>258</v>
      </c>
      <c r="D144" s="130" t="s">
        <v>259</v>
      </c>
      <c r="E144" s="324"/>
      <c r="F144" s="130" t="s">
        <v>264</v>
      </c>
      <c r="G144" s="130" t="s">
        <v>267</v>
      </c>
      <c r="H144" s="130" t="s">
        <v>259</v>
      </c>
      <c r="I144" s="130" t="s">
        <v>259</v>
      </c>
    </row>
    <row r="145" spans="1:9" x14ac:dyDescent="0.25">
      <c r="A145" s="131" t="s">
        <v>33</v>
      </c>
      <c r="B145" s="132">
        <f>+B94</f>
        <v>35.89</v>
      </c>
      <c r="C145" s="133"/>
      <c r="D145" s="133"/>
      <c r="E145" s="324"/>
      <c r="F145" s="133"/>
      <c r="G145" s="133"/>
      <c r="H145" s="133"/>
      <c r="I145" s="133"/>
    </row>
    <row r="146" spans="1:9" x14ac:dyDescent="0.25">
      <c r="A146" s="131" t="s">
        <v>40</v>
      </c>
      <c r="B146" s="132">
        <f t="shared" ref="B146:B161" si="13">+B95</f>
        <v>46.66</v>
      </c>
      <c r="C146" s="133"/>
      <c r="D146" s="133"/>
      <c r="E146" s="324"/>
      <c r="F146" s="133"/>
      <c r="G146" s="133"/>
      <c r="H146" s="133"/>
      <c r="I146" s="133"/>
    </row>
    <row r="147" spans="1:9" x14ac:dyDescent="0.25">
      <c r="A147" s="131" t="s">
        <v>36</v>
      </c>
      <c r="B147" s="132">
        <f t="shared" si="13"/>
        <v>34.699999999999996</v>
      </c>
      <c r="C147" s="133"/>
      <c r="D147" s="133"/>
      <c r="E147" s="324"/>
      <c r="F147" s="133"/>
      <c r="G147" s="133"/>
      <c r="H147" s="133"/>
      <c r="I147" s="133"/>
    </row>
    <row r="148" spans="1:9" x14ac:dyDescent="0.25">
      <c r="A148" s="131" t="s">
        <v>41</v>
      </c>
      <c r="B148" s="132">
        <f t="shared" si="13"/>
        <v>45.46</v>
      </c>
      <c r="C148" s="133"/>
      <c r="D148" s="133"/>
      <c r="E148" s="324"/>
      <c r="F148" s="133"/>
      <c r="G148" s="133"/>
      <c r="H148" s="133"/>
      <c r="I148" s="133"/>
    </row>
    <row r="149" spans="1:9" x14ac:dyDescent="0.25">
      <c r="A149" s="131" t="s">
        <v>182</v>
      </c>
      <c r="B149" s="132">
        <f t="shared" si="13"/>
        <v>22.8</v>
      </c>
      <c r="C149" s="133"/>
      <c r="D149" s="133"/>
      <c r="E149" s="324"/>
      <c r="F149" s="133">
        <v>1</v>
      </c>
      <c r="G149" s="133"/>
      <c r="H149" s="133"/>
      <c r="I149" s="133"/>
    </row>
    <row r="150" spans="1:9" x14ac:dyDescent="0.25">
      <c r="A150" s="131" t="s">
        <v>190</v>
      </c>
      <c r="B150" s="132">
        <f t="shared" si="13"/>
        <v>3.3099999999999996</v>
      </c>
      <c r="C150" s="133">
        <v>0.34</v>
      </c>
      <c r="D150" s="133">
        <v>0.34</v>
      </c>
      <c r="E150" s="324"/>
      <c r="F150" s="133"/>
      <c r="G150" s="133"/>
      <c r="H150" s="133">
        <v>0.34</v>
      </c>
      <c r="I150" s="133">
        <v>0.34</v>
      </c>
    </row>
    <row r="151" spans="1:9" x14ac:dyDescent="0.25">
      <c r="A151" s="131" t="s">
        <v>15</v>
      </c>
      <c r="B151" s="132">
        <f t="shared" si="13"/>
        <v>0.75</v>
      </c>
      <c r="C151" s="133">
        <v>0.4</v>
      </c>
      <c r="D151" s="133">
        <v>0.4</v>
      </c>
      <c r="E151" s="324"/>
      <c r="F151" s="133"/>
      <c r="G151" s="133"/>
      <c r="H151" s="133">
        <v>0.4</v>
      </c>
      <c r="I151" s="133">
        <v>0.4</v>
      </c>
    </row>
    <row r="152" spans="1:9" x14ac:dyDescent="0.25">
      <c r="A152" s="131" t="s">
        <v>185</v>
      </c>
      <c r="B152" s="132">
        <f t="shared" si="13"/>
        <v>8.82</v>
      </c>
      <c r="C152" s="133">
        <f>2*0.159</f>
        <v>0.318</v>
      </c>
      <c r="D152" s="133">
        <f>2*0.159</f>
        <v>0.318</v>
      </c>
      <c r="E152" s="324"/>
      <c r="F152" s="133"/>
      <c r="G152" s="133"/>
      <c r="H152" s="133">
        <f>2*0.159</f>
        <v>0.318</v>
      </c>
      <c r="I152" s="133">
        <f>2*0.159</f>
        <v>0.318</v>
      </c>
    </row>
    <row r="153" spans="1:9" x14ac:dyDescent="0.25">
      <c r="A153" s="131" t="s">
        <v>221</v>
      </c>
      <c r="B153" s="132">
        <f t="shared" si="13"/>
        <v>5.7</v>
      </c>
      <c r="C153" s="133"/>
      <c r="D153" s="133"/>
      <c r="E153" s="324"/>
      <c r="F153" s="133">
        <v>1</v>
      </c>
      <c r="G153" s="133"/>
      <c r="H153" s="133"/>
      <c r="I153" s="133"/>
    </row>
    <row r="154" spans="1:9" x14ac:dyDescent="0.25">
      <c r="A154" s="131" t="s">
        <v>29</v>
      </c>
      <c r="B154" s="132">
        <f t="shared" si="13"/>
        <v>0.04</v>
      </c>
      <c r="C154" s="133">
        <v>5</v>
      </c>
      <c r="D154" s="133">
        <v>5</v>
      </c>
      <c r="E154" s="324"/>
      <c r="F154" s="133"/>
      <c r="G154" s="133"/>
      <c r="H154" s="133">
        <v>5</v>
      </c>
      <c r="I154" s="133">
        <v>5</v>
      </c>
    </row>
    <row r="155" spans="1:9" x14ac:dyDescent="0.25">
      <c r="A155" s="131" t="s">
        <v>30</v>
      </c>
      <c r="B155" s="132">
        <f t="shared" si="13"/>
        <v>0.04</v>
      </c>
      <c r="C155" s="133">
        <v>5</v>
      </c>
      <c r="D155" s="133">
        <v>5</v>
      </c>
      <c r="E155" s="324"/>
      <c r="F155" s="133"/>
      <c r="G155" s="133"/>
      <c r="H155" s="133">
        <v>5</v>
      </c>
      <c r="I155" s="133">
        <v>5</v>
      </c>
    </row>
    <row r="156" spans="1:9" x14ac:dyDescent="0.25">
      <c r="A156" s="131" t="s">
        <v>247</v>
      </c>
      <c r="B156" s="132">
        <f t="shared" si="13"/>
        <v>29.91</v>
      </c>
      <c r="C156" s="133"/>
      <c r="D156" s="133"/>
      <c r="E156" s="324"/>
      <c r="F156" s="133"/>
      <c r="G156" s="133"/>
      <c r="H156" s="133"/>
      <c r="I156" s="133"/>
    </row>
    <row r="157" spans="1:9" x14ac:dyDescent="0.25">
      <c r="A157" s="131" t="s">
        <v>248</v>
      </c>
      <c r="B157" s="132">
        <f t="shared" si="13"/>
        <v>68.36</v>
      </c>
      <c r="C157" s="133"/>
      <c r="D157" s="133"/>
      <c r="E157" s="324"/>
      <c r="F157" s="133"/>
      <c r="G157" s="133"/>
      <c r="H157" s="133"/>
      <c r="I157" s="133"/>
    </row>
    <row r="158" spans="1:9" x14ac:dyDescent="0.25">
      <c r="A158" s="131" t="s">
        <v>250</v>
      </c>
      <c r="B158" s="132">
        <f t="shared" si="13"/>
        <v>22.790000000000003</v>
      </c>
      <c r="C158" s="133"/>
      <c r="D158" s="133"/>
      <c r="E158" s="324"/>
      <c r="F158" s="133"/>
      <c r="G158" s="133"/>
      <c r="H158" s="133"/>
      <c r="I158" s="133"/>
    </row>
    <row r="159" spans="1:9" x14ac:dyDescent="0.25">
      <c r="A159" s="131" t="s">
        <v>253</v>
      </c>
      <c r="B159" s="132">
        <f t="shared" si="13"/>
        <v>13.68</v>
      </c>
      <c r="C159" s="133"/>
      <c r="D159" s="133"/>
      <c r="E159" s="324"/>
      <c r="F159" s="133"/>
      <c r="G159" s="133"/>
      <c r="H159" s="133"/>
      <c r="I159" s="133"/>
    </row>
    <row r="160" spans="1:9" x14ac:dyDescent="0.25">
      <c r="A160" s="131">
        <v>1318</v>
      </c>
      <c r="B160" s="132">
        <f t="shared" si="13"/>
        <v>16.64</v>
      </c>
      <c r="C160" s="133"/>
      <c r="D160" s="133"/>
      <c r="E160" s="324"/>
      <c r="F160" s="133"/>
      <c r="G160" s="133">
        <v>1</v>
      </c>
      <c r="H160" s="133"/>
      <c r="I160" s="133"/>
    </row>
    <row r="161" spans="1:9" x14ac:dyDescent="0.25">
      <c r="A161" s="131">
        <v>1302</v>
      </c>
      <c r="B161" s="132">
        <f t="shared" si="13"/>
        <v>4.16</v>
      </c>
      <c r="C161" s="133"/>
      <c r="D161" s="133"/>
      <c r="E161" s="324"/>
      <c r="F161" s="133"/>
      <c r="G161" s="133"/>
      <c r="H161" s="133"/>
      <c r="I161" s="133"/>
    </row>
    <row r="163" spans="1:9" x14ac:dyDescent="0.25">
      <c r="A163" s="131" t="s">
        <v>33</v>
      </c>
      <c r="C163" s="119">
        <f>SUMPRODUCT($B$94:$B$110,C$94:C$110)</f>
        <v>4.6301600000000001</v>
      </c>
      <c r="D163" s="119">
        <f>SUMPRODUCT($B$94:$B$110,D$94:D$110)</f>
        <v>4.6301600000000001</v>
      </c>
      <c r="F163" s="119">
        <f>SUMPRODUCT($B$145:$B$161,F$145:F$161)+B145</f>
        <v>64.39</v>
      </c>
      <c r="G163" s="119">
        <f>SUMPRODUCT($B$145:$B$161,G$145:G$161)</f>
        <v>16.64</v>
      </c>
      <c r="H163" s="119">
        <f>SUMPRODUCT($B$94:$B$110,H$94:H$110)</f>
        <v>4.6301600000000001</v>
      </c>
      <c r="I163" s="119">
        <f>SUMPRODUCT($B$94:$B$110,I$94:I$110)</f>
        <v>4.6301600000000001</v>
      </c>
    </row>
    <row r="164" spans="1:9" x14ac:dyDescent="0.25">
      <c r="A164" s="131" t="s">
        <v>40</v>
      </c>
      <c r="C164" s="119">
        <f t="shared" ref="C164:D166" si="14">SUMPRODUCT($B$94:$B$110,C$94:C$110)</f>
        <v>4.6301600000000001</v>
      </c>
      <c r="D164" s="119">
        <f t="shared" si="14"/>
        <v>4.6301600000000001</v>
      </c>
      <c r="F164" s="119">
        <f>SUMPRODUCT($B$145:$B$161,F$145:F$161)+B146</f>
        <v>75.16</v>
      </c>
      <c r="G164" s="119">
        <f>SUMPRODUCT($B$145:$B$161,G$145:G$161)</f>
        <v>16.64</v>
      </c>
      <c r="H164" s="119">
        <f t="shared" ref="H164:I166" si="15">SUMPRODUCT($B$94:$B$110,H$94:H$110)</f>
        <v>4.6301600000000001</v>
      </c>
      <c r="I164" s="119">
        <f t="shared" si="15"/>
        <v>4.6301600000000001</v>
      </c>
    </row>
    <row r="165" spans="1:9" x14ac:dyDescent="0.25">
      <c r="A165" s="131" t="s">
        <v>36</v>
      </c>
      <c r="C165" s="119">
        <f t="shared" si="14"/>
        <v>4.6301600000000001</v>
      </c>
      <c r="D165" s="119">
        <f t="shared" si="14"/>
        <v>4.6301600000000001</v>
      </c>
      <c r="F165" s="119">
        <f>SUMPRODUCT($B$145:$B$161,F$145:F$161)+B147</f>
        <v>63.199999999999996</v>
      </c>
      <c r="G165" s="119">
        <f>SUMPRODUCT($B$145:$B$161,G$145:G$161)</f>
        <v>16.64</v>
      </c>
      <c r="H165" s="119">
        <f t="shared" si="15"/>
        <v>4.6301600000000001</v>
      </c>
      <c r="I165" s="119">
        <f t="shared" si="15"/>
        <v>4.6301600000000001</v>
      </c>
    </row>
    <row r="166" spans="1:9" x14ac:dyDescent="0.25">
      <c r="A166" s="131" t="s">
        <v>41</v>
      </c>
      <c r="C166" s="119">
        <f t="shared" si="14"/>
        <v>4.6301600000000001</v>
      </c>
      <c r="D166" s="119">
        <f t="shared" si="14"/>
        <v>4.6301600000000001</v>
      </c>
      <c r="F166" s="119">
        <f>SUMPRODUCT($B$145:$B$161,F$145:F$161)+B148</f>
        <v>73.960000000000008</v>
      </c>
      <c r="G166" s="119">
        <f>SUMPRODUCT($B$145:$B$161,G$145:G$161)</f>
        <v>16.64</v>
      </c>
      <c r="H166" s="119">
        <f t="shared" si="15"/>
        <v>4.6301600000000001</v>
      </c>
      <c r="I166" s="119">
        <f t="shared" si="15"/>
        <v>4.6301600000000001</v>
      </c>
    </row>
    <row r="169" spans="1:9" ht="15.6" x14ac:dyDescent="0.3">
      <c r="B169" s="130" t="s">
        <v>268</v>
      </c>
      <c r="C169" s="130" t="s">
        <v>266</v>
      </c>
      <c r="D169" s="130" t="s">
        <v>269</v>
      </c>
      <c r="H169" s="130" t="s">
        <v>269</v>
      </c>
      <c r="I169" s="130" t="s">
        <v>269</v>
      </c>
    </row>
    <row r="170" spans="1:9" x14ac:dyDescent="0.25">
      <c r="B170" s="133"/>
      <c r="C170" s="133"/>
      <c r="D170" s="133"/>
      <c r="H170" s="133"/>
      <c r="I170" s="133"/>
    </row>
    <row r="171" spans="1:9" x14ac:dyDescent="0.25">
      <c r="B171" s="133"/>
      <c r="C171" s="133"/>
      <c r="D171" s="133"/>
      <c r="H171" s="133"/>
      <c r="I171" s="133"/>
    </row>
    <row r="172" spans="1:9" x14ac:dyDescent="0.25">
      <c r="B172" s="133"/>
      <c r="C172" s="133"/>
      <c r="D172" s="133"/>
      <c r="H172" s="133"/>
      <c r="I172" s="133"/>
    </row>
    <row r="173" spans="1:9" x14ac:dyDescent="0.25">
      <c r="B173" s="133"/>
      <c r="C173" s="133"/>
      <c r="D173" s="133"/>
      <c r="H173" s="133"/>
      <c r="I173" s="133"/>
    </row>
    <row r="174" spans="1:9" x14ac:dyDescent="0.25">
      <c r="B174" s="133"/>
      <c r="C174" s="133">
        <v>0.15</v>
      </c>
      <c r="D174" s="133"/>
      <c r="H174" s="133"/>
      <c r="I174" s="133"/>
    </row>
    <row r="175" spans="1:9" x14ac:dyDescent="0.25">
      <c r="B175" s="133"/>
      <c r="C175" s="133">
        <v>0.16666666666666666</v>
      </c>
      <c r="D175" s="133">
        <v>0.17</v>
      </c>
      <c r="H175" s="133">
        <v>0.17</v>
      </c>
      <c r="I175" s="133">
        <v>0.17</v>
      </c>
    </row>
    <row r="176" spans="1:9" x14ac:dyDescent="0.25">
      <c r="B176" s="133"/>
      <c r="C176" s="133">
        <v>0.1</v>
      </c>
      <c r="D176" s="133">
        <v>0.1</v>
      </c>
      <c r="H176" s="133">
        <v>0.1</v>
      </c>
      <c r="I176" s="133">
        <v>0.1</v>
      </c>
    </row>
    <row r="177" spans="2:9" x14ac:dyDescent="0.25">
      <c r="B177" s="133"/>
      <c r="C177" s="133"/>
      <c r="D177" s="133"/>
      <c r="H177" s="133"/>
      <c r="I177" s="133"/>
    </row>
    <row r="178" spans="2:9" x14ac:dyDescent="0.25">
      <c r="B178" s="133"/>
      <c r="C178" s="133"/>
      <c r="D178" s="133"/>
      <c r="H178" s="133"/>
      <c r="I178" s="133"/>
    </row>
    <row r="179" spans="2:9" x14ac:dyDescent="0.25">
      <c r="B179" s="133"/>
      <c r="C179" s="133"/>
      <c r="D179" s="133"/>
      <c r="H179" s="133"/>
      <c r="I179" s="133"/>
    </row>
    <row r="180" spans="2:9" x14ac:dyDescent="0.25">
      <c r="B180" s="133"/>
      <c r="C180" s="133"/>
      <c r="D180" s="133"/>
      <c r="H180" s="133"/>
      <c r="I180" s="133"/>
    </row>
    <row r="181" spans="2:9" x14ac:dyDescent="0.25">
      <c r="B181" s="133"/>
      <c r="C181" s="133"/>
      <c r="D181" s="133"/>
      <c r="H181" s="133"/>
      <c r="I181" s="133"/>
    </row>
    <row r="182" spans="2:9" x14ac:dyDescent="0.25">
      <c r="B182" s="133"/>
      <c r="C182" s="133"/>
      <c r="D182" s="133"/>
      <c r="H182" s="133"/>
      <c r="I182" s="133"/>
    </row>
    <row r="183" spans="2:9" x14ac:dyDescent="0.25">
      <c r="B183" s="133"/>
      <c r="C183" s="133"/>
      <c r="D183" s="133"/>
      <c r="H183" s="133"/>
      <c r="I183" s="133"/>
    </row>
    <row r="184" spans="2:9" x14ac:dyDescent="0.25">
      <c r="B184" s="133">
        <v>2</v>
      </c>
      <c r="C184" s="133"/>
      <c r="D184" s="133"/>
      <c r="H184" s="133"/>
      <c r="I184" s="133"/>
    </row>
    <row r="185" spans="2:9" x14ac:dyDescent="0.25">
      <c r="B185" s="133"/>
      <c r="C185" s="133"/>
      <c r="D185" s="133"/>
      <c r="H185" s="133"/>
      <c r="I185" s="133"/>
    </row>
    <row r="186" spans="2:9" x14ac:dyDescent="0.25">
      <c r="B186" s="133">
        <v>2</v>
      </c>
      <c r="C186" s="133"/>
      <c r="D186" s="133"/>
      <c r="H186" s="133"/>
      <c r="I186" s="133"/>
    </row>
    <row r="188" spans="2:9" x14ac:dyDescent="0.25">
      <c r="B188" s="119">
        <f t="shared" ref="B188:D191" si="16">SUMPRODUCT($B$145:$B$161,B$170:B$186)</f>
        <v>35.68</v>
      </c>
      <c r="C188" s="119">
        <f t="shared" si="16"/>
        <v>4.0466666666666669</v>
      </c>
      <c r="D188" s="119">
        <f t="shared" si="16"/>
        <v>0.63769999999999993</v>
      </c>
      <c r="H188" s="119">
        <f t="shared" ref="H188:I191" si="17">SUMPRODUCT($B$145:$B$161,H$170:H$186)</f>
        <v>0.63769999999999993</v>
      </c>
      <c r="I188" s="119">
        <f t="shared" si="17"/>
        <v>0.63769999999999993</v>
      </c>
    </row>
    <row r="189" spans="2:9" x14ac:dyDescent="0.25">
      <c r="B189" s="119">
        <f t="shared" si="16"/>
        <v>35.68</v>
      </c>
      <c r="C189" s="119">
        <f t="shared" si="16"/>
        <v>4.0466666666666669</v>
      </c>
      <c r="D189" s="119">
        <f t="shared" si="16"/>
        <v>0.63769999999999993</v>
      </c>
      <c r="H189" s="119">
        <f t="shared" si="17"/>
        <v>0.63769999999999993</v>
      </c>
      <c r="I189" s="119">
        <f t="shared" si="17"/>
        <v>0.63769999999999993</v>
      </c>
    </row>
    <row r="190" spans="2:9" x14ac:dyDescent="0.25">
      <c r="B190" s="119">
        <f t="shared" si="16"/>
        <v>35.68</v>
      </c>
      <c r="C190" s="119">
        <f t="shared" si="16"/>
        <v>4.0466666666666669</v>
      </c>
      <c r="D190" s="119">
        <f t="shared" si="16"/>
        <v>0.63769999999999993</v>
      </c>
      <c r="H190" s="119">
        <f t="shared" si="17"/>
        <v>0.63769999999999993</v>
      </c>
      <c r="I190" s="119">
        <f t="shared" si="17"/>
        <v>0.63769999999999993</v>
      </c>
    </row>
    <row r="191" spans="2:9" x14ac:dyDescent="0.25">
      <c r="B191" s="119">
        <f t="shared" si="16"/>
        <v>35.68</v>
      </c>
      <c r="C191" s="119">
        <f t="shared" si="16"/>
        <v>4.0466666666666669</v>
      </c>
      <c r="D191" s="119">
        <f t="shared" si="16"/>
        <v>0.63769999999999993</v>
      </c>
      <c r="H191" s="119">
        <f t="shared" si="17"/>
        <v>0.63769999999999993</v>
      </c>
      <c r="I191" s="119">
        <f t="shared" si="17"/>
        <v>0.63769999999999993</v>
      </c>
    </row>
  </sheetData>
  <mergeCells count="4">
    <mergeCell ref="F2:G2"/>
    <mergeCell ref="A3:C3"/>
    <mergeCell ref="A2:C2"/>
    <mergeCell ref="A13:C13"/>
  </mergeCells>
  <pageMargins left="1.43" right="0.75" top="0.44" bottom="0.73" header="0" footer="0"/>
  <pageSetup scale="95" orientation="portrait" horizontalDpi="18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37"/>
  <sheetViews>
    <sheetView topLeftCell="A4" zoomScale="80" zoomScaleNormal="80" zoomScalePageLayoutView="80" workbookViewId="0">
      <selection activeCell="D34" sqref="D34"/>
    </sheetView>
  </sheetViews>
  <sheetFormatPr baseColWidth="10" defaultColWidth="11.44140625" defaultRowHeight="15.6" x14ac:dyDescent="0.25"/>
  <cols>
    <col min="1" max="1" width="28.44140625" style="25" customWidth="1"/>
    <col min="2" max="2" width="7.44140625" style="25" customWidth="1"/>
    <col min="3" max="3" width="8.88671875" style="25" customWidth="1"/>
    <col min="4" max="4" width="11.44140625" style="25" customWidth="1"/>
    <col min="5" max="5" width="5.44140625" style="326" customWidth="1"/>
    <col min="6" max="6" width="12" style="25" customWidth="1"/>
    <col min="7" max="7" width="9.88671875" style="25" customWidth="1"/>
    <col min="8" max="11" width="11.44140625" style="25" customWidth="1"/>
    <col min="12" max="16384" width="11.44140625" style="25"/>
  </cols>
  <sheetData>
    <row r="1" spans="1:12" ht="68.25" customHeight="1" thickBot="1" x14ac:dyDescent="0.45">
      <c r="A1" s="75"/>
      <c r="B1" s="76"/>
      <c r="C1" s="76"/>
      <c r="D1" s="77">
        <f>ROUNDUP(D5/1.5,0)</f>
        <v>6</v>
      </c>
      <c r="F1" s="402" t="e">
        <f>+F12+#REF!</f>
        <v>#REF!</v>
      </c>
      <c r="G1" s="402"/>
      <c r="H1" s="77"/>
      <c r="I1" s="77"/>
      <c r="J1" s="77"/>
      <c r="K1" s="77"/>
    </row>
    <row r="2" spans="1:12" ht="18.600000000000001" x14ac:dyDescent="0.4">
      <c r="A2" s="399" t="s">
        <v>220</v>
      </c>
      <c r="B2" s="400"/>
      <c r="C2" s="401"/>
      <c r="D2" s="78" t="s">
        <v>218</v>
      </c>
      <c r="F2" s="386" t="s">
        <v>159</v>
      </c>
      <c r="G2" s="387"/>
      <c r="H2" s="78" t="s">
        <v>598</v>
      </c>
      <c r="I2" s="78" t="s">
        <v>598</v>
      </c>
      <c r="J2" s="78" t="s">
        <v>598</v>
      </c>
      <c r="K2" s="78" t="s">
        <v>598</v>
      </c>
    </row>
    <row r="3" spans="1:12" s="84" customFormat="1" ht="45" customHeight="1" x14ac:dyDescent="0.25">
      <c r="A3" s="396" t="s">
        <v>256</v>
      </c>
      <c r="B3" s="397"/>
      <c r="C3" s="398"/>
      <c r="D3" s="80" t="str">
        <f>IF(D10=8,"8 mm.","10 mm.")</f>
        <v>10 mm.</v>
      </c>
      <c r="E3" s="326"/>
      <c r="F3" s="82"/>
      <c r="G3" s="83"/>
      <c r="H3" s="80" t="str">
        <f t="shared" ref="H3:K3" si="0">IF(H10=8,"8 mm.","10 mm.")</f>
        <v>10 mm.</v>
      </c>
      <c r="I3" s="80" t="str">
        <f t="shared" si="0"/>
        <v>10 mm.</v>
      </c>
      <c r="J3" s="80" t="str">
        <f t="shared" si="0"/>
        <v>10 mm.</v>
      </c>
      <c r="K3" s="80" t="str">
        <f t="shared" si="0"/>
        <v>10 mm.</v>
      </c>
    </row>
    <row r="4" spans="1:12" s="85" customFormat="1" ht="16.2" thickBot="1" x14ac:dyDescent="0.3">
      <c r="A4" s="85" t="s">
        <v>160</v>
      </c>
      <c r="C4" s="86"/>
      <c r="D4" s="87" t="str">
        <f>IF(D9=1,"INCOLORO","COLOR")</f>
        <v>INCOLORO</v>
      </c>
      <c r="E4" s="326"/>
      <c r="F4" s="89"/>
      <c r="G4" s="90"/>
      <c r="H4" s="87" t="str">
        <f t="shared" ref="H4:K4" si="1">IF(H9=1,"INCOLORO","COLOR")</f>
        <v>INCOLORO</v>
      </c>
      <c r="I4" s="87" t="str">
        <f t="shared" si="1"/>
        <v>INCOLORO</v>
      </c>
      <c r="J4" s="87" t="str">
        <f t="shared" si="1"/>
        <v>INCOLORO</v>
      </c>
      <c r="K4" s="87" t="str">
        <f t="shared" si="1"/>
        <v>INCOLORO</v>
      </c>
    </row>
    <row r="5" spans="1:12" x14ac:dyDescent="0.3">
      <c r="A5" s="91" t="s">
        <v>161</v>
      </c>
      <c r="B5" s="92"/>
      <c r="C5" s="93"/>
      <c r="D5" s="28">
        <v>8</v>
      </c>
      <c r="F5" s="95"/>
      <c r="G5" s="96"/>
      <c r="H5" s="28">
        <v>4.4000000000000004</v>
      </c>
      <c r="I5" s="28">
        <v>4</v>
      </c>
      <c r="J5" s="28">
        <v>4.3</v>
      </c>
      <c r="K5" s="28">
        <v>5</v>
      </c>
    </row>
    <row r="6" spans="1:12" x14ac:dyDescent="0.3">
      <c r="A6" s="97" t="s">
        <v>162</v>
      </c>
      <c r="B6" s="98"/>
      <c r="C6" s="99"/>
      <c r="D6" s="28">
        <v>0.7</v>
      </c>
      <c r="F6" s="95"/>
      <c r="G6" s="96"/>
      <c r="H6" s="28">
        <v>2.7</v>
      </c>
      <c r="I6" s="28">
        <v>2.7</v>
      </c>
      <c r="J6" s="28">
        <v>2.7</v>
      </c>
      <c r="K6" s="28">
        <v>2.7</v>
      </c>
    </row>
    <row r="7" spans="1:12" x14ac:dyDescent="0.3">
      <c r="A7" s="97" t="s">
        <v>163</v>
      </c>
      <c r="B7" s="98"/>
      <c r="C7" s="99"/>
      <c r="D7" s="28">
        <v>1</v>
      </c>
      <c r="F7" s="23">
        <f>SUM(H7:HZ7)</f>
        <v>4</v>
      </c>
      <c r="G7" s="24" t="s">
        <v>213</v>
      </c>
      <c r="H7" s="28">
        <v>1</v>
      </c>
      <c r="I7" s="28">
        <v>1</v>
      </c>
      <c r="J7" s="28">
        <v>1</v>
      </c>
      <c r="K7" s="28">
        <v>1</v>
      </c>
    </row>
    <row r="8" spans="1:12" x14ac:dyDescent="0.3">
      <c r="A8" s="100" t="s">
        <v>219</v>
      </c>
      <c r="B8" s="98"/>
      <c r="C8" s="99"/>
      <c r="D8" s="28">
        <v>6</v>
      </c>
      <c r="F8" s="23"/>
      <c r="G8" s="24"/>
      <c r="H8" s="28">
        <v>4</v>
      </c>
      <c r="I8" s="28">
        <v>4</v>
      </c>
      <c r="J8" s="28">
        <v>4</v>
      </c>
      <c r="K8" s="28">
        <v>4</v>
      </c>
    </row>
    <row r="9" spans="1:12" x14ac:dyDescent="0.3">
      <c r="A9" s="100" t="s">
        <v>179</v>
      </c>
      <c r="B9" s="98"/>
      <c r="C9" s="99"/>
      <c r="D9" s="28">
        <v>1</v>
      </c>
      <c r="F9" s="23"/>
      <c r="G9" s="24"/>
      <c r="H9" s="28">
        <v>1</v>
      </c>
      <c r="I9" s="28">
        <v>1</v>
      </c>
      <c r="J9" s="28">
        <v>1</v>
      </c>
      <c r="K9" s="28">
        <v>1</v>
      </c>
    </row>
    <row r="10" spans="1:12" x14ac:dyDescent="0.3">
      <c r="A10" s="100" t="s">
        <v>200</v>
      </c>
      <c r="B10" s="98"/>
      <c r="C10" s="99"/>
      <c r="D10" s="28">
        <v>10</v>
      </c>
      <c r="F10" s="23"/>
      <c r="G10" s="24"/>
      <c r="H10" s="28">
        <v>10</v>
      </c>
      <c r="I10" s="28">
        <v>10</v>
      </c>
      <c r="J10" s="28">
        <v>10</v>
      </c>
      <c r="K10" s="28">
        <v>10</v>
      </c>
    </row>
    <row r="11" spans="1:12" ht="16.2" thickBot="1" x14ac:dyDescent="0.35">
      <c r="A11" s="101" t="s">
        <v>222</v>
      </c>
      <c r="B11" s="102"/>
      <c r="C11" s="103"/>
      <c r="D11" s="104"/>
      <c r="F11" s="23"/>
      <c r="G11" s="24"/>
      <c r="H11" s="104"/>
      <c r="I11" s="104"/>
      <c r="J11" s="104"/>
      <c r="K11" s="104"/>
    </row>
    <row r="12" spans="1:12" x14ac:dyDescent="0.3">
      <c r="A12" s="267" t="s">
        <v>164</v>
      </c>
      <c r="B12" s="268"/>
      <c r="C12" s="269" t="s">
        <v>212</v>
      </c>
      <c r="D12" s="266">
        <f>+D53</f>
        <v>324.25508333333335</v>
      </c>
      <c r="E12" s="327"/>
      <c r="F12" s="297">
        <f>SUM(H12:HZ12)</f>
        <v>2483.0616999999997</v>
      </c>
      <c r="G12" s="298" t="s">
        <v>165</v>
      </c>
      <c r="H12" s="266">
        <f t="shared" ref="H12:K12" si="2">+H53</f>
        <v>617.4124833333334</v>
      </c>
      <c r="I12" s="266">
        <f t="shared" si="2"/>
        <v>563.76541666666674</v>
      </c>
      <c r="J12" s="266">
        <f t="shared" si="2"/>
        <v>604.00071666666656</v>
      </c>
      <c r="K12" s="266">
        <f t="shared" si="2"/>
        <v>697.88308333333327</v>
      </c>
      <c r="L12"/>
    </row>
    <row r="13" spans="1:12" x14ac:dyDescent="0.3">
      <c r="A13" s="26" t="s">
        <v>166</v>
      </c>
      <c r="B13" s="20"/>
      <c r="C13" s="27"/>
      <c r="D13" s="28">
        <f>+D5*D6*D$7</f>
        <v>5.6</v>
      </c>
      <c r="F13" s="23">
        <f>SUM(H13:HZ13)</f>
        <v>47.790000000000006</v>
      </c>
      <c r="G13" s="24" t="s">
        <v>34</v>
      </c>
      <c r="H13" s="28">
        <f t="shared" ref="H13:K13" si="3">+H5*H6*H$7</f>
        <v>11.880000000000003</v>
      </c>
      <c r="I13" s="28">
        <f t="shared" si="3"/>
        <v>10.8</v>
      </c>
      <c r="J13" s="28">
        <f t="shared" si="3"/>
        <v>11.61</v>
      </c>
      <c r="K13" s="28">
        <f t="shared" si="3"/>
        <v>13.5</v>
      </c>
    </row>
    <row r="14" spans="1:12" x14ac:dyDescent="0.3">
      <c r="A14" s="26" t="s">
        <v>167</v>
      </c>
      <c r="B14" s="20"/>
      <c r="C14" s="27"/>
      <c r="D14" s="21">
        <f>+D12/D13</f>
        <v>57.902693452380959</v>
      </c>
      <c r="E14" s="327"/>
      <c r="F14" s="23">
        <f>+F12/F13</f>
        <v>51.957767315337925</v>
      </c>
      <c r="G14" s="24" t="s">
        <v>168</v>
      </c>
      <c r="H14" s="21">
        <f t="shared" ref="H14:K14" si="4">+H12/H13</f>
        <v>51.970747755331082</v>
      </c>
      <c r="I14" s="21">
        <f t="shared" si="4"/>
        <v>52.200501543209882</v>
      </c>
      <c r="J14" s="21">
        <f t="shared" si="4"/>
        <v>52.024178868791267</v>
      </c>
      <c r="K14" s="21">
        <f t="shared" si="4"/>
        <v>51.695043209876538</v>
      </c>
    </row>
    <row r="15" spans="1:12" x14ac:dyDescent="0.3">
      <c r="A15" s="270" t="s">
        <v>169</v>
      </c>
      <c r="B15" s="271"/>
      <c r="C15" s="272"/>
      <c r="D15" s="273">
        <f>+D80</f>
        <v>314.14678333333342</v>
      </c>
      <c r="E15" s="327"/>
      <c r="F15" s="291">
        <f>SUM(H15:HZ15)</f>
        <v>2400.6493</v>
      </c>
      <c r="G15" s="292" t="s">
        <v>165</v>
      </c>
      <c r="H15" s="273">
        <f t="shared" ref="H15:K15" si="5">+H80</f>
        <v>596.92238333333341</v>
      </c>
      <c r="I15" s="273">
        <f t="shared" si="5"/>
        <v>545.08331666666675</v>
      </c>
      <c r="J15" s="273">
        <f t="shared" si="5"/>
        <v>583.96261666666658</v>
      </c>
      <c r="K15" s="273">
        <f t="shared" si="5"/>
        <v>674.68098333333319</v>
      </c>
    </row>
    <row r="16" spans="1:12" x14ac:dyDescent="0.3">
      <c r="A16" s="26" t="s">
        <v>170</v>
      </c>
      <c r="B16" s="20"/>
      <c r="C16" s="27"/>
      <c r="D16" s="21">
        <f>+D15/D13</f>
        <v>56.0976398809524</v>
      </c>
      <c r="E16" s="327"/>
      <c r="F16" s="23">
        <f>+F15/F13</f>
        <v>50.233297761037868</v>
      </c>
      <c r="G16" s="24" t="s">
        <v>168</v>
      </c>
      <c r="H16" s="21">
        <f t="shared" ref="H16:K16" si="6">+H15/H13</f>
        <v>50.24599186307519</v>
      </c>
      <c r="I16" s="21">
        <f t="shared" si="6"/>
        <v>50.470677469135808</v>
      </c>
      <c r="J16" s="21">
        <f t="shared" si="6"/>
        <v>50.298244329600912</v>
      </c>
      <c r="K16" s="21">
        <f t="shared" si="6"/>
        <v>49.976369135802457</v>
      </c>
    </row>
    <row r="17" spans="1:11" x14ac:dyDescent="0.3">
      <c r="A17" s="259" t="s">
        <v>353</v>
      </c>
      <c r="B17" s="260"/>
      <c r="C17" s="261"/>
      <c r="D17" s="262">
        <f>0.9*SUM(D54:D57)</f>
        <v>182.01613499999999</v>
      </c>
      <c r="E17" s="327"/>
      <c r="F17" s="291">
        <f>SUM(H17:HZ17)</f>
        <v>1561.10733</v>
      </c>
      <c r="G17" s="292" t="s">
        <v>165</v>
      </c>
      <c r="H17" s="262">
        <f t="shared" ref="H17:K17" si="7">0.9*SUM(H54:H57)</f>
        <v>388.09651500000012</v>
      </c>
      <c r="I17" s="262">
        <f t="shared" si="7"/>
        <v>353.21143499999999</v>
      </c>
      <c r="J17" s="262">
        <f t="shared" si="7"/>
        <v>379.37524499999995</v>
      </c>
      <c r="K17" s="262">
        <f t="shared" si="7"/>
        <v>440.42413499999998</v>
      </c>
    </row>
    <row r="18" spans="1:11" x14ac:dyDescent="0.3">
      <c r="A18" s="259" t="s">
        <v>354</v>
      </c>
      <c r="B18" s="260"/>
      <c r="C18" s="261"/>
      <c r="D18" s="262">
        <f>0.9*SUM(D59:D77)</f>
        <v>52.357439999999997</v>
      </c>
      <c r="E18" s="327"/>
      <c r="F18" s="291">
        <f>SUM(H18:HZ18)</f>
        <v>183.3228</v>
      </c>
      <c r="G18" s="292" t="s">
        <v>165</v>
      </c>
      <c r="H18" s="262">
        <f t="shared" ref="H18:K18" si="8">0.9*SUM(H59:H77)</f>
        <v>45.685920000000003</v>
      </c>
      <c r="I18" s="262">
        <f t="shared" si="8"/>
        <v>43.369440000000012</v>
      </c>
      <c r="J18" s="262">
        <f t="shared" si="8"/>
        <v>45.1068</v>
      </c>
      <c r="K18" s="262">
        <f t="shared" si="8"/>
        <v>49.160640000000001</v>
      </c>
    </row>
    <row r="19" spans="1:11" x14ac:dyDescent="0.3">
      <c r="A19" s="259" t="s">
        <v>182</v>
      </c>
      <c r="B19" s="260"/>
      <c r="C19" s="261"/>
      <c r="D19" s="262">
        <f>+D58*0.9</f>
        <v>57.455999999999996</v>
      </c>
      <c r="E19" s="327"/>
      <c r="F19" s="291">
        <f>SUM(H19:HZ19)</f>
        <v>490.32540000000006</v>
      </c>
      <c r="G19" s="292" t="s">
        <v>165</v>
      </c>
      <c r="H19" s="262">
        <f t="shared" ref="H19:K19" si="9">+H58*0.9</f>
        <v>121.88880000000005</v>
      </c>
      <c r="I19" s="262">
        <f t="shared" si="9"/>
        <v>110.80800000000002</v>
      </c>
      <c r="J19" s="262">
        <f t="shared" si="9"/>
        <v>119.11859999999999</v>
      </c>
      <c r="K19" s="262">
        <f t="shared" si="9"/>
        <v>138.51000000000002</v>
      </c>
    </row>
    <row r="20" spans="1:11" x14ac:dyDescent="0.3">
      <c r="A20" s="259" t="s">
        <v>355</v>
      </c>
      <c r="B20" s="260"/>
      <c r="C20" s="261"/>
      <c r="D20" s="262">
        <f>+D12-D19-D18-D17</f>
        <v>32.42550833333334</v>
      </c>
      <c r="E20" s="327"/>
      <c r="F20" s="291">
        <f>SUM(H20:HZ20)</f>
        <v>248.30616999999984</v>
      </c>
      <c r="G20" s="292" t="s">
        <v>165</v>
      </c>
      <c r="H20" s="262">
        <f t="shared" ref="H20:K20" si="10">+H12-H19-H18-H17</f>
        <v>61.741248333333203</v>
      </c>
      <c r="I20" s="262">
        <f t="shared" si="10"/>
        <v>56.376541666666753</v>
      </c>
      <c r="J20" s="262">
        <f t="shared" si="10"/>
        <v>60.400071666666577</v>
      </c>
      <c r="K20" s="262">
        <f t="shared" si="10"/>
        <v>69.788308333333305</v>
      </c>
    </row>
    <row r="21" spans="1:11" x14ac:dyDescent="0.3">
      <c r="A21" s="263" t="s">
        <v>356</v>
      </c>
      <c r="B21" s="264"/>
      <c r="C21" s="265"/>
      <c r="D21" s="266">
        <f>SUM(D17:D20)</f>
        <v>324.25508333333335</v>
      </c>
      <c r="E21" s="327"/>
      <c r="F21" s="295">
        <f>SUM(H21:HZ21)</f>
        <v>2483.0617000000002</v>
      </c>
      <c r="G21" s="296" t="s">
        <v>165</v>
      </c>
      <c r="H21" s="266">
        <f t="shared" ref="H21:K21" si="11">SUM(H17:H20)</f>
        <v>617.41248333333328</v>
      </c>
      <c r="I21" s="266">
        <f t="shared" si="11"/>
        <v>563.76541666666674</v>
      </c>
      <c r="J21" s="266">
        <f t="shared" si="11"/>
        <v>604.00071666666656</v>
      </c>
      <c r="K21" s="266">
        <f t="shared" si="11"/>
        <v>697.88308333333339</v>
      </c>
    </row>
    <row r="22" spans="1:11" x14ac:dyDescent="0.3">
      <c r="A22" s="30" t="s">
        <v>171</v>
      </c>
      <c r="B22" s="31"/>
      <c r="C22" s="32"/>
      <c r="D22" s="33">
        <f>+(D12-D15)/D12</f>
        <v>3.1173913747432676E-2</v>
      </c>
      <c r="E22" s="328"/>
      <c r="F22" s="35">
        <f>+(F12-F15)/F12</f>
        <v>3.3189831730721681E-2</v>
      </c>
      <c r="G22" s="36"/>
      <c r="H22" s="33">
        <f t="shared" ref="H22:K22" si="12">+(H12-H15)/H12</f>
        <v>3.3187051692535399E-2</v>
      </c>
      <c r="I22" s="33">
        <f t="shared" si="12"/>
        <v>3.3138073829466583E-2</v>
      </c>
      <c r="J22" s="33">
        <f t="shared" si="12"/>
        <v>3.3175622887643905E-2</v>
      </c>
      <c r="K22" s="33">
        <f t="shared" si="12"/>
        <v>3.3246399796909756E-2</v>
      </c>
    </row>
    <row r="23" spans="1:11" x14ac:dyDescent="0.3">
      <c r="A23" s="37"/>
      <c r="B23" s="31"/>
      <c r="C23" s="38"/>
      <c r="D23" s="39"/>
      <c r="E23" s="329"/>
      <c r="F23" s="39"/>
      <c r="G23" s="39"/>
      <c r="H23" s="39"/>
      <c r="I23" s="39"/>
      <c r="J23" s="39"/>
      <c r="K23" s="39"/>
    </row>
    <row r="24" spans="1:11" x14ac:dyDescent="0.25">
      <c r="A24" s="41" t="s">
        <v>172</v>
      </c>
      <c r="B24" s="42"/>
      <c r="C24" s="43"/>
      <c r="D24" s="44"/>
      <c r="E24" s="330"/>
      <c r="F24" s="42"/>
      <c r="G24" s="42"/>
      <c r="H24" s="44"/>
      <c r="I24" s="44"/>
      <c r="J24" s="44"/>
      <c r="K24" s="44"/>
    </row>
    <row r="25" spans="1:11" x14ac:dyDescent="0.25">
      <c r="A25" s="46" t="s">
        <v>173</v>
      </c>
      <c r="B25" s="47"/>
      <c r="C25" s="48" t="s">
        <v>2</v>
      </c>
      <c r="D25" s="49" t="str">
        <f>+D2</f>
        <v>PF</v>
      </c>
      <c r="F25" s="51" t="s">
        <v>174</v>
      </c>
      <c r="G25" s="52" t="s">
        <v>2</v>
      </c>
      <c r="H25" s="49" t="str">
        <f t="shared" ref="H25:K25" si="13">+H2</f>
        <v>piso1</v>
      </c>
      <c r="I25" s="49" t="str">
        <f t="shared" si="13"/>
        <v>piso1</v>
      </c>
      <c r="J25" s="49" t="str">
        <f t="shared" si="13"/>
        <v>piso1</v>
      </c>
      <c r="K25" s="49" t="str">
        <f t="shared" si="13"/>
        <v>piso1</v>
      </c>
    </row>
    <row r="26" spans="1:11" x14ac:dyDescent="0.3">
      <c r="A26" s="53" t="s">
        <v>33</v>
      </c>
      <c r="B26" s="54"/>
      <c r="C26" s="55" t="s">
        <v>34</v>
      </c>
      <c r="D26" s="56">
        <f>IF(D$9=1,IF(D$10=10,((D$6*0.05)+(D$5*D$6))*D$7,0),0)</f>
        <v>5.6349999999999998</v>
      </c>
      <c r="E26" s="326">
        <f>VLOOKUP(A26,'Costo M.P.yMat.'!C7:D203,2,FALSE)</f>
        <v>17</v>
      </c>
      <c r="F26" s="58">
        <f t="shared" ref="F26:F32" si="14">ROUNDUP(SUM(H26:HZ26),1)</f>
        <v>48.4</v>
      </c>
      <c r="G26" s="59" t="s">
        <v>34</v>
      </c>
      <c r="H26" s="56">
        <f t="shared" ref="H26:K26" si="15">IF(H$9=1,IF(H$10=10,((H$6*0.05)+(H$5*H$6))*H$7,0),0)</f>
        <v>12.015000000000002</v>
      </c>
      <c r="I26" s="56">
        <f t="shared" si="15"/>
        <v>10.935</v>
      </c>
      <c r="J26" s="56">
        <f t="shared" si="15"/>
        <v>11.744999999999999</v>
      </c>
      <c r="K26" s="56">
        <f t="shared" si="15"/>
        <v>13.635</v>
      </c>
    </row>
    <row r="27" spans="1:11" x14ac:dyDescent="0.3">
      <c r="A27" s="53" t="s">
        <v>40</v>
      </c>
      <c r="B27" s="54"/>
      <c r="C27" s="55" t="s">
        <v>34</v>
      </c>
      <c r="D27" s="56">
        <f>IF(D$9=2,IF(D$10=10,((D$6*0.05)+(D$5*D$6))*D$7,0),0)</f>
        <v>0</v>
      </c>
      <c r="E27" s="326">
        <f>VLOOKUP(A27,'Costo M.P.yMat.'!C8:D204,2,FALSE)</f>
        <v>22</v>
      </c>
      <c r="F27" s="58">
        <f t="shared" si="14"/>
        <v>0</v>
      </c>
      <c r="G27" s="59" t="s">
        <v>34</v>
      </c>
      <c r="H27" s="56">
        <f t="shared" ref="H27:K27" si="16">IF(H$9=2,IF(H$10=10,((H$6*0.05)+(H$5*H$6))*H$7,0),0)</f>
        <v>0</v>
      </c>
      <c r="I27" s="56">
        <f t="shared" si="16"/>
        <v>0</v>
      </c>
      <c r="J27" s="56">
        <f t="shared" si="16"/>
        <v>0</v>
      </c>
      <c r="K27" s="56">
        <f t="shared" si="16"/>
        <v>0</v>
      </c>
    </row>
    <row r="28" spans="1:11" x14ac:dyDescent="0.3">
      <c r="A28" s="53" t="s">
        <v>36</v>
      </c>
      <c r="B28" s="54"/>
      <c r="C28" s="55" t="s">
        <v>34</v>
      </c>
      <c r="D28" s="56">
        <f>IF(D$9=1,IF(D$10=8,((D$6*0.05)+(D$5*D$6))*D$7,0),0)</f>
        <v>0</v>
      </c>
      <c r="E28" s="326">
        <f>VLOOKUP(A28,'Costo M.P.yMat.'!C9:D205,2,FALSE)</f>
        <v>18</v>
      </c>
      <c r="F28" s="58">
        <f t="shared" si="14"/>
        <v>0</v>
      </c>
      <c r="G28" s="59" t="s">
        <v>34</v>
      </c>
      <c r="H28" s="56">
        <f t="shared" ref="H28:K28" si="17">IF(H$9=1,IF(H$10=8,((H$6*0.05)+(H$5*H$6))*H$7,0),0)</f>
        <v>0</v>
      </c>
      <c r="I28" s="56">
        <f t="shared" si="17"/>
        <v>0</v>
      </c>
      <c r="J28" s="56">
        <f t="shared" si="17"/>
        <v>0</v>
      </c>
      <c r="K28" s="56">
        <f t="shared" si="17"/>
        <v>0</v>
      </c>
    </row>
    <row r="29" spans="1:11" x14ac:dyDescent="0.3">
      <c r="A29" s="53" t="s">
        <v>41</v>
      </c>
      <c r="B29" s="54"/>
      <c r="C29" s="55" t="s">
        <v>34</v>
      </c>
      <c r="D29" s="56">
        <f>IF(D$9=2,IF(D$10=8,((D$5*D$6))*D$7,0),0)</f>
        <v>0</v>
      </c>
      <c r="E29" s="326">
        <f>VLOOKUP(A29,'Costo M.P.yMat.'!C10:D206,2,FALSE)</f>
        <v>23</v>
      </c>
      <c r="F29" s="58">
        <f t="shared" si="14"/>
        <v>0</v>
      </c>
      <c r="G29" s="59" t="s">
        <v>34</v>
      </c>
      <c r="H29" s="56">
        <f t="shared" ref="H29:K29" si="18">IF(H$9=2,IF(H$10=8,((H$5*H$6))*H$7,0),0)</f>
        <v>0</v>
      </c>
      <c r="I29" s="56">
        <f t="shared" si="18"/>
        <v>0</v>
      </c>
      <c r="J29" s="56">
        <f t="shared" si="18"/>
        <v>0</v>
      </c>
      <c r="K29" s="56">
        <f t="shared" si="18"/>
        <v>0</v>
      </c>
    </row>
    <row r="30" spans="1:11" x14ac:dyDescent="0.3">
      <c r="A30" s="53" t="s">
        <v>182</v>
      </c>
      <c r="B30" s="54"/>
      <c r="C30" s="55" t="s">
        <v>34</v>
      </c>
      <c r="D30" s="56">
        <f>+D13</f>
        <v>5.6</v>
      </c>
      <c r="E30" s="326">
        <v>75</v>
      </c>
      <c r="F30" s="58">
        <f t="shared" si="14"/>
        <v>47.800000000000004</v>
      </c>
      <c r="G30" s="55" t="s">
        <v>34</v>
      </c>
      <c r="H30" s="56">
        <f t="shared" ref="H30:K30" si="19">+H13</f>
        <v>11.880000000000003</v>
      </c>
      <c r="I30" s="56">
        <f t="shared" si="19"/>
        <v>10.8</v>
      </c>
      <c r="J30" s="56">
        <f t="shared" si="19"/>
        <v>11.61</v>
      </c>
      <c r="K30" s="56">
        <f t="shared" si="19"/>
        <v>13.5</v>
      </c>
    </row>
    <row r="31" spans="1:11" x14ac:dyDescent="0.3">
      <c r="A31" s="156" t="s">
        <v>12</v>
      </c>
      <c r="B31" s="54"/>
      <c r="C31" s="55" t="s">
        <v>13</v>
      </c>
      <c r="D31" s="56">
        <f>D7*(4*D5+4*D6+(D8-1)*D6)/6</f>
        <v>6.3833333333333329</v>
      </c>
      <c r="E31" s="326">
        <v>1</v>
      </c>
      <c r="F31" s="58">
        <f t="shared" si="14"/>
        <v>24.4</v>
      </c>
      <c r="G31" s="55" t="s">
        <v>13</v>
      </c>
      <c r="H31" s="56">
        <f t="shared" ref="H31:K31" si="20">H7*(4*H5+4*H6+(H8-1)*H6)/6</f>
        <v>6.083333333333333</v>
      </c>
      <c r="I31" s="56">
        <f t="shared" si="20"/>
        <v>5.8166666666666673</v>
      </c>
      <c r="J31" s="56">
        <f t="shared" si="20"/>
        <v>6.0166666666666666</v>
      </c>
      <c r="K31" s="56">
        <f t="shared" si="20"/>
        <v>6.4833333333333343</v>
      </c>
    </row>
    <row r="32" spans="1:11" x14ac:dyDescent="0.3">
      <c r="A32" s="53" t="s">
        <v>15</v>
      </c>
      <c r="B32" s="54"/>
      <c r="C32" s="55" t="s">
        <v>16</v>
      </c>
      <c r="D32" s="56">
        <f>+D31*12/20</f>
        <v>3.8299999999999996</v>
      </c>
      <c r="E32" s="326">
        <v>3</v>
      </c>
      <c r="F32" s="58">
        <f t="shared" si="14"/>
        <v>14.7</v>
      </c>
      <c r="G32" s="55" t="s">
        <v>16</v>
      </c>
      <c r="H32" s="56">
        <f t="shared" ref="H32:K32" si="21">+H31*12/20</f>
        <v>3.65</v>
      </c>
      <c r="I32" s="56">
        <f t="shared" si="21"/>
        <v>3.4900000000000007</v>
      </c>
      <c r="J32" s="56">
        <f t="shared" si="21"/>
        <v>3.6100000000000003</v>
      </c>
      <c r="K32" s="56">
        <f t="shared" si="21"/>
        <v>3.8900000000000006</v>
      </c>
    </row>
    <row r="33" spans="1:11" x14ac:dyDescent="0.3">
      <c r="A33" s="53" t="s">
        <v>295</v>
      </c>
      <c r="B33" s="54">
        <v>0.2</v>
      </c>
      <c r="C33" s="55" t="s">
        <v>186</v>
      </c>
      <c r="D33" s="56">
        <f>(2*D$6+2*D5)*$B33*D$7</f>
        <v>3.48</v>
      </c>
      <c r="E33" s="326">
        <v>5</v>
      </c>
      <c r="F33" s="58">
        <f>ROUNDUP(SUM(H33:HZ33)/(6*B33),1)</f>
        <v>9.5</v>
      </c>
      <c r="G33" s="55" t="s">
        <v>214</v>
      </c>
      <c r="H33" s="56">
        <f t="shared" ref="H33:K33" si="22">(2*H$6+2*H5)*$B33*H$7</f>
        <v>2.8400000000000003</v>
      </c>
      <c r="I33" s="56">
        <f t="shared" si="22"/>
        <v>2.68</v>
      </c>
      <c r="J33" s="56">
        <f t="shared" si="22"/>
        <v>2.8000000000000003</v>
      </c>
      <c r="K33" s="56">
        <f t="shared" si="22"/>
        <v>3.08</v>
      </c>
    </row>
    <row r="34" spans="1:11" x14ac:dyDescent="0.3">
      <c r="A34" s="53" t="s">
        <v>221</v>
      </c>
      <c r="B34" s="54"/>
      <c r="C34" s="55" t="s">
        <v>34</v>
      </c>
      <c r="D34" s="56">
        <f>IF((D11="e"),D13,IF( (D11="E"),D13,0))</f>
        <v>0</v>
      </c>
      <c r="E34" s="326">
        <v>186</v>
      </c>
      <c r="F34" s="58">
        <f>ROUNDUP(SUM(H34:HZ34),1)</f>
        <v>0</v>
      </c>
      <c r="G34" s="55" t="s">
        <v>19</v>
      </c>
      <c r="H34" s="56">
        <f t="shared" ref="H34:K34" si="23">IF((H11="e"),H13,IF( (H11="E"),H13,0))</f>
        <v>0</v>
      </c>
      <c r="I34" s="56">
        <f t="shared" si="23"/>
        <v>0</v>
      </c>
      <c r="J34" s="56">
        <f t="shared" si="23"/>
        <v>0</v>
      </c>
      <c r="K34" s="56">
        <f t="shared" si="23"/>
        <v>0</v>
      </c>
    </row>
    <row r="35" spans="1:11" x14ac:dyDescent="0.3">
      <c r="A35" s="53" t="s">
        <v>29</v>
      </c>
      <c r="B35" s="54"/>
      <c r="C35" s="55" t="s">
        <v>27</v>
      </c>
      <c r="D35" s="56">
        <f>D$7*(2*D$5+2*D$6)/0.4</f>
        <v>43.499999999999993</v>
      </c>
      <c r="E35" s="326">
        <f>VLOOKUP(A35,'Costo M.P.yMat.'!C16:D212,2,FALSE)</f>
        <v>13</v>
      </c>
      <c r="F35" s="58">
        <f>ROUNDUP(SUM(H35:HZ35),1)</f>
        <v>142.5</v>
      </c>
      <c r="G35" s="55" t="s">
        <v>27</v>
      </c>
      <c r="H35" s="56">
        <f t="shared" ref="H35:K36" si="24">H$7*(2*H$5+2*H$6)/0.4</f>
        <v>35.5</v>
      </c>
      <c r="I35" s="56">
        <f t="shared" si="24"/>
        <v>33.5</v>
      </c>
      <c r="J35" s="56">
        <f t="shared" si="24"/>
        <v>35</v>
      </c>
      <c r="K35" s="56">
        <f t="shared" si="24"/>
        <v>38.5</v>
      </c>
    </row>
    <row r="36" spans="1:11" x14ac:dyDescent="0.3">
      <c r="A36" s="53" t="s">
        <v>30</v>
      </c>
      <c r="B36" s="54"/>
      <c r="C36" s="55" t="s">
        <v>27</v>
      </c>
      <c r="D36" s="56">
        <f>D$7*(2*D$5+2*D$6)/0.4</f>
        <v>43.499999999999993</v>
      </c>
      <c r="E36" s="326">
        <f>VLOOKUP(A36,'Costo M.P.yMat.'!C17:D213,2,FALSE)</f>
        <v>14</v>
      </c>
      <c r="F36" s="58">
        <f>ROUNDUP(SUM(H36:HZ36),1)</f>
        <v>142.5</v>
      </c>
      <c r="G36" s="55" t="s">
        <v>27</v>
      </c>
      <c r="H36" s="56">
        <f t="shared" si="24"/>
        <v>35.5</v>
      </c>
      <c r="I36" s="56">
        <f t="shared" si="24"/>
        <v>33.5</v>
      </c>
      <c r="J36" s="56">
        <f t="shared" si="24"/>
        <v>35</v>
      </c>
      <c r="K36" s="56">
        <f t="shared" si="24"/>
        <v>38.5</v>
      </c>
    </row>
    <row r="37" spans="1:11" x14ac:dyDescent="0.3">
      <c r="A37" s="53" t="s">
        <v>211</v>
      </c>
      <c r="B37" s="54"/>
      <c r="C37" s="55" t="s">
        <v>47</v>
      </c>
      <c r="D37" s="56"/>
      <c r="F37" s="58">
        <f>ROUNDUP(SUM(H37:HZ37),1)</f>
        <v>0</v>
      </c>
      <c r="G37" s="55" t="s">
        <v>47</v>
      </c>
      <c r="H37" s="56"/>
      <c r="I37" s="56"/>
      <c r="J37" s="56"/>
      <c r="K37" s="56"/>
    </row>
    <row r="38" spans="1:11" x14ac:dyDescent="0.3">
      <c r="A38" s="53" t="s">
        <v>191</v>
      </c>
      <c r="B38" s="54"/>
      <c r="C38" s="55" t="s">
        <v>47</v>
      </c>
      <c r="D38" s="56"/>
      <c r="F38" s="58">
        <f>ROUNDUP(SUM(H38:HZ38),1)</f>
        <v>0</v>
      </c>
      <c r="G38" s="55" t="s">
        <v>47</v>
      </c>
      <c r="H38" s="56"/>
      <c r="I38" s="56"/>
      <c r="J38" s="56"/>
      <c r="K38" s="56"/>
    </row>
    <row r="39" spans="1:11" x14ac:dyDescent="0.3">
      <c r="A39" s="53" t="s">
        <v>203</v>
      </c>
      <c r="B39" s="54">
        <v>1.0129999999999999</v>
      </c>
      <c r="C39" s="55" t="s">
        <v>186</v>
      </c>
      <c r="D39" s="56"/>
      <c r="F39" s="58">
        <f>ROUNDUP(SUM(H39:HZ39)/(6*B39),1)</f>
        <v>0</v>
      </c>
      <c r="G39" s="55" t="s">
        <v>214</v>
      </c>
      <c r="H39" s="56"/>
      <c r="I39" s="56"/>
      <c r="J39" s="56"/>
      <c r="K39" s="56"/>
    </row>
    <row r="40" spans="1:11" x14ac:dyDescent="0.3">
      <c r="A40" s="53" t="s">
        <v>204</v>
      </c>
      <c r="B40" s="54">
        <v>0.40799999999999997</v>
      </c>
      <c r="C40" s="55" t="s">
        <v>186</v>
      </c>
      <c r="D40" s="56"/>
      <c r="F40" s="58">
        <f>ROUNDUP(SUM(H40:HZ40)/(6*B40),1)</f>
        <v>0</v>
      </c>
      <c r="G40" s="55" t="s">
        <v>214</v>
      </c>
      <c r="H40" s="56"/>
      <c r="I40" s="56"/>
      <c r="J40" s="56"/>
      <c r="K40" s="56"/>
    </row>
    <row r="41" spans="1:11" x14ac:dyDescent="0.3">
      <c r="A41" s="53" t="s">
        <v>205</v>
      </c>
      <c r="B41" s="54">
        <v>0.47799999999999998</v>
      </c>
      <c r="C41" s="55" t="s">
        <v>186</v>
      </c>
      <c r="D41" s="56"/>
      <c r="F41" s="58">
        <f>ROUNDUP(SUM(H41:HZ41)/(6*B41),1)</f>
        <v>0</v>
      </c>
      <c r="G41" s="55" t="s">
        <v>214</v>
      </c>
      <c r="H41" s="56"/>
      <c r="I41" s="56"/>
      <c r="J41" s="56"/>
      <c r="K41" s="56"/>
    </row>
    <row r="42" spans="1:11" x14ac:dyDescent="0.3">
      <c r="A42" s="53" t="s">
        <v>206</v>
      </c>
      <c r="B42" s="54">
        <v>0.125</v>
      </c>
      <c r="C42" s="55" t="s">
        <v>186</v>
      </c>
      <c r="D42" s="56"/>
      <c r="F42" s="58">
        <f>ROUNDUP(SUM(H42:HZ42)/(6*B42),1)</f>
        <v>0</v>
      </c>
      <c r="G42" s="55" t="s">
        <v>214</v>
      </c>
      <c r="H42" s="56"/>
      <c r="I42" s="56"/>
      <c r="J42" s="56"/>
      <c r="K42" s="56"/>
    </row>
    <row r="43" spans="1:11" x14ac:dyDescent="0.3">
      <c r="A43" s="60">
        <v>1510</v>
      </c>
      <c r="B43" s="54"/>
      <c r="C43" s="61" t="s">
        <v>27</v>
      </c>
      <c r="D43" s="56"/>
      <c r="F43" s="58">
        <f t="shared" ref="F43:F49" si="25">ROUNDUP(SUM(H43:HZ43),1)</f>
        <v>0</v>
      </c>
      <c r="G43" s="61" t="s">
        <v>27</v>
      </c>
      <c r="H43" s="56"/>
      <c r="I43" s="56"/>
      <c r="J43" s="56"/>
      <c r="K43" s="56"/>
    </row>
    <row r="44" spans="1:11" x14ac:dyDescent="0.3">
      <c r="A44" s="60">
        <v>1511</v>
      </c>
      <c r="B44" s="54"/>
      <c r="C44" s="61" t="s">
        <v>27</v>
      </c>
      <c r="D44" s="56"/>
      <c r="F44" s="58">
        <f t="shared" si="25"/>
        <v>0</v>
      </c>
      <c r="G44" s="61" t="s">
        <v>27</v>
      </c>
      <c r="H44" s="56"/>
      <c r="I44" s="56"/>
      <c r="J44" s="56"/>
      <c r="K44" s="56"/>
    </row>
    <row r="45" spans="1:11" x14ac:dyDescent="0.3">
      <c r="A45" s="53" t="s">
        <v>207</v>
      </c>
      <c r="B45" s="6"/>
      <c r="C45" s="61" t="s">
        <v>27</v>
      </c>
      <c r="D45" s="56"/>
      <c r="F45" s="58">
        <f t="shared" si="25"/>
        <v>0</v>
      </c>
      <c r="G45" s="61" t="s">
        <v>27</v>
      </c>
      <c r="H45" s="56"/>
      <c r="I45" s="56"/>
      <c r="J45" s="56"/>
      <c r="K45" s="56"/>
    </row>
    <row r="46" spans="1:11" x14ac:dyDescent="0.3">
      <c r="A46" s="53" t="s">
        <v>208</v>
      </c>
      <c r="B46" s="54"/>
      <c r="C46" s="55" t="s">
        <v>27</v>
      </c>
      <c r="D46" s="56"/>
      <c r="F46" s="58">
        <f t="shared" si="25"/>
        <v>0</v>
      </c>
      <c r="G46" s="55" t="s">
        <v>27</v>
      </c>
      <c r="H46" s="56"/>
      <c r="I46" s="56"/>
      <c r="J46" s="56"/>
      <c r="K46" s="56"/>
    </row>
    <row r="47" spans="1:11" x14ac:dyDescent="0.3">
      <c r="A47" s="53" t="s">
        <v>209</v>
      </c>
      <c r="B47" s="54"/>
      <c r="C47" s="55" t="s">
        <v>27</v>
      </c>
      <c r="D47" s="56"/>
      <c r="F47" s="58">
        <f t="shared" si="25"/>
        <v>0</v>
      </c>
      <c r="G47" s="55" t="s">
        <v>27</v>
      </c>
      <c r="H47" s="56"/>
      <c r="I47" s="56"/>
      <c r="J47" s="56"/>
      <c r="K47" s="56"/>
    </row>
    <row r="48" spans="1:11" x14ac:dyDescent="0.3">
      <c r="A48" s="53">
        <v>1335</v>
      </c>
      <c r="B48" s="54"/>
      <c r="C48" s="55" t="s">
        <v>27</v>
      </c>
      <c r="D48" s="56"/>
      <c r="F48" s="58">
        <f t="shared" si="25"/>
        <v>0</v>
      </c>
      <c r="G48" s="55" t="s">
        <v>27</v>
      </c>
      <c r="H48" s="56"/>
      <c r="I48" s="56"/>
      <c r="J48" s="56"/>
      <c r="K48" s="56"/>
    </row>
    <row r="49" spans="1:11" s="62" customFormat="1" x14ac:dyDescent="0.3">
      <c r="A49" s="53" t="s">
        <v>210</v>
      </c>
      <c r="B49" s="54"/>
      <c r="C49" s="55" t="s">
        <v>27</v>
      </c>
      <c r="D49" s="56"/>
      <c r="E49" s="326"/>
      <c r="F49" s="58">
        <f t="shared" si="25"/>
        <v>0</v>
      </c>
      <c r="G49" s="55" t="s">
        <v>27</v>
      </c>
      <c r="H49" s="56"/>
      <c r="I49" s="56"/>
      <c r="J49" s="56"/>
      <c r="K49" s="56"/>
    </row>
    <row r="50" spans="1:11" x14ac:dyDescent="0.3">
      <c r="A50" s="53"/>
      <c r="B50" s="54"/>
      <c r="C50" s="55"/>
      <c r="D50" s="56"/>
      <c r="E50" s="327"/>
      <c r="F50" s="58"/>
      <c r="G50" s="55"/>
      <c r="H50" s="56"/>
      <c r="I50" s="56"/>
      <c r="J50" s="56"/>
      <c r="K50" s="56"/>
    </row>
    <row r="51" spans="1:11" x14ac:dyDescent="0.25">
      <c r="C51" s="63"/>
      <c r="D51" s="63"/>
      <c r="H51" s="63"/>
      <c r="I51" s="63"/>
      <c r="J51" s="63"/>
      <c r="K51" s="63"/>
    </row>
    <row r="52" spans="1:11" x14ac:dyDescent="0.25">
      <c r="C52" s="65"/>
      <c r="D52" s="65"/>
      <c r="H52" s="65"/>
      <c r="I52" s="65"/>
      <c r="J52" s="65"/>
      <c r="K52" s="65"/>
    </row>
    <row r="53" spans="1:11" x14ac:dyDescent="0.3">
      <c r="A53" s="66" t="s">
        <v>188</v>
      </c>
      <c r="B53" s="67"/>
      <c r="C53" s="68"/>
      <c r="D53" s="68">
        <f>SUM(D54:D77)</f>
        <v>324.25508333333335</v>
      </c>
      <c r="F53" s="118">
        <f t="shared" ref="F53:F77" si="26">ROUNDUP(SUM(H53:HZ53),1)</f>
        <v>2483.1</v>
      </c>
      <c r="H53" s="68">
        <f t="shared" ref="H53:K53" si="27">SUM(H54:H77)</f>
        <v>617.4124833333334</v>
      </c>
      <c r="I53" s="68">
        <f t="shared" si="27"/>
        <v>563.76541666666674</v>
      </c>
      <c r="J53" s="68">
        <f t="shared" si="27"/>
        <v>604.00071666666656</v>
      </c>
      <c r="K53" s="68">
        <f t="shared" si="27"/>
        <v>697.88308333333327</v>
      </c>
    </row>
    <row r="54" spans="1:11" x14ac:dyDescent="0.25">
      <c r="A54" s="53" t="s">
        <v>33</v>
      </c>
      <c r="B54" s="54"/>
      <c r="C54" s="69">
        <f>+'Costo M.P.yMat.'!F24</f>
        <v>35.89</v>
      </c>
      <c r="D54" s="56">
        <f t="shared" ref="D54:D77" si="28">+$C54*D26</f>
        <v>202.24015</v>
      </c>
      <c r="E54" s="326">
        <v>17</v>
      </c>
      <c r="F54" s="117">
        <f t="shared" si="26"/>
        <v>1734.6</v>
      </c>
      <c r="H54" s="56">
        <f t="shared" ref="H54:K77" si="29">+$C54*H26</f>
        <v>431.2183500000001</v>
      </c>
      <c r="I54" s="56">
        <f t="shared" si="29"/>
        <v>392.45715000000001</v>
      </c>
      <c r="J54" s="56">
        <f t="shared" si="29"/>
        <v>421.52804999999995</v>
      </c>
      <c r="K54" s="56">
        <f t="shared" si="29"/>
        <v>489.36014999999998</v>
      </c>
    </row>
    <row r="55" spans="1:11" x14ac:dyDescent="0.25">
      <c r="A55" s="53" t="s">
        <v>40</v>
      </c>
      <c r="B55" s="54"/>
      <c r="C55" s="69">
        <f>+'Costo M.P.yMat.'!F29</f>
        <v>46.66</v>
      </c>
      <c r="D55" s="56">
        <f t="shared" si="28"/>
        <v>0</v>
      </c>
      <c r="E55" s="326">
        <v>22</v>
      </c>
      <c r="F55" s="117">
        <f t="shared" si="26"/>
        <v>0</v>
      </c>
      <c r="H55" s="56">
        <f t="shared" si="29"/>
        <v>0</v>
      </c>
      <c r="I55" s="56">
        <f t="shared" si="29"/>
        <v>0</v>
      </c>
      <c r="J55" s="56">
        <f t="shared" si="29"/>
        <v>0</v>
      </c>
      <c r="K55" s="56">
        <f t="shared" si="29"/>
        <v>0</v>
      </c>
    </row>
    <row r="56" spans="1:11" x14ac:dyDescent="0.25">
      <c r="A56" s="53" t="s">
        <v>36</v>
      </c>
      <c r="B56" s="54"/>
      <c r="C56" s="69">
        <f>+'Costo M.P.yMat.'!F25</f>
        <v>34.699999999999996</v>
      </c>
      <c r="D56" s="56">
        <f t="shared" si="28"/>
        <v>0</v>
      </c>
      <c r="E56" s="326">
        <v>18</v>
      </c>
      <c r="F56" s="117">
        <f t="shared" si="26"/>
        <v>0</v>
      </c>
      <c r="H56" s="56">
        <f t="shared" si="29"/>
        <v>0</v>
      </c>
      <c r="I56" s="56">
        <f t="shared" si="29"/>
        <v>0</v>
      </c>
      <c r="J56" s="56">
        <f t="shared" si="29"/>
        <v>0</v>
      </c>
      <c r="K56" s="56">
        <f t="shared" si="29"/>
        <v>0</v>
      </c>
    </row>
    <row r="57" spans="1:11" x14ac:dyDescent="0.25">
      <c r="A57" s="53" t="s">
        <v>41</v>
      </c>
      <c r="B57" s="54"/>
      <c r="C57" s="69">
        <f>+'Costo M.P.yMat.'!F30</f>
        <v>45.46</v>
      </c>
      <c r="D57" s="56">
        <f t="shared" si="28"/>
        <v>0</v>
      </c>
      <c r="E57" s="326">
        <v>23</v>
      </c>
      <c r="F57" s="117">
        <f t="shared" si="26"/>
        <v>0</v>
      </c>
      <c r="H57" s="56">
        <f t="shared" si="29"/>
        <v>0</v>
      </c>
      <c r="I57" s="56">
        <f t="shared" si="29"/>
        <v>0</v>
      </c>
      <c r="J57" s="56">
        <f t="shared" si="29"/>
        <v>0</v>
      </c>
      <c r="K57" s="56">
        <f t="shared" si="29"/>
        <v>0</v>
      </c>
    </row>
    <row r="58" spans="1:11" x14ac:dyDescent="0.25">
      <c r="A58" s="53" t="s">
        <v>182</v>
      </c>
      <c r="B58" s="54"/>
      <c r="C58" s="69">
        <f>+'Costo M.P.yMat.'!F82</f>
        <v>11.4</v>
      </c>
      <c r="D58" s="56">
        <f t="shared" si="28"/>
        <v>63.839999999999996</v>
      </c>
      <c r="E58" s="326">
        <v>75</v>
      </c>
      <c r="F58" s="117">
        <f t="shared" si="26"/>
        <v>544.9</v>
      </c>
      <c r="H58" s="56">
        <f t="shared" si="29"/>
        <v>135.43200000000004</v>
      </c>
      <c r="I58" s="56">
        <f t="shared" si="29"/>
        <v>123.12000000000002</v>
      </c>
      <c r="J58" s="56">
        <f t="shared" si="29"/>
        <v>132.35399999999998</v>
      </c>
      <c r="K58" s="56">
        <f t="shared" si="29"/>
        <v>153.9</v>
      </c>
    </row>
    <row r="59" spans="1:11" x14ac:dyDescent="0.25">
      <c r="A59" s="53" t="s">
        <v>190</v>
      </c>
      <c r="B59" s="54"/>
      <c r="C59" s="69">
        <f>+'Costo M.P.yMat.'!F7</f>
        <v>3.3099999999999996</v>
      </c>
      <c r="D59" s="56">
        <f t="shared" si="28"/>
        <v>21.128833333333329</v>
      </c>
      <c r="E59" s="326">
        <v>1</v>
      </c>
      <c r="F59" s="117">
        <f t="shared" si="26"/>
        <v>80.8</v>
      </c>
      <c r="H59" s="56">
        <f t="shared" si="29"/>
        <v>20.135833333333331</v>
      </c>
      <c r="I59" s="56">
        <f t="shared" si="29"/>
        <v>19.253166666666665</v>
      </c>
      <c r="J59" s="56">
        <f t="shared" si="29"/>
        <v>19.915166666666664</v>
      </c>
      <c r="K59" s="56">
        <f t="shared" si="29"/>
        <v>21.459833333333332</v>
      </c>
    </row>
    <row r="60" spans="1:11" x14ac:dyDescent="0.25">
      <c r="A60" s="53" t="s">
        <v>15</v>
      </c>
      <c r="B60" s="54"/>
      <c r="C60" s="69">
        <f>+'Costo M.P.yMat.'!F9</f>
        <v>0.75</v>
      </c>
      <c r="D60" s="56">
        <f t="shared" si="28"/>
        <v>2.8724999999999996</v>
      </c>
      <c r="E60" s="326">
        <v>3</v>
      </c>
      <c r="F60" s="117">
        <f t="shared" si="26"/>
        <v>11</v>
      </c>
      <c r="H60" s="56">
        <f t="shared" si="29"/>
        <v>2.7374999999999998</v>
      </c>
      <c r="I60" s="56">
        <f t="shared" si="29"/>
        <v>2.6175000000000006</v>
      </c>
      <c r="J60" s="56">
        <f t="shared" si="29"/>
        <v>2.7075000000000005</v>
      </c>
      <c r="K60" s="56">
        <f t="shared" si="29"/>
        <v>2.9175000000000004</v>
      </c>
    </row>
    <row r="61" spans="1:11" x14ac:dyDescent="0.25">
      <c r="A61" s="53" t="s">
        <v>295</v>
      </c>
      <c r="B61" s="54">
        <v>0.2</v>
      </c>
      <c r="C61" s="69">
        <f>+'Costo M.P.yMat.'!$F$96</f>
        <v>8.82</v>
      </c>
      <c r="D61" s="56">
        <f t="shared" si="28"/>
        <v>30.6936</v>
      </c>
      <c r="E61" s="326">
        <v>5</v>
      </c>
      <c r="F61" s="117">
        <f t="shared" si="26"/>
        <v>100.6</v>
      </c>
      <c r="H61" s="56">
        <f t="shared" si="29"/>
        <v>25.048800000000004</v>
      </c>
      <c r="I61" s="56">
        <f t="shared" si="29"/>
        <v>23.637600000000003</v>
      </c>
      <c r="J61" s="56">
        <f t="shared" si="29"/>
        <v>24.696000000000002</v>
      </c>
      <c r="K61" s="56">
        <f t="shared" si="29"/>
        <v>27.165600000000001</v>
      </c>
    </row>
    <row r="62" spans="1:11" x14ac:dyDescent="0.25">
      <c r="A62" s="53" t="s">
        <v>221</v>
      </c>
      <c r="B62" s="54"/>
      <c r="C62" s="69">
        <f>+'Costo M.P.yMat.'!F167</f>
        <v>1.1399999999999999</v>
      </c>
      <c r="D62" s="56">
        <f>+$C62*D34</f>
        <v>0</v>
      </c>
      <c r="E62" s="326">
        <v>186</v>
      </c>
      <c r="F62" s="117">
        <f t="shared" si="26"/>
        <v>0</v>
      </c>
      <c r="H62" s="56">
        <f t="shared" ref="H62:K62" si="30">+$C62*H34</f>
        <v>0</v>
      </c>
      <c r="I62" s="56">
        <f t="shared" si="30"/>
        <v>0</v>
      </c>
      <c r="J62" s="56">
        <f t="shared" si="30"/>
        <v>0</v>
      </c>
      <c r="K62" s="56">
        <f t="shared" si="30"/>
        <v>0</v>
      </c>
    </row>
    <row r="63" spans="1:11" x14ac:dyDescent="0.25">
      <c r="A63" s="53" t="s">
        <v>29</v>
      </c>
      <c r="B63" s="54"/>
      <c r="C63" s="69">
        <f>+'Costo M.P.yMat.'!F19</f>
        <v>0.04</v>
      </c>
      <c r="D63" s="56">
        <f t="shared" si="28"/>
        <v>1.7399999999999998</v>
      </c>
      <c r="E63" s="326">
        <v>13</v>
      </c>
      <c r="F63" s="117">
        <f t="shared" si="26"/>
        <v>5.7</v>
      </c>
      <c r="H63" s="56">
        <f t="shared" si="29"/>
        <v>1.42</v>
      </c>
      <c r="I63" s="56">
        <f t="shared" si="29"/>
        <v>1.34</v>
      </c>
      <c r="J63" s="56">
        <f t="shared" si="29"/>
        <v>1.4000000000000001</v>
      </c>
      <c r="K63" s="56">
        <f t="shared" si="29"/>
        <v>1.54</v>
      </c>
    </row>
    <row r="64" spans="1:11" x14ac:dyDescent="0.25">
      <c r="A64" s="53" t="s">
        <v>30</v>
      </c>
      <c r="B64" s="54"/>
      <c r="C64" s="69">
        <f>+'Costo M.P.yMat.'!F20</f>
        <v>0.04</v>
      </c>
      <c r="D64" s="56">
        <f t="shared" si="28"/>
        <v>1.7399999999999998</v>
      </c>
      <c r="E64" s="326">
        <v>14</v>
      </c>
      <c r="F64" s="117">
        <f t="shared" si="26"/>
        <v>5.7</v>
      </c>
      <c r="H64" s="56">
        <f t="shared" si="29"/>
        <v>1.42</v>
      </c>
      <c r="I64" s="56">
        <f t="shared" si="29"/>
        <v>1.34</v>
      </c>
      <c r="J64" s="56">
        <f t="shared" si="29"/>
        <v>1.4000000000000001</v>
      </c>
      <c r="K64" s="56">
        <f t="shared" si="29"/>
        <v>1.54</v>
      </c>
    </row>
    <row r="65" spans="1:11" x14ac:dyDescent="0.25">
      <c r="A65" s="53" t="s">
        <v>211</v>
      </c>
      <c r="B65" s="54"/>
      <c r="C65" s="69">
        <f>+'Costo M.P.yMat.'!F38</f>
        <v>5.8999999999999995</v>
      </c>
      <c r="D65" s="56">
        <f t="shared" si="28"/>
        <v>0</v>
      </c>
      <c r="F65" s="117">
        <f t="shared" si="26"/>
        <v>0</v>
      </c>
      <c r="H65" s="56">
        <f t="shared" si="29"/>
        <v>0</v>
      </c>
      <c r="I65" s="56">
        <f t="shared" si="29"/>
        <v>0</v>
      </c>
      <c r="J65" s="56">
        <f t="shared" si="29"/>
        <v>0</v>
      </c>
      <c r="K65" s="56">
        <f t="shared" si="29"/>
        <v>0</v>
      </c>
    </row>
    <row r="66" spans="1:11" x14ac:dyDescent="0.25">
      <c r="A66" s="53" t="s">
        <v>191</v>
      </c>
      <c r="B66" s="54"/>
      <c r="C66" s="69">
        <f>+'Costo M.P.yMat.'!F37</f>
        <v>9.83</v>
      </c>
      <c r="D66" s="56">
        <f t="shared" si="28"/>
        <v>0</v>
      </c>
      <c r="F66" s="117">
        <f t="shared" si="26"/>
        <v>0</v>
      </c>
      <c r="H66" s="56">
        <f t="shared" si="29"/>
        <v>0</v>
      </c>
      <c r="I66" s="56">
        <f t="shared" si="29"/>
        <v>0</v>
      </c>
      <c r="J66" s="56">
        <f t="shared" si="29"/>
        <v>0</v>
      </c>
      <c r="K66" s="56">
        <f t="shared" si="29"/>
        <v>0</v>
      </c>
    </row>
    <row r="67" spans="1:11" x14ac:dyDescent="0.25">
      <c r="A67" s="53" t="s">
        <v>203</v>
      </c>
      <c r="B67" s="54">
        <v>1.0129999999999999</v>
      </c>
      <c r="C67" s="69">
        <f>+'Costo M.P.yMat.'!$F$96</f>
        <v>8.82</v>
      </c>
      <c r="D67" s="56">
        <f t="shared" si="28"/>
        <v>0</v>
      </c>
      <c r="F67" s="117">
        <f t="shared" si="26"/>
        <v>0</v>
      </c>
      <c r="H67" s="56">
        <f t="shared" si="29"/>
        <v>0</v>
      </c>
      <c r="I67" s="56">
        <f t="shared" si="29"/>
        <v>0</v>
      </c>
      <c r="J67" s="56">
        <f t="shared" si="29"/>
        <v>0</v>
      </c>
      <c r="K67" s="56">
        <f t="shared" si="29"/>
        <v>0</v>
      </c>
    </row>
    <row r="68" spans="1:11" x14ac:dyDescent="0.25">
      <c r="A68" s="53" t="s">
        <v>204</v>
      </c>
      <c r="B68" s="54">
        <v>0.40799999999999997</v>
      </c>
      <c r="C68" s="69">
        <f>+'Costo M.P.yMat.'!$F$96</f>
        <v>8.82</v>
      </c>
      <c r="D68" s="56">
        <f t="shared" si="28"/>
        <v>0</v>
      </c>
      <c r="F68" s="117">
        <f t="shared" si="26"/>
        <v>0</v>
      </c>
      <c r="H68" s="56">
        <f t="shared" si="29"/>
        <v>0</v>
      </c>
      <c r="I68" s="56">
        <f t="shared" si="29"/>
        <v>0</v>
      </c>
      <c r="J68" s="56">
        <f t="shared" si="29"/>
        <v>0</v>
      </c>
      <c r="K68" s="56">
        <f t="shared" si="29"/>
        <v>0</v>
      </c>
    </row>
    <row r="69" spans="1:11" x14ac:dyDescent="0.25">
      <c r="A69" s="53" t="s">
        <v>205</v>
      </c>
      <c r="B69" s="54">
        <v>0.47799999999999998</v>
      </c>
      <c r="C69" s="69">
        <f>+'Costo M.P.yMat.'!$F$96</f>
        <v>8.82</v>
      </c>
      <c r="D69" s="56">
        <f t="shared" si="28"/>
        <v>0</v>
      </c>
      <c r="F69" s="117">
        <f t="shared" si="26"/>
        <v>0</v>
      </c>
      <c r="H69" s="56">
        <f t="shared" si="29"/>
        <v>0</v>
      </c>
      <c r="I69" s="56">
        <f t="shared" si="29"/>
        <v>0</v>
      </c>
      <c r="J69" s="56">
        <f t="shared" si="29"/>
        <v>0</v>
      </c>
      <c r="K69" s="56">
        <f t="shared" si="29"/>
        <v>0</v>
      </c>
    </row>
    <row r="70" spans="1:11" x14ac:dyDescent="0.25">
      <c r="A70" s="53" t="s">
        <v>206</v>
      </c>
      <c r="B70" s="54">
        <v>0.125</v>
      </c>
      <c r="C70" s="69">
        <f>+'Costo M.P.yMat.'!$F$96</f>
        <v>8.82</v>
      </c>
      <c r="D70" s="56">
        <f t="shared" si="28"/>
        <v>0</v>
      </c>
      <c r="F70" s="117">
        <f t="shared" si="26"/>
        <v>0</v>
      </c>
      <c r="H70" s="56">
        <f t="shared" si="29"/>
        <v>0</v>
      </c>
      <c r="I70" s="56">
        <f t="shared" si="29"/>
        <v>0</v>
      </c>
      <c r="J70" s="56">
        <f t="shared" si="29"/>
        <v>0</v>
      </c>
      <c r="K70" s="56">
        <f t="shared" si="29"/>
        <v>0</v>
      </c>
    </row>
    <row r="71" spans="1:11" x14ac:dyDescent="0.25">
      <c r="A71" s="60">
        <v>1510</v>
      </c>
      <c r="B71" s="54"/>
      <c r="C71" s="69">
        <f>+'Costo M.P.yMat.'!F71</f>
        <v>20.680000000000003</v>
      </c>
      <c r="D71" s="56">
        <f t="shared" si="28"/>
        <v>0</v>
      </c>
      <c r="F71" s="117">
        <f t="shared" si="26"/>
        <v>0</v>
      </c>
      <c r="H71" s="56">
        <f t="shared" si="29"/>
        <v>0</v>
      </c>
      <c r="I71" s="56">
        <f t="shared" si="29"/>
        <v>0</v>
      </c>
      <c r="J71" s="56">
        <f t="shared" si="29"/>
        <v>0</v>
      </c>
      <c r="K71" s="56">
        <f t="shared" si="29"/>
        <v>0</v>
      </c>
    </row>
    <row r="72" spans="1:11" x14ac:dyDescent="0.25">
      <c r="A72" s="60">
        <v>1511</v>
      </c>
      <c r="B72" s="54"/>
      <c r="C72" s="69">
        <f>+'Costo M.P.yMat.'!F72</f>
        <v>11</v>
      </c>
      <c r="D72" s="56">
        <f t="shared" si="28"/>
        <v>0</v>
      </c>
      <c r="F72" s="117">
        <f t="shared" si="26"/>
        <v>0</v>
      </c>
      <c r="H72" s="56">
        <f t="shared" si="29"/>
        <v>0</v>
      </c>
      <c r="I72" s="56">
        <f t="shared" si="29"/>
        <v>0</v>
      </c>
      <c r="J72" s="56">
        <f t="shared" si="29"/>
        <v>0</v>
      </c>
      <c r="K72" s="56">
        <f t="shared" si="29"/>
        <v>0</v>
      </c>
    </row>
    <row r="73" spans="1:11" x14ac:dyDescent="0.25">
      <c r="A73" s="53" t="s">
        <v>207</v>
      </c>
      <c r="B73" s="6"/>
      <c r="C73" s="69">
        <f>+'Costo M.P.yMat.'!F73</f>
        <v>2.4499999999999997</v>
      </c>
      <c r="D73" s="56">
        <f t="shared" si="28"/>
        <v>0</v>
      </c>
      <c r="F73" s="117">
        <f t="shared" si="26"/>
        <v>0</v>
      </c>
      <c r="H73" s="56">
        <f t="shared" si="29"/>
        <v>0</v>
      </c>
      <c r="I73" s="56">
        <f t="shared" si="29"/>
        <v>0</v>
      </c>
      <c r="J73" s="56">
        <f t="shared" si="29"/>
        <v>0</v>
      </c>
      <c r="K73" s="56">
        <f t="shared" si="29"/>
        <v>0</v>
      </c>
    </row>
    <row r="74" spans="1:11" x14ac:dyDescent="0.25">
      <c r="A74" s="53" t="s">
        <v>208</v>
      </c>
      <c r="B74" s="54"/>
      <c r="C74" s="69">
        <f>+'Costo M.P.yMat.'!F57</f>
        <v>2.6799999999999997</v>
      </c>
      <c r="D74" s="56">
        <f t="shared" si="28"/>
        <v>0</v>
      </c>
      <c r="F74" s="117">
        <f t="shared" si="26"/>
        <v>0</v>
      </c>
      <c r="H74" s="56">
        <f t="shared" si="29"/>
        <v>0</v>
      </c>
      <c r="I74" s="56">
        <f t="shared" si="29"/>
        <v>0</v>
      </c>
      <c r="J74" s="56">
        <f t="shared" si="29"/>
        <v>0</v>
      </c>
      <c r="K74" s="56">
        <f t="shared" si="29"/>
        <v>0</v>
      </c>
    </row>
    <row r="75" spans="1:11" x14ac:dyDescent="0.25">
      <c r="A75" s="53" t="s">
        <v>209</v>
      </c>
      <c r="B75" s="54"/>
      <c r="C75" s="69">
        <f>+'Costo M.P.yMat.'!F77</f>
        <v>2.4499999999999997</v>
      </c>
      <c r="D75" s="56">
        <f t="shared" si="28"/>
        <v>0</v>
      </c>
      <c r="F75" s="117">
        <f t="shared" si="26"/>
        <v>0</v>
      </c>
      <c r="H75" s="56">
        <f t="shared" si="29"/>
        <v>0</v>
      </c>
      <c r="I75" s="56">
        <f t="shared" si="29"/>
        <v>0</v>
      </c>
      <c r="J75" s="56">
        <f t="shared" si="29"/>
        <v>0</v>
      </c>
      <c r="K75" s="56">
        <f t="shared" si="29"/>
        <v>0</v>
      </c>
    </row>
    <row r="76" spans="1:11" x14ac:dyDescent="0.25">
      <c r="A76" s="53">
        <v>1335</v>
      </c>
      <c r="B76" s="54"/>
      <c r="C76" s="69">
        <f>+'Costo M.P.yMat.'!F68</f>
        <v>5.87</v>
      </c>
      <c r="D76" s="56">
        <f t="shared" si="28"/>
        <v>0</v>
      </c>
      <c r="F76" s="117">
        <f t="shared" si="26"/>
        <v>0</v>
      </c>
      <c r="H76" s="56">
        <f t="shared" si="29"/>
        <v>0</v>
      </c>
      <c r="I76" s="56">
        <f t="shared" si="29"/>
        <v>0</v>
      </c>
      <c r="J76" s="56">
        <f t="shared" si="29"/>
        <v>0</v>
      </c>
      <c r="K76" s="56">
        <f t="shared" si="29"/>
        <v>0</v>
      </c>
    </row>
    <row r="77" spans="1:11" x14ac:dyDescent="0.25">
      <c r="A77" s="53" t="s">
        <v>210</v>
      </c>
      <c r="B77" s="54"/>
      <c r="C77" s="69">
        <f>+'Costo M.P.yMat.'!F49</f>
        <v>1.32</v>
      </c>
      <c r="D77" s="56">
        <f t="shared" si="28"/>
        <v>0</v>
      </c>
      <c r="F77" s="117">
        <f t="shared" si="26"/>
        <v>0</v>
      </c>
      <c r="H77" s="56">
        <f t="shared" si="29"/>
        <v>0</v>
      </c>
      <c r="I77" s="56">
        <f t="shared" si="29"/>
        <v>0</v>
      </c>
      <c r="J77" s="56">
        <f t="shared" si="29"/>
        <v>0</v>
      </c>
      <c r="K77" s="56">
        <f t="shared" si="29"/>
        <v>0</v>
      </c>
    </row>
    <row r="78" spans="1:11" x14ac:dyDescent="0.25">
      <c r="C78" s="70"/>
      <c r="D78" s="65"/>
      <c r="H78" s="65"/>
      <c r="I78" s="65"/>
      <c r="J78" s="65"/>
      <c r="K78" s="65"/>
    </row>
    <row r="79" spans="1:11" x14ac:dyDescent="0.25">
      <c r="C79" s="70"/>
      <c r="D79" s="65"/>
      <c r="H79" s="65"/>
      <c r="I79" s="65"/>
      <c r="J79" s="65"/>
      <c r="K79" s="65"/>
    </row>
    <row r="80" spans="1:11" s="72" customFormat="1" x14ac:dyDescent="0.3">
      <c r="A80" s="66" t="s">
        <v>187</v>
      </c>
      <c r="B80" s="67"/>
      <c r="C80" s="68"/>
      <c r="D80" s="68">
        <f>SUM(D81:D104)</f>
        <v>314.14678333333342</v>
      </c>
      <c r="E80" s="331"/>
      <c r="F80" s="118">
        <f t="shared" ref="F80:F104" si="31">ROUNDUP(SUM(H80:HZ80),1)</f>
        <v>2400.6999999999998</v>
      </c>
      <c r="H80" s="68">
        <f t="shared" ref="H80:K80" si="32">SUM(H81:H104)</f>
        <v>596.92238333333341</v>
      </c>
      <c r="I80" s="68">
        <f t="shared" si="32"/>
        <v>545.08331666666675</v>
      </c>
      <c r="J80" s="68">
        <f t="shared" si="32"/>
        <v>583.96261666666658</v>
      </c>
      <c r="K80" s="68">
        <f t="shared" si="32"/>
        <v>674.68098333333319</v>
      </c>
    </row>
    <row r="81" spans="1:11" x14ac:dyDescent="0.25">
      <c r="A81" s="53" t="s">
        <v>33</v>
      </c>
      <c r="B81" s="54"/>
      <c r="C81" s="69">
        <f>+'Costo M.P.yMat.'!G24</f>
        <v>34.65</v>
      </c>
      <c r="D81" s="56">
        <f t="shared" ref="D81:D104" si="33">+$C81*D26</f>
        <v>195.25274999999999</v>
      </c>
      <c r="E81" s="326">
        <v>17</v>
      </c>
      <c r="F81" s="117">
        <f t="shared" si="31"/>
        <v>1674.6999999999998</v>
      </c>
      <c r="H81" s="56">
        <f t="shared" ref="H81:K104" si="34">+$C81*H26</f>
        <v>416.31975000000006</v>
      </c>
      <c r="I81" s="56">
        <f t="shared" si="34"/>
        <v>378.89774999999997</v>
      </c>
      <c r="J81" s="56">
        <f t="shared" si="34"/>
        <v>406.96424999999994</v>
      </c>
      <c r="K81" s="56">
        <f t="shared" si="34"/>
        <v>472.45274999999998</v>
      </c>
    </row>
    <row r="82" spans="1:11" x14ac:dyDescent="0.25">
      <c r="A82" s="53" t="s">
        <v>40</v>
      </c>
      <c r="B82" s="54"/>
      <c r="C82" s="69">
        <f>+'Costo M.P.yMat.'!G29</f>
        <v>45.05</v>
      </c>
      <c r="D82" s="56">
        <f t="shared" si="33"/>
        <v>0</v>
      </c>
      <c r="E82" s="326">
        <v>22</v>
      </c>
      <c r="F82" s="117">
        <f t="shared" si="31"/>
        <v>0</v>
      </c>
      <c r="H82" s="56">
        <f t="shared" si="34"/>
        <v>0</v>
      </c>
      <c r="I82" s="56">
        <f t="shared" si="34"/>
        <v>0</v>
      </c>
      <c r="J82" s="56">
        <f t="shared" si="34"/>
        <v>0</v>
      </c>
      <c r="K82" s="56">
        <f t="shared" si="34"/>
        <v>0</v>
      </c>
    </row>
    <row r="83" spans="1:11" x14ac:dyDescent="0.25">
      <c r="A83" s="53" t="s">
        <v>36</v>
      </c>
      <c r="B83" s="54"/>
      <c r="C83" s="69">
        <f>+'Costo M.P.yMat.'!G25</f>
        <v>33.5</v>
      </c>
      <c r="D83" s="56">
        <f t="shared" si="33"/>
        <v>0</v>
      </c>
      <c r="E83" s="326">
        <v>18</v>
      </c>
      <c r="F83" s="117">
        <f t="shared" si="31"/>
        <v>0</v>
      </c>
      <c r="H83" s="56">
        <f t="shared" si="34"/>
        <v>0</v>
      </c>
      <c r="I83" s="56">
        <f t="shared" si="34"/>
        <v>0</v>
      </c>
      <c r="J83" s="56">
        <f t="shared" si="34"/>
        <v>0</v>
      </c>
      <c r="K83" s="56">
        <f t="shared" si="34"/>
        <v>0</v>
      </c>
    </row>
    <row r="84" spans="1:11" x14ac:dyDescent="0.25">
      <c r="A84" s="53" t="s">
        <v>41</v>
      </c>
      <c r="B84" s="54"/>
      <c r="C84" s="69">
        <f>+'Costo M.P.yMat.'!G30</f>
        <v>43.89</v>
      </c>
      <c r="D84" s="56">
        <f t="shared" si="33"/>
        <v>0</v>
      </c>
      <c r="E84" s="326">
        <v>23</v>
      </c>
      <c r="F84" s="117">
        <f t="shared" si="31"/>
        <v>0</v>
      </c>
      <c r="H84" s="56">
        <f t="shared" si="34"/>
        <v>0</v>
      </c>
      <c r="I84" s="56">
        <f t="shared" si="34"/>
        <v>0</v>
      </c>
      <c r="J84" s="56">
        <f t="shared" si="34"/>
        <v>0</v>
      </c>
      <c r="K84" s="56">
        <f t="shared" si="34"/>
        <v>0</v>
      </c>
    </row>
    <row r="85" spans="1:11" x14ac:dyDescent="0.25">
      <c r="A85" s="53" t="s">
        <v>182</v>
      </c>
      <c r="B85" s="54"/>
      <c r="C85" s="69">
        <f>+'Costo M.P.yMat.'!G82</f>
        <v>11</v>
      </c>
      <c r="D85" s="56">
        <f t="shared" si="33"/>
        <v>61.599999999999994</v>
      </c>
      <c r="E85" s="326">
        <v>75</v>
      </c>
      <c r="F85" s="117">
        <f t="shared" si="31"/>
        <v>525.70000000000005</v>
      </c>
      <c r="H85" s="56">
        <f t="shared" si="34"/>
        <v>130.68000000000004</v>
      </c>
      <c r="I85" s="56">
        <f t="shared" si="34"/>
        <v>118.80000000000001</v>
      </c>
      <c r="J85" s="56">
        <f t="shared" si="34"/>
        <v>127.71</v>
      </c>
      <c r="K85" s="56">
        <f t="shared" si="34"/>
        <v>148.5</v>
      </c>
    </row>
    <row r="86" spans="1:11" x14ac:dyDescent="0.25">
      <c r="A86" s="53" t="s">
        <v>190</v>
      </c>
      <c r="B86" s="54"/>
      <c r="C86" s="69">
        <f>+'Costo M.P.yMat.'!G7</f>
        <v>3.19</v>
      </c>
      <c r="D86" s="56">
        <f t="shared" si="33"/>
        <v>20.362833333333331</v>
      </c>
      <c r="E86" s="326">
        <v>1</v>
      </c>
      <c r="F86" s="117">
        <f t="shared" si="31"/>
        <v>77.899999999999991</v>
      </c>
      <c r="H86" s="56">
        <f t="shared" si="34"/>
        <v>19.405833333333334</v>
      </c>
      <c r="I86" s="56">
        <f t="shared" si="34"/>
        <v>18.555166666666668</v>
      </c>
      <c r="J86" s="56">
        <f t="shared" si="34"/>
        <v>19.193166666666666</v>
      </c>
      <c r="K86" s="56">
        <f t="shared" si="34"/>
        <v>20.681833333333337</v>
      </c>
    </row>
    <row r="87" spans="1:11" x14ac:dyDescent="0.25">
      <c r="A87" s="53" t="s">
        <v>15</v>
      </c>
      <c r="B87" s="54"/>
      <c r="C87" s="69">
        <f>+'Costo M.P.yMat.'!G9</f>
        <v>0.72</v>
      </c>
      <c r="D87" s="56">
        <f t="shared" si="33"/>
        <v>2.7575999999999996</v>
      </c>
      <c r="E87" s="326">
        <v>3</v>
      </c>
      <c r="F87" s="117">
        <f t="shared" si="31"/>
        <v>10.6</v>
      </c>
      <c r="H87" s="56">
        <f t="shared" si="34"/>
        <v>2.6279999999999997</v>
      </c>
      <c r="I87" s="56">
        <f t="shared" si="34"/>
        <v>2.5128000000000004</v>
      </c>
      <c r="J87" s="56">
        <f t="shared" si="34"/>
        <v>2.5992000000000002</v>
      </c>
      <c r="K87" s="56">
        <f t="shared" si="34"/>
        <v>2.8008000000000002</v>
      </c>
    </row>
    <row r="88" spans="1:11" x14ac:dyDescent="0.25">
      <c r="A88" s="53" t="s">
        <v>295</v>
      </c>
      <c r="B88" s="54">
        <v>0.2</v>
      </c>
      <c r="C88" s="69">
        <f>+'Costo M.P.yMat.'!$F$96</f>
        <v>8.82</v>
      </c>
      <c r="D88" s="56">
        <f t="shared" si="33"/>
        <v>30.6936</v>
      </c>
      <c r="E88" s="326">
        <v>5</v>
      </c>
      <c r="F88" s="117">
        <f t="shared" si="31"/>
        <v>100.6</v>
      </c>
      <c r="H88" s="56">
        <f t="shared" si="34"/>
        <v>25.048800000000004</v>
      </c>
      <c r="I88" s="56">
        <f t="shared" si="34"/>
        <v>23.637600000000003</v>
      </c>
      <c r="J88" s="56">
        <f t="shared" si="34"/>
        <v>24.696000000000002</v>
      </c>
      <c r="K88" s="56">
        <f t="shared" si="34"/>
        <v>27.165600000000001</v>
      </c>
    </row>
    <row r="89" spans="1:11" x14ac:dyDescent="0.25">
      <c r="A89" s="53" t="s">
        <v>221</v>
      </c>
      <c r="B89" s="54"/>
      <c r="C89" s="69">
        <f>+'Costo M.P.yMat.'!G167</f>
        <v>1.1000000000000001</v>
      </c>
      <c r="D89" s="56">
        <f>+$C89*D34</f>
        <v>0</v>
      </c>
      <c r="E89" s="326">
        <v>186</v>
      </c>
      <c r="F89" s="117">
        <f t="shared" si="31"/>
        <v>0</v>
      </c>
      <c r="H89" s="56">
        <f t="shared" ref="H89:K89" si="35">+$C89*H34</f>
        <v>0</v>
      </c>
      <c r="I89" s="56">
        <f t="shared" si="35"/>
        <v>0</v>
      </c>
      <c r="J89" s="56">
        <f t="shared" si="35"/>
        <v>0</v>
      </c>
      <c r="K89" s="56">
        <f t="shared" si="35"/>
        <v>0</v>
      </c>
    </row>
    <row r="90" spans="1:11" x14ac:dyDescent="0.25">
      <c r="A90" s="53" t="s">
        <v>29</v>
      </c>
      <c r="B90" s="54"/>
      <c r="C90" s="69">
        <f>+'Costo M.P.yMat.'!G19</f>
        <v>0.04</v>
      </c>
      <c r="D90" s="56">
        <f t="shared" si="33"/>
        <v>1.7399999999999998</v>
      </c>
      <c r="E90" s="326">
        <v>13</v>
      </c>
      <c r="F90" s="117">
        <f t="shared" si="31"/>
        <v>5.7</v>
      </c>
      <c r="H90" s="56">
        <f t="shared" si="34"/>
        <v>1.42</v>
      </c>
      <c r="I90" s="56">
        <f t="shared" si="34"/>
        <v>1.34</v>
      </c>
      <c r="J90" s="56">
        <f t="shared" si="34"/>
        <v>1.4000000000000001</v>
      </c>
      <c r="K90" s="56">
        <f t="shared" si="34"/>
        <v>1.54</v>
      </c>
    </row>
    <row r="91" spans="1:11" x14ac:dyDescent="0.25">
      <c r="A91" s="53" t="s">
        <v>30</v>
      </c>
      <c r="B91" s="54"/>
      <c r="C91" s="69">
        <f>+'Costo M.P.yMat.'!G20</f>
        <v>0.04</v>
      </c>
      <c r="D91" s="56">
        <f t="shared" si="33"/>
        <v>1.7399999999999998</v>
      </c>
      <c r="E91" s="326">
        <v>14</v>
      </c>
      <c r="F91" s="117">
        <f t="shared" si="31"/>
        <v>5.7</v>
      </c>
      <c r="H91" s="56">
        <f t="shared" si="34"/>
        <v>1.42</v>
      </c>
      <c r="I91" s="56">
        <f t="shared" si="34"/>
        <v>1.34</v>
      </c>
      <c r="J91" s="56">
        <f t="shared" si="34"/>
        <v>1.4000000000000001</v>
      </c>
      <c r="K91" s="56">
        <f t="shared" si="34"/>
        <v>1.54</v>
      </c>
    </row>
    <row r="92" spans="1:11" x14ac:dyDescent="0.25">
      <c r="A92" s="53" t="s">
        <v>211</v>
      </c>
      <c r="B92" s="54"/>
      <c r="C92" s="69">
        <f>+'Costo M.P.yMat.'!G38</f>
        <v>5.7</v>
      </c>
      <c r="D92" s="56">
        <f t="shared" si="33"/>
        <v>0</v>
      </c>
      <c r="F92" s="117">
        <f t="shared" si="31"/>
        <v>0</v>
      </c>
      <c r="H92" s="56">
        <f t="shared" si="34"/>
        <v>0</v>
      </c>
      <c r="I92" s="56">
        <f t="shared" si="34"/>
        <v>0</v>
      </c>
      <c r="J92" s="56">
        <f t="shared" si="34"/>
        <v>0</v>
      </c>
      <c r="K92" s="56">
        <f t="shared" si="34"/>
        <v>0</v>
      </c>
    </row>
    <row r="93" spans="1:11" x14ac:dyDescent="0.25">
      <c r="A93" s="53" t="s">
        <v>191</v>
      </c>
      <c r="B93" s="54"/>
      <c r="C93" s="69">
        <f>+'Costo M.P.yMat.'!G37</f>
        <v>9.49</v>
      </c>
      <c r="D93" s="56">
        <f t="shared" si="33"/>
        <v>0</v>
      </c>
      <c r="F93" s="117">
        <f t="shared" si="31"/>
        <v>0</v>
      </c>
      <c r="H93" s="56">
        <f t="shared" si="34"/>
        <v>0</v>
      </c>
      <c r="I93" s="56">
        <f t="shared" si="34"/>
        <v>0</v>
      </c>
      <c r="J93" s="56">
        <f t="shared" si="34"/>
        <v>0</v>
      </c>
      <c r="K93" s="56">
        <f t="shared" si="34"/>
        <v>0</v>
      </c>
    </row>
    <row r="94" spans="1:11" x14ac:dyDescent="0.25">
      <c r="A94" s="53" t="s">
        <v>203</v>
      </c>
      <c r="B94" s="54">
        <v>1.0129999999999999</v>
      </c>
      <c r="C94" s="69">
        <f>+'Costo M.P.yMat.'!$F$96</f>
        <v>8.82</v>
      </c>
      <c r="D94" s="56">
        <f t="shared" si="33"/>
        <v>0</v>
      </c>
      <c r="F94" s="117">
        <f t="shared" si="31"/>
        <v>0</v>
      </c>
      <c r="H94" s="56">
        <f t="shared" si="34"/>
        <v>0</v>
      </c>
      <c r="I94" s="56">
        <f t="shared" si="34"/>
        <v>0</v>
      </c>
      <c r="J94" s="56">
        <f t="shared" si="34"/>
        <v>0</v>
      </c>
      <c r="K94" s="56">
        <f t="shared" si="34"/>
        <v>0</v>
      </c>
    </row>
    <row r="95" spans="1:11" x14ac:dyDescent="0.25">
      <c r="A95" s="53" t="s">
        <v>204</v>
      </c>
      <c r="B95" s="54">
        <v>0.40799999999999997</v>
      </c>
      <c r="C95" s="69">
        <f>+'Costo M.P.yMat.'!$F$96</f>
        <v>8.82</v>
      </c>
      <c r="D95" s="56">
        <f t="shared" si="33"/>
        <v>0</v>
      </c>
      <c r="F95" s="117">
        <f t="shared" si="31"/>
        <v>0</v>
      </c>
      <c r="H95" s="56">
        <f t="shared" si="34"/>
        <v>0</v>
      </c>
      <c r="I95" s="56">
        <f t="shared" si="34"/>
        <v>0</v>
      </c>
      <c r="J95" s="56">
        <f t="shared" si="34"/>
        <v>0</v>
      </c>
      <c r="K95" s="56">
        <f t="shared" si="34"/>
        <v>0</v>
      </c>
    </row>
    <row r="96" spans="1:11" x14ac:dyDescent="0.25">
      <c r="A96" s="53" t="s">
        <v>205</v>
      </c>
      <c r="B96" s="54">
        <v>0.47799999999999998</v>
      </c>
      <c r="C96" s="69">
        <f>+'Costo M.P.yMat.'!$F$96</f>
        <v>8.82</v>
      </c>
      <c r="D96" s="56">
        <f t="shared" si="33"/>
        <v>0</v>
      </c>
      <c r="F96" s="117">
        <f t="shared" si="31"/>
        <v>0</v>
      </c>
      <c r="H96" s="56">
        <f t="shared" si="34"/>
        <v>0</v>
      </c>
      <c r="I96" s="56">
        <f t="shared" si="34"/>
        <v>0</v>
      </c>
      <c r="J96" s="56">
        <f t="shared" si="34"/>
        <v>0</v>
      </c>
      <c r="K96" s="56">
        <f t="shared" si="34"/>
        <v>0</v>
      </c>
    </row>
    <row r="97" spans="1:11" x14ac:dyDescent="0.25">
      <c r="A97" s="53" t="s">
        <v>206</v>
      </c>
      <c r="B97" s="54">
        <v>0.125</v>
      </c>
      <c r="C97" s="69">
        <f>+'Costo M.P.yMat.'!$F$96</f>
        <v>8.82</v>
      </c>
      <c r="D97" s="56">
        <f t="shared" si="33"/>
        <v>0</v>
      </c>
      <c r="F97" s="117">
        <f t="shared" si="31"/>
        <v>0</v>
      </c>
      <c r="H97" s="56">
        <f t="shared" si="34"/>
        <v>0</v>
      </c>
      <c r="I97" s="56">
        <f t="shared" si="34"/>
        <v>0</v>
      </c>
      <c r="J97" s="56">
        <f t="shared" si="34"/>
        <v>0</v>
      </c>
      <c r="K97" s="56">
        <f t="shared" si="34"/>
        <v>0</v>
      </c>
    </row>
    <row r="98" spans="1:11" x14ac:dyDescent="0.25">
      <c r="A98" s="60">
        <v>1510</v>
      </c>
      <c r="B98" s="54"/>
      <c r="C98" s="69">
        <f>+'Costo M.P.yMat.'!G71</f>
        <v>19.970000000000002</v>
      </c>
      <c r="D98" s="56">
        <f t="shared" si="33"/>
        <v>0</v>
      </c>
      <c r="F98" s="117">
        <f t="shared" si="31"/>
        <v>0</v>
      </c>
      <c r="H98" s="56">
        <f t="shared" si="34"/>
        <v>0</v>
      </c>
      <c r="I98" s="56">
        <f t="shared" si="34"/>
        <v>0</v>
      </c>
      <c r="J98" s="56">
        <f t="shared" si="34"/>
        <v>0</v>
      </c>
      <c r="K98" s="56">
        <f t="shared" si="34"/>
        <v>0</v>
      </c>
    </row>
    <row r="99" spans="1:11" x14ac:dyDescent="0.25">
      <c r="A99" s="60">
        <v>1511</v>
      </c>
      <c r="B99" s="54"/>
      <c r="C99" s="69">
        <f>+'Costo M.P.yMat.'!G72</f>
        <v>10.62</v>
      </c>
      <c r="D99" s="56">
        <f t="shared" si="33"/>
        <v>0</v>
      </c>
      <c r="F99" s="117">
        <f t="shared" si="31"/>
        <v>0</v>
      </c>
      <c r="H99" s="56">
        <f t="shared" si="34"/>
        <v>0</v>
      </c>
      <c r="I99" s="56">
        <f t="shared" si="34"/>
        <v>0</v>
      </c>
      <c r="J99" s="56">
        <f t="shared" si="34"/>
        <v>0</v>
      </c>
      <c r="K99" s="56">
        <f t="shared" si="34"/>
        <v>0</v>
      </c>
    </row>
    <row r="100" spans="1:11" x14ac:dyDescent="0.25">
      <c r="A100" s="53" t="s">
        <v>207</v>
      </c>
      <c r="B100" s="6"/>
      <c r="C100" s="69">
        <f>+'Costo M.P.yMat.'!G73</f>
        <v>2.3699999999999997</v>
      </c>
      <c r="D100" s="56">
        <f t="shared" si="33"/>
        <v>0</v>
      </c>
      <c r="F100" s="117">
        <f t="shared" si="31"/>
        <v>0</v>
      </c>
      <c r="H100" s="56">
        <f t="shared" si="34"/>
        <v>0</v>
      </c>
      <c r="I100" s="56">
        <f t="shared" si="34"/>
        <v>0</v>
      </c>
      <c r="J100" s="56">
        <f t="shared" si="34"/>
        <v>0</v>
      </c>
      <c r="K100" s="56">
        <f t="shared" si="34"/>
        <v>0</v>
      </c>
    </row>
    <row r="101" spans="1:11" x14ac:dyDescent="0.25">
      <c r="A101" s="53" t="s">
        <v>208</v>
      </c>
      <c r="B101" s="54"/>
      <c r="C101" s="69">
        <f>+'Costo M.P.yMat.'!G57</f>
        <v>2.59</v>
      </c>
      <c r="D101" s="56">
        <f t="shared" si="33"/>
        <v>0</v>
      </c>
      <c r="F101" s="117">
        <f t="shared" si="31"/>
        <v>0</v>
      </c>
      <c r="H101" s="56">
        <f t="shared" si="34"/>
        <v>0</v>
      </c>
      <c r="I101" s="56">
        <f t="shared" si="34"/>
        <v>0</v>
      </c>
      <c r="J101" s="56">
        <f t="shared" si="34"/>
        <v>0</v>
      </c>
      <c r="K101" s="56">
        <f t="shared" si="34"/>
        <v>0</v>
      </c>
    </row>
    <row r="102" spans="1:11" x14ac:dyDescent="0.25">
      <c r="A102" s="53" t="s">
        <v>209</v>
      </c>
      <c r="B102" s="54"/>
      <c r="C102" s="69">
        <f>+'Costo M.P.yMat.'!G77</f>
        <v>2.3699999999999997</v>
      </c>
      <c r="D102" s="56">
        <f t="shared" si="33"/>
        <v>0</v>
      </c>
      <c r="F102" s="117">
        <f t="shared" si="31"/>
        <v>0</v>
      </c>
      <c r="H102" s="56">
        <f t="shared" si="34"/>
        <v>0</v>
      </c>
      <c r="I102" s="56">
        <f t="shared" si="34"/>
        <v>0</v>
      </c>
      <c r="J102" s="56">
        <f t="shared" si="34"/>
        <v>0</v>
      </c>
      <c r="K102" s="56">
        <f t="shared" si="34"/>
        <v>0</v>
      </c>
    </row>
    <row r="103" spans="1:11" x14ac:dyDescent="0.25">
      <c r="A103" s="53">
        <v>1335</v>
      </c>
      <c r="B103" s="54"/>
      <c r="C103" s="69">
        <f>+'Costo M.P.yMat.'!G68</f>
        <v>5.67</v>
      </c>
      <c r="D103" s="56">
        <f t="shared" si="33"/>
        <v>0</v>
      </c>
      <c r="F103" s="117">
        <f t="shared" si="31"/>
        <v>0</v>
      </c>
      <c r="H103" s="56">
        <f t="shared" si="34"/>
        <v>0</v>
      </c>
      <c r="I103" s="56">
        <f t="shared" si="34"/>
        <v>0</v>
      </c>
      <c r="J103" s="56">
        <f t="shared" si="34"/>
        <v>0</v>
      </c>
      <c r="K103" s="56">
        <f t="shared" si="34"/>
        <v>0</v>
      </c>
    </row>
    <row r="104" spans="1:11" x14ac:dyDescent="0.25">
      <c r="A104" s="53" t="s">
        <v>210</v>
      </c>
      <c r="B104" s="54"/>
      <c r="C104" s="69">
        <f>+'Costo M.P.yMat.'!G49</f>
        <v>1.27</v>
      </c>
      <c r="D104" s="56">
        <f t="shared" si="33"/>
        <v>0</v>
      </c>
      <c r="F104" s="117">
        <f t="shared" si="31"/>
        <v>0</v>
      </c>
      <c r="H104" s="56">
        <f t="shared" si="34"/>
        <v>0</v>
      </c>
      <c r="I104" s="56">
        <f t="shared" si="34"/>
        <v>0</v>
      </c>
      <c r="J104" s="56">
        <f t="shared" si="34"/>
        <v>0</v>
      </c>
      <c r="K104" s="56">
        <f t="shared" si="34"/>
        <v>0</v>
      </c>
    </row>
    <row r="105" spans="1:11" x14ac:dyDescent="0.25">
      <c r="C105" s="73"/>
      <c r="D105" s="63"/>
      <c r="H105" s="63"/>
      <c r="I105" s="63"/>
      <c r="J105" s="63"/>
      <c r="K105" s="63"/>
    </row>
    <row r="106" spans="1:11" x14ac:dyDescent="0.25">
      <c r="C106" s="73"/>
      <c r="D106" s="63"/>
      <c r="H106" s="63"/>
      <c r="I106" s="63"/>
      <c r="J106" s="63"/>
      <c r="K106" s="63"/>
    </row>
    <row r="107" spans="1:11" x14ac:dyDescent="0.25">
      <c r="A107" s="46" t="s">
        <v>263</v>
      </c>
      <c r="B107" s="47"/>
      <c r="C107" s="48" t="s">
        <v>258</v>
      </c>
      <c r="D107" s="49" t="s">
        <v>259</v>
      </c>
      <c r="F107" s="25" t="s">
        <v>264</v>
      </c>
      <c r="G107" s="25" t="s">
        <v>265</v>
      </c>
      <c r="H107" s="49" t="s">
        <v>259</v>
      </c>
      <c r="I107" s="49" t="s">
        <v>259</v>
      </c>
      <c r="J107" s="49" t="s">
        <v>259</v>
      </c>
      <c r="K107" s="49" t="s">
        <v>259</v>
      </c>
    </row>
    <row r="108" spans="1:11" x14ac:dyDescent="0.25">
      <c r="A108" s="53" t="s">
        <v>33</v>
      </c>
      <c r="B108" s="69">
        <f>+C54</f>
        <v>35.89</v>
      </c>
      <c r="C108" s="124"/>
      <c r="D108" s="56"/>
      <c r="E108" s="326">
        <v>17</v>
      </c>
      <c r="H108" s="56"/>
      <c r="I108" s="56"/>
      <c r="J108" s="56"/>
      <c r="K108" s="56"/>
    </row>
    <row r="109" spans="1:11" x14ac:dyDescent="0.25">
      <c r="A109" s="53" t="s">
        <v>40</v>
      </c>
      <c r="B109" s="69">
        <f t="shared" ref="B109:B131" si="36">+C55</f>
        <v>46.66</v>
      </c>
      <c r="C109" s="124"/>
      <c r="D109" s="56"/>
      <c r="E109" s="326">
        <v>22</v>
      </c>
      <c r="H109" s="56"/>
      <c r="I109" s="56"/>
      <c r="J109" s="56"/>
      <c r="K109" s="56"/>
    </row>
    <row r="110" spans="1:11" x14ac:dyDescent="0.25">
      <c r="A110" s="53" t="s">
        <v>36</v>
      </c>
      <c r="B110" s="69">
        <f t="shared" si="36"/>
        <v>34.699999999999996</v>
      </c>
      <c r="C110" s="124"/>
      <c r="D110" s="56"/>
      <c r="E110" s="326">
        <v>18</v>
      </c>
      <c r="H110" s="56"/>
      <c r="I110" s="56"/>
      <c r="J110" s="56"/>
      <c r="K110" s="56"/>
    </row>
    <row r="111" spans="1:11" x14ac:dyDescent="0.25">
      <c r="A111" s="53" t="s">
        <v>41</v>
      </c>
      <c r="B111" s="69">
        <f t="shared" si="36"/>
        <v>45.46</v>
      </c>
      <c r="C111" s="124"/>
      <c r="D111" s="56"/>
      <c r="E111" s="326">
        <v>23</v>
      </c>
      <c r="H111" s="56"/>
      <c r="I111" s="56"/>
      <c r="J111" s="56"/>
      <c r="K111" s="56"/>
    </row>
    <row r="112" spans="1:11" x14ac:dyDescent="0.25">
      <c r="A112" s="53" t="s">
        <v>182</v>
      </c>
      <c r="B112" s="69">
        <f t="shared" si="36"/>
        <v>11.4</v>
      </c>
      <c r="C112" s="124"/>
      <c r="D112" s="56"/>
      <c r="E112" s="326">
        <v>75</v>
      </c>
      <c r="F112" s="25">
        <v>1</v>
      </c>
      <c r="H112" s="56"/>
      <c r="I112" s="56"/>
      <c r="J112" s="56"/>
      <c r="K112" s="56"/>
    </row>
    <row r="113" spans="1:11" x14ac:dyDescent="0.25">
      <c r="A113" s="53" t="s">
        <v>190</v>
      </c>
      <c r="B113" s="69">
        <f t="shared" si="36"/>
        <v>3.3099999999999996</v>
      </c>
      <c r="C113" s="124">
        <v>0.67</v>
      </c>
      <c r="D113" s="56">
        <v>0.67</v>
      </c>
      <c r="E113" s="326">
        <v>1</v>
      </c>
      <c r="G113" s="25">
        <v>0.35</v>
      </c>
      <c r="H113" s="56">
        <v>0.67</v>
      </c>
      <c r="I113" s="56">
        <v>0.67</v>
      </c>
      <c r="J113" s="56">
        <v>0.67</v>
      </c>
      <c r="K113" s="56">
        <v>0.67</v>
      </c>
    </row>
    <row r="114" spans="1:11" x14ac:dyDescent="0.25">
      <c r="A114" s="53" t="s">
        <v>15</v>
      </c>
      <c r="B114" s="69">
        <f t="shared" si="36"/>
        <v>0.75</v>
      </c>
      <c r="C114" s="124">
        <v>0.4</v>
      </c>
      <c r="D114" s="56">
        <v>0.4</v>
      </c>
      <c r="E114" s="326">
        <v>3</v>
      </c>
      <c r="G114" s="25">
        <v>0.2</v>
      </c>
      <c r="H114" s="56">
        <v>0.4</v>
      </c>
      <c r="I114" s="56">
        <v>0.4</v>
      </c>
      <c r="J114" s="56">
        <v>0.4</v>
      </c>
      <c r="K114" s="56">
        <v>0.4</v>
      </c>
    </row>
    <row r="115" spans="1:11" x14ac:dyDescent="0.25">
      <c r="A115" s="53" t="s">
        <v>295</v>
      </c>
      <c r="B115" s="69">
        <f t="shared" si="36"/>
        <v>8.82</v>
      </c>
      <c r="C115" s="124">
        <v>2</v>
      </c>
      <c r="D115" s="56">
        <v>2</v>
      </c>
      <c r="E115" s="326">
        <v>5</v>
      </c>
      <c r="H115" s="56">
        <v>2</v>
      </c>
      <c r="I115" s="56">
        <v>2</v>
      </c>
      <c r="J115" s="56">
        <v>2</v>
      </c>
      <c r="K115" s="56">
        <v>2</v>
      </c>
    </row>
    <row r="116" spans="1:11" x14ac:dyDescent="0.25">
      <c r="A116" s="53" t="s">
        <v>221</v>
      </c>
      <c r="B116" s="69">
        <f t="shared" si="36"/>
        <v>1.1399999999999999</v>
      </c>
      <c r="C116" s="124"/>
      <c r="D116" s="56"/>
      <c r="E116" s="326">
        <v>186</v>
      </c>
      <c r="F116" s="25">
        <v>1</v>
      </c>
      <c r="H116" s="56"/>
      <c r="I116" s="56"/>
      <c r="J116" s="56"/>
      <c r="K116" s="56"/>
    </row>
    <row r="117" spans="1:11" x14ac:dyDescent="0.25">
      <c r="A117" s="53" t="s">
        <v>29</v>
      </c>
      <c r="B117" s="69">
        <f t="shared" si="36"/>
        <v>0.04</v>
      </c>
      <c r="C117" s="124">
        <v>5</v>
      </c>
      <c r="D117" s="56">
        <v>5</v>
      </c>
      <c r="E117" s="326">
        <v>13</v>
      </c>
      <c r="H117" s="56">
        <v>5</v>
      </c>
      <c r="I117" s="56">
        <v>5</v>
      </c>
      <c r="J117" s="56">
        <v>5</v>
      </c>
      <c r="K117" s="56">
        <v>5</v>
      </c>
    </row>
    <row r="118" spans="1:11" x14ac:dyDescent="0.25">
      <c r="A118" s="53" t="s">
        <v>30</v>
      </c>
      <c r="B118" s="69">
        <f t="shared" si="36"/>
        <v>0.04</v>
      </c>
      <c r="C118" s="124">
        <v>5</v>
      </c>
      <c r="D118" s="56">
        <v>5</v>
      </c>
      <c r="E118" s="326">
        <v>14</v>
      </c>
      <c r="H118" s="56">
        <v>5</v>
      </c>
      <c r="I118" s="56">
        <v>5</v>
      </c>
      <c r="J118" s="56">
        <v>5</v>
      </c>
      <c r="K118" s="56">
        <v>5</v>
      </c>
    </row>
    <row r="119" spans="1:11" x14ac:dyDescent="0.25">
      <c r="A119" s="53" t="s">
        <v>211</v>
      </c>
      <c r="B119" s="69">
        <f t="shared" si="36"/>
        <v>5.8999999999999995</v>
      </c>
      <c r="C119" s="124"/>
      <c r="D119" s="56"/>
      <c r="H119" s="56"/>
      <c r="I119" s="56"/>
      <c r="J119" s="56"/>
      <c r="K119" s="56"/>
    </row>
    <row r="120" spans="1:11" x14ac:dyDescent="0.25">
      <c r="A120" s="53" t="s">
        <v>191</v>
      </c>
      <c r="B120" s="69">
        <f t="shared" si="36"/>
        <v>9.83</v>
      </c>
      <c r="C120" s="124"/>
      <c r="D120" s="56"/>
      <c r="H120" s="56"/>
      <c r="I120" s="56"/>
      <c r="J120" s="56"/>
      <c r="K120" s="56"/>
    </row>
    <row r="121" spans="1:11" x14ac:dyDescent="0.25">
      <c r="A121" s="53" t="s">
        <v>203</v>
      </c>
      <c r="B121" s="69">
        <f t="shared" si="36"/>
        <v>8.82</v>
      </c>
      <c r="C121" s="124"/>
      <c r="D121" s="56"/>
      <c r="H121" s="56"/>
      <c r="I121" s="56"/>
      <c r="J121" s="56"/>
      <c r="K121" s="56"/>
    </row>
    <row r="122" spans="1:11" x14ac:dyDescent="0.25">
      <c r="A122" s="53" t="s">
        <v>204</v>
      </c>
      <c r="B122" s="69">
        <f t="shared" si="36"/>
        <v>8.82</v>
      </c>
      <c r="C122" s="124"/>
      <c r="D122" s="56"/>
      <c r="H122" s="56"/>
      <c r="I122" s="56"/>
      <c r="J122" s="56"/>
      <c r="K122" s="56"/>
    </row>
    <row r="123" spans="1:11" x14ac:dyDescent="0.25">
      <c r="A123" s="53" t="s">
        <v>205</v>
      </c>
      <c r="B123" s="69">
        <f t="shared" si="36"/>
        <v>8.82</v>
      </c>
      <c r="C123" s="124"/>
      <c r="D123" s="56"/>
      <c r="H123" s="56"/>
      <c r="I123" s="56"/>
      <c r="J123" s="56"/>
      <c r="K123" s="56"/>
    </row>
    <row r="124" spans="1:11" x14ac:dyDescent="0.25">
      <c r="A124" s="53" t="s">
        <v>206</v>
      </c>
      <c r="B124" s="69">
        <f t="shared" si="36"/>
        <v>8.82</v>
      </c>
      <c r="C124" s="124"/>
      <c r="D124" s="56"/>
      <c r="H124" s="56"/>
      <c r="I124" s="56"/>
      <c r="J124" s="56"/>
      <c r="K124" s="56"/>
    </row>
    <row r="125" spans="1:11" x14ac:dyDescent="0.25">
      <c r="A125" s="60">
        <v>1510</v>
      </c>
      <c r="B125" s="69">
        <f t="shared" si="36"/>
        <v>20.680000000000003</v>
      </c>
      <c r="C125" s="125"/>
      <c r="D125" s="56"/>
      <c r="H125" s="56"/>
      <c r="I125" s="56"/>
      <c r="J125" s="56"/>
      <c r="K125" s="56"/>
    </row>
    <row r="126" spans="1:11" x14ac:dyDescent="0.25">
      <c r="A126" s="60">
        <v>1511</v>
      </c>
      <c r="B126" s="69">
        <f t="shared" si="36"/>
        <v>11</v>
      </c>
      <c r="C126" s="125"/>
      <c r="D126" s="56"/>
      <c r="H126" s="56"/>
      <c r="I126" s="56"/>
      <c r="J126" s="56"/>
      <c r="K126" s="56"/>
    </row>
    <row r="127" spans="1:11" x14ac:dyDescent="0.25">
      <c r="A127" s="53" t="s">
        <v>207</v>
      </c>
      <c r="B127" s="69">
        <f t="shared" si="36"/>
        <v>2.4499999999999997</v>
      </c>
      <c r="C127" s="125"/>
      <c r="D127" s="56"/>
      <c r="H127" s="56"/>
      <c r="I127" s="56"/>
      <c r="J127" s="56"/>
      <c r="K127" s="56"/>
    </row>
    <row r="128" spans="1:11" x14ac:dyDescent="0.25">
      <c r="A128" s="53" t="s">
        <v>208</v>
      </c>
      <c r="B128" s="69">
        <f t="shared" si="36"/>
        <v>2.6799999999999997</v>
      </c>
      <c r="C128" s="124"/>
      <c r="D128" s="56"/>
      <c r="H128" s="56"/>
      <c r="I128" s="56"/>
      <c r="J128" s="56"/>
      <c r="K128" s="56"/>
    </row>
    <row r="129" spans="1:11" x14ac:dyDescent="0.25">
      <c r="A129" s="53" t="s">
        <v>209</v>
      </c>
      <c r="B129" s="69">
        <f t="shared" si="36"/>
        <v>2.4499999999999997</v>
      </c>
      <c r="C129" s="124"/>
      <c r="D129" s="56"/>
      <c r="H129" s="56"/>
      <c r="I129" s="56"/>
      <c r="J129" s="56"/>
      <c r="K129" s="56"/>
    </row>
    <row r="130" spans="1:11" x14ac:dyDescent="0.25">
      <c r="A130" s="53">
        <v>1335</v>
      </c>
      <c r="B130" s="69">
        <f t="shared" si="36"/>
        <v>5.87</v>
      </c>
      <c r="C130" s="124"/>
      <c r="D130" s="56"/>
      <c r="H130" s="56"/>
      <c r="I130" s="56"/>
      <c r="J130" s="56"/>
      <c r="K130" s="56"/>
    </row>
    <row r="131" spans="1:11" x14ac:dyDescent="0.25">
      <c r="A131" s="53" t="s">
        <v>210</v>
      </c>
      <c r="B131" s="69">
        <f t="shared" si="36"/>
        <v>1.32</v>
      </c>
      <c r="C131" s="124"/>
      <c r="D131" s="56"/>
      <c r="H131" s="56"/>
      <c r="I131" s="56"/>
      <c r="J131" s="56"/>
      <c r="K131" s="56"/>
    </row>
    <row r="132" spans="1:11" x14ac:dyDescent="0.25">
      <c r="C132" s="120">
        <f>SUMPRODUCT($B$108:$B$131,C$108:C$131)</f>
        <v>20.557699999999997</v>
      </c>
      <c r="D132" s="120">
        <f>SUMPRODUCT($B$108:$B$131,D$108:D$131)</f>
        <v>20.557699999999997</v>
      </c>
      <c r="F132" s="120">
        <f t="shared" ref="F132:K132" si="37">SUMPRODUCT($B$108:$B$131,F$108:F$131)</f>
        <v>12.540000000000001</v>
      </c>
      <c r="G132" s="120">
        <f t="shared" si="37"/>
        <v>1.3085</v>
      </c>
      <c r="H132" s="120">
        <f t="shared" si="37"/>
        <v>20.557699999999997</v>
      </c>
      <c r="I132" s="120">
        <f t="shared" si="37"/>
        <v>20.557699999999997</v>
      </c>
      <c r="J132" s="120">
        <f t="shared" si="37"/>
        <v>20.557699999999997</v>
      </c>
      <c r="K132" s="120">
        <f t="shared" si="37"/>
        <v>20.557699999999997</v>
      </c>
    </row>
    <row r="134" spans="1:11" x14ac:dyDescent="0.25">
      <c r="A134" s="126" t="s">
        <v>33</v>
      </c>
      <c r="B134" s="127"/>
      <c r="C134" s="128">
        <f>+C132</f>
        <v>20.557699999999997</v>
      </c>
      <c r="D134" s="128">
        <f>+D132</f>
        <v>20.557699999999997</v>
      </c>
      <c r="E134" s="332"/>
      <c r="F134" s="128">
        <f>+F132+B108</f>
        <v>48.43</v>
      </c>
      <c r="G134" s="128">
        <f t="shared" ref="G134:K134" si="38">+G132</f>
        <v>1.3085</v>
      </c>
      <c r="H134" s="128">
        <f t="shared" si="38"/>
        <v>20.557699999999997</v>
      </c>
      <c r="I134" s="128">
        <f t="shared" si="38"/>
        <v>20.557699999999997</v>
      </c>
      <c r="J134" s="128">
        <f t="shared" si="38"/>
        <v>20.557699999999997</v>
      </c>
      <c r="K134" s="128">
        <f t="shared" si="38"/>
        <v>20.557699999999997</v>
      </c>
    </row>
    <row r="135" spans="1:11" x14ac:dyDescent="0.25">
      <c r="A135" s="126" t="s">
        <v>40</v>
      </c>
      <c r="B135" s="127"/>
      <c r="C135" s="128">
        <f t="shared" ref="C135:D137" si="39">+C134</f>
        <v>20.557699999999997</v>
      </c>
      <c r="D135" s="128">
        <f t="shared" si="39"/>
        <v>20.557699999999997</v>
      </c>
      <c r="E135" s="332"/>
      <c r="F135" s="128">
        <f>+F132+B109</f>
        <v>59.199999999999996</v>
      </c>
      <c r="G135" s="128">
        <f>+G134</f>
        <v>1.3085</v>
      </c>
      <c r="H135" s="128">
        <f t="shared" ref="H135:K135" si="40">+H134</f>
        <v>20.557699999999997</v>
      </c>
      <c r="I135" s="128">
        <f t="shared" si="40"/>
        <v>20.557699999999997</v>
      </c>
      <c r="J135" s="128">
        <f t="shared" si="40"/>
        <v>20.557699999999997</v>
      </c>
      <c r="K135" s="128">
        <f t="shared" si="40"/>
        <v>20.557699999999997</v>
      </c>
    </row>
    <row r="136" spans="1:11" x14ac:dyDescent="0.25">
      <c r="A136" s="126" t="s">
        <v>36</v>
      </c>
      <c r="B136" s="127"/>
      <c r="C136" s="128">
        <f t="shared" si="39"/>
        <v>20.557699999999997</v>
      </c>
      <c r="D136" s="128">
        <f t="shared" si="39"/>
        <v>20.557699999999997</v>
      </c>
      <c r="E136" s="332"/>
      <c r="F136" s="128">
        <f>+F132+B110</f>
        <v>47.239999999999995</v>
      </c>
      <c r="G136" s="128">
        <f>+G135</f>
        <v>1.3085</v>
      </c>
      <c r="H136" s="128">
        <f t="shared" ref="H136:K136" si="41">+H135</f>
        <v>20.557699999999997</v>
      </c>
      <c r="I136" s="128">
        <f t="shared" si="41"/>
        <v>20.557699999999997</v>
      </c>
      <c r="J136" s="128">
        <f t="shared" si="41"/>
        <v>20.557699999999997</v>
      </c>
      <c r="K136" s="128">
        <f t="shared" si="41"/>
        <v>20.557699999999997</v>
      </c>
    </row>
    <row r="137" spans="1:11" x14ac:dyDescent="0.25">
      <c r="A137" s="126" t="s">
        <v>41</v>
      </c>
      <c r="B137" s="127"/>
      <c r="C137" s="128">
        <f t="shared" si="39"/>
        <v>20.557699999999997</v>
      </c>
      <c r="D137" s="128">
        <f t="shared" si="39"/>
        <v>20.557699999999997</v>
      </c>
      <c r="E137" s="332"/>
      <c r="F137" s="128">
        <f>+F132+B111</f>
        <v>58</v>
      </c>
      <c r="G137" s="128">
        <f>+G136</f>
        <v>1.3085</v>
      </c>
      <c r="H137" s="128">
        <f t="shared" ref="H137:K137" si="42">+H136</f>
        <v>20.557699999999997</v>
      </c>
      <c r="I137" s="128">
        <f t="shared" si="42"/>
        <v>20.557699999999997</v>
      </c>
      <c r="J137" s="128">
        <f t="shared" si="42"/>
        <v>20.557699999999997</v>
      </c>
      <c r="K137" s="128">
        <f t="shared" si="42"/>
        <v>20.557699999999997</v>
      </c>
    </row>
  </sheetData>
  <mergeCells count="4">
    <mergeCell ref="F2:G2"/>
    <mergeCell ref="A3:C3"/>
    <mergeCell ref="A2:C2"/>
    <mergeCell ref="F1:G1"/>
  </mergeCells>
  <phoneticPr fontId="0" type="noConversion"/>
  <pageMargins left="1.43" right="0.75" top="0.44" bottom="0.73" header="0" footer="0"/>
  <pageSetup scale="95" orientation="portrait" horizontalDpi="18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110"/>
  <sheetViews>
    <sheetView topLeftCell="A6" zoomScale="75" zoomScaleNormal="75" zoomScalePageLayoutView="90" workbookViewId="0">
      <selection activeCell="D9" sqref="D9"/>
    </sheetView>
  </sheetViews>
  <sheetFormatPr baseColWidth="10" defaultColWidth="11.44140625" defaultRowHeight="13.2" x14ac:dyDescent="0.25"/>
  <cols>
    <col min="1" max="1" width="30.88671875" style="25" customWidth="1"/>
    <col min="2" max="2" width="7.88671875" style="25" customWidth="1"/>
    <col min="3" max="3" width="8.88671875" style="25" customWidth="1"/>
    <col min="4" max="5" width="9.44140625" style="25" customWidth="1"/>
    <col min="6" max="6" width="5.5546875" style="64" customWidth="1"/>
    <col min="7" max="7" width="16.44140625" style="25" customWidth="1"/>
    <col min="8" max="8" width="9.88671875" style="25" customWidth="1"/>
    <col min="9" max="12" width="9.44140625" style="25" customWidth="1"/>
    <col min="13" max="16384" width="11.44140625" style="25"/>
  </cols>
  <sheetData>
    <row r="1" spans="1:12" ht="70.5" customHeight="1" thickBot="1" x14ac:dyDescent="0.4">
      <c r="A1" s="75"/>
      <c r="B1" s="76"/>
      <c r="C1" s="76"/>
    </row>
    <row r="2" spans="1:12" ht="18.600000000000001" x14ac:dyDescent="0.4">
      <c r="A2" s="399" t="s">
        <v>201</v>
      </c>
      <c r="B2" s="400"/>
      <c r="C2" s="401"/>
      <c r="D2" s="78" t="str">
        <f>IF(D8=1,"PC2H","VC2H")</f>
        <v>VC2H</v>
      </c>
      <c r="E2" s="78" t="str">
        <f>IF(E8=1,"PC4H","VC4H")</f>
        <v>VC4H</v>
      </c>
      <c r="F2" s="79"/>
      <c r="G2" s="386" t="s">
        <v>159</v>
      </c>
      <c r="H2" s="387"/>
      <c r="I2" s="78" t="s">
        <v>598</v>
      </c>
      <c r="J2" s="78" t="s">
        <v>598</v>
      </c>
      <c r="K2" s="78" t="s">
        <v>599</v>
      </c>
      <c r="L2" s="78" t="s">
        <v>599</v>
      </c>
    </row>
    <row r="3" spans="1:12" s="84" customFormat="1" ht="45" customHeight="1" x14ac:dyDescent="0.25">
      <c r="A3" s="396" t="s">
        <v>256</v>
      </c>
      <c r="B3" s="397"/>
      <c r="C3" s="398"/>
      <c r="D3" s="80" t="str">
        <f>IF(D10=8,"8 mm.","10 mm.")</f>
        <v>10 mm.</v>
      </c>
      <c r="E3" s="80" t="str">
        <f>IF(E10=8,"8 mm.","10 mm.")</f>
        <v>10 mm.</v>
      </c>
      <c r="F3" s="81"/>
      <c r="G3" s="82"/>
      <c r="H3" s="83"/>
      <c r="I3" s="80" t="str">
        <f t="shared" ref="I3:L3" si="0">IF(I10=8,"8 mm.","10 mm.")</f>
        <v>10 mm.</v>
      </c>
      <c r="J3" s="80" t="str">
        <f t="shared" si="0"/>
        <v>10 mm.</v>
      </c>
      <c r="K3" s="80" t="str">
        <f t="shared" si="0"/>
        <v>10 mm.</v>
      </c>
      <c r="L3" s="80" t="str">
        <f t="shared" si="0"/>
        <v>10 mm.</v>
      </c>
    </row>
    <row r="4" spans="1:12" s="85" customFormat="1" ht="13.8" thickBot="1" x14ac:dyDescent="0.3">
      <c r="A4" s="85" t="s">
        <v>160</v>
      </c>
      <c r="C4" s="86"/>
      <c r="D4" s="87" t="str">
        <f>IF(D9=1,"INCOLORO","COLOR")</f>
        <v>INCOLORO</v>
      </c>
      <c r="E4" s="87" t="str">
        <f>IF(E9=1,"INCOLORO","COLOR")</f>
        <v>INCOLORO</v>
      </c>
      <c r="F4" s="88"/>
      <c r="G4" s="89"/>
      <c r="H4" s="90"/>
      <c r="I4" s="87" t="str">
        <f t="shared" ref="I4:L4" si="1">IF(I9=1,"INCOLORO","COLOR")</f>
        <v>INCOLORO</v>
      </c>
      <c r="J4" s="87" t="str">
        <f t="shared" si="1"/>
        <v>INCOLORO</v>
      </c>
      <c r="K4" s="87" t="str">
        <f t="shared" si="1"/>
        <v>INCOLORO</v>
      </c>
      <c r="L4" s="87" t="str">
        <f t="shared" si="1"/>
        <v>INCOLORO</v>
      </c>
    </row>
    <row r="5" spans="1:12" ht="15.6" x14ac:dyDescent="0.3">
      <c r="A5" s="91" t="s">
        <v>161</v>
      </c>
      <c r="B5" s="92"/>
      <c r="C5" s="107"/>
      <c r="D5" s="28">
        <v>2</v>
      </c>
      <c r="E5" s="28">
        <v>3.5</v>
      </c>
      <c r="F5" s="94"/>
      <c r="G5" s="95"/>
      <c r="H5" s="96"/>
      <c r="I5" s="108">
        <v>5.8</v>
      </c>
      <c r="J5" s="28">
        <v>5.3</v>
      </c>
      <c r="K5" s="108">
        <v>4.0999999999999996</v>
      </c>
      <c r="L5" s="108">
        <v>4.0999999999999996</v>
      </c>
    </row>
    <row r="6" spans="1:12" ht="15.6" x14ac:dyDescent="0.3">
      <c r="A6" s="97" t="s">
        <v>162</v>
      </c>
      <c r="B6" s="98"/>
      <c r="C6" s="109"/>
      <c r="D6" s="28">
        <v>2.1</v>
      </c>
      <c r="E6" s="28">
        <v>2.2999999999999998</v>
      </c>
      <c r="F6" s="94"/>
      <c r="G6" s="95"/>
      <c r="H6" s="96"/>
      <c r="I6" s="108">
        <v>2.2000000000000002</v>
      </c>
      <c r="J6" s="28">
        <v>2.2000000000000002</v>
      </c>
      <c r="K6" s="108">
        <v>2.2000000000000002</v>
      </c>
      <c r="L6" s="108">
        <v>2.2000000000000002</v>
      </c>
    </row>
    <row r="7" spans="1:12" ht="15.6" x14ac:dyDescent="0.3">
      <c r="A7" s="97" t="s">
        <v>163</v>
      </c>
      <c r="B7" s="98"/>
      <c r="C7" s="109"/>
      <c r="D7" s="28">
        <v>1</v>
      </c>
      <c r="E7" s="28">
        <v>1</v>
      </c>
      <c r="F7" s="94"/>
      <c r="G7" s="23">
        <f>SUM(I7:IF7)</f>
        <v>4</v>
      </c>
      <c r="H7" s="24" t="s">
        <v>213</v>
      </c>
      <c r="I7" s="28">
        <v>1</v>
      </c>
      <c r="J7" s="28">
        <v>1</v>
      </c>
      <c r="K7" s="28">
        <v>1</v>
      </c>
      <c r="L7" s="28">
        <v>1</v>
      </c>
    </row>
    <row r="8" spans="1:12" ht="15.6" x14ac:dyDescent="0.3">
      <c r="A8" s="100" t="s">
        <v>202</v>
      </c>
      <c r="B8" s="98"/>
      <c r="C8" s="109"/>
      <c r="D8" s="28">
        <v>2</v>
      </c>
      <c r="E8" s="28">
        <v>2</v>
      </c>
      <c r="F8" s="94"/>
      <c r="G8" s="23"/>
      <c r="H8" s="24"/>
      <c r="I8" s="28">
        <v>1</v>
      </c>
      <c r="J8" s="28">
        <v>1</v>
      </c>
      <c r="K8" s="28">
        <v>1</v>
      </c>
      <c r="L8" s="28">
        <v>1</v>
      </c>
    </row>
    <row r="9" spans="1:12" ht="15.6" x14ac:dyDescent="0.3">
      <c r="A9" s="100" t="s">
        <v>179</v>
      </c>
      <c r="B9" s="98"/>
      <c r="C9" s="109"/>
      <c r="D9" s="28">
        <v>1</v>
      </c>
      <c r="E9" s="28">
        <v>1</v>
      </c>
      <c r="F9" s="94"/>
      <c r="G9" s="23"/>
      <c r="H9" s="24"/>
      <c r="I9" s="28">
        <v>1</v>
      </c>
      <c r="J9" s="28">
        <v>1</v>
      </c>
      <c r="K9" s="28">
        <v>1</v>
      </c>
      <c r="L9" s="28">
        <v>1</v>
      </c>
    </row>
    <row r="10" spans="1:12" ht="16.2" thickBot="1" x14ac:dyDescent="0.35">
      <c r="A10" s="101" t="s">
        <v>200</v>
      </c>
      <c r="B10" s="102"/>
      <c r="C10" s="110"/>
      <c r="D10" s="28">
        <v>10</v>
      </c>
      <c r="E10" s="28">
        <v>10</v>
      </c>
      <c r="F10" s="94"/>
      <c r="G10" s="23"/>
      <c r="H10" s="24"/>
      <c r="I10" s="28">
        <v>10</v>
      </c>
      <c r="J10" s="28">
        <v>10</v>
      </c>
      <c r="K10" s="28">
        <v>10</v>
      </c>
      <c r="L10" s="28">
        <v>10</v>
      </c>
    </row>
    <row r="11" spans="1:12" ht="15.6" x14ac:dyDescent="0.3">
      <c r="A11" s="105" t="s">
        <v>164</v>
      </c>
      <c r="B11" s="41"/>
      <c r="C11" s="106" t="s">
        <v>212</v>
      </c>
      <c r="D11" s="21">
        <f>+D57</f>
        <v>271.85392533333334</v>
      </c>
      <c r="E11" s="21">
        <f>+E57</f>
        <v>510.50703399999998</v>
      </c>
      <c r="F11" s="22"/>
      <c r="G11" s="23">
        <f>SUM(I11:IF11)</f>
        <v>2473.4415119999999</v>
      </c>
      <c r="H11" s="24" t="s">
        <v>165</v>
      </c>
      <c r="I11" s="21">
        <f t="shared" ref="I11:L11" si="2">+I57</f>
        <v>735.79513599999996</v>
      </c>
      <c r="J11" s="21">
        <f t="shared" si="2"/>
        <v>661.4919706666667</v>
      </c>
      <c r="K11" s="21">
        <f t="shared" si="2"/>
        <v>538.07720266666661</v>
      </c>
      <c r="L11" s="21">
        <f t="shared" si="2"/>
        <v>538.07720266666661</v>
      </c>
    </row>
    <row r="12" spans="1:12" ht="15.6" x14ac:dyDescent="0.3">
      <c r="A12" s="26" t="s">
        <v>166</v>
      </c>
      <c r="B12" s="20"/>
      <c r="C12" s="27"/>
      <c r="D12" s="28">
        <f>+D5*D6*D$7</f>
        <v>4.2</v>
      </c>
      <c r="E12" s="108">
        <f>+E5*E6*E$7</f>
        <v>8.0499999999999989</v>
      </c>
      <c r="F12" s="29"/>
      <c r="G12" s="23">
        <f>SUM(I12:IF12)</f>
        <v>42.459999999999994</v>
      </c>
      <c r="H12" s="24" t="s">
        <v>34</v>
      </c>
      <c r="I12" s="108">
        <f t="shared" ref="I12:L12" si="3">+I5*I6*I$7</f>
        <v>12.76</v>
      </c>
      <c r="J12" s="28">
        <f t="shared" si="3"/>
        <v>11.66</v>
      </c>
      <c r="K12" s="108">
        <f t="shared" si="3"/>
        <v>9.02</v>
      </c>
      <c r="L12" s="108">
        <f t="shared" si="3"/>
        <v>9.02</v>
      </c>
    </row>
    <row r="13" spans="1:12" ht="15.6" x14ac:dyDescent="0.3">
      <c r="A13" s="26" t="s">
        <v>167</v>
      </c>
      <c r="B13" s="20"/>
      <c r="C13" s="27"/>
      <c r="D13" s="21">
        <f>+D11/D12</f>
        <v>64.727125079365081</v>
      </c>
      <c r="E13" s="111">
        <f>+E11/E12</f>
        <v>63.417022857142861</v>
      </c>
      <c r="F13" s="22"/>
      <c r="G13" s="23">
        <f>+G11/G12</f>
        <v>58.253450588789455</v>
      </c>
      <c r="H13" s="24" t="s">
        <v>168</v>
      </c>
      <c r="I13" s="111">
        <f t="shared" ref="I13:L13" si="4">+I11/I12</f>
        <v>57.664195611285265</v>
      </c>
      <c r="J13" s="21">
        <f t="shared" si="4"/>
        <v>56.731729902801604</v>
      </c>
      <c r="K13" s="111">
        <f t="shared" si="4"/>
        <v>59.653791869918699</v>
      </c>
      <c r="L13" s="111">
        <f t="shared" si="4"/>
        <v>59.653791869918699</v>
      </c>
    </row>
    <row r="14" spans="1:12" ht="15.6" x14ac:dyDescent="0.3">
      <c r="A14" s="26" t="s">
        <v>169</v>
      </c>
      <c r="B14" s="20"/>
      <c r="C14" s="27"/>
      <c r="D14" s="21">
        <f>+D84</f>
        <v>293.01348533333339</v>
      </c>
      <c r="E14" s="21">
        <f>+E84</f>
        <v>525.71551399999998</v>
      </c>
      <c r="F14" s="22"/>
      <c r="G14" s="23">
        <f>SUM(I14:IF14)</f>
        <v>2415.874112</v>
      </c>
      <c r="H14" s="24" t="s">
        <v>165</v>
      </c>
      <c r="I14" s="21">
        <f t="shared" ref="I14:L14" si="5">+I84</f>
        <v>708.73953599999993</v>
      </c>
      <c r="J14" s="21">
        <f t="shared" si="5"/>
        <v>670.23337066666681</v>
      </c>
      <c r="K14" s="21">
        <f t="shared" si="5"/>
        <v>518.45060266666655</v>
      </c>
      <c r="L14" s="21">
        <f t="shared" si="5"/>
        <v>518.45060266666655</v>
      </c>
    </row>
    <row r="15" spans="1:12" ht="15.6" x14ac:dyDescent="0.3">
      <c r="A15" s="26" t="s">
        <v>170</v>
      </c>
      <c r="B15" s="20"/>
      <c r="C15" s="27"/>
      <c r="D15" s="21">
        <f>+D14/D12</f>
        <v>69.765115555555568</v>
      </c>
      <c r="E15" s="111">
        <f>+E14/E12</f>
        <v>65.306275031055904</v>
      </c>
      <c r="F15" s="22"/>
      <c r="G15" s="23">
        <f>+G14/G12</f>
        <v>56.897647479981167</v>
      </c>
      <c r="H15" s="24" t="s">
        <v>168</v>
      </c>
      <c r="I15" s="111">
        <f t="shared" ref="I15:L15" si="6">+I14/I12</f>
        <v>55.543850783699057</v>
      </c>
      <c r="J15" s="21">
        <f t="shared" si="6"/>
        <v>57.481421154945693</v>
      </c>
      <c r="K15" s="111">
        <f t="shared" si="6"/>
        <v>57.477893865484099</v>
      </c>
      <c r="L15" s="111">
        <f t="shared" si="6"/>
        <v>57.477893865484099</v>
      </c>
    </row>
    <row r="16" spans="1:12" ht="15.6" x14ac:dyDescent="0.3">
      <c r="A16" s="259" t="s">
        <v>353</v>
      </c>
      <c r="B16" s="260"/>
      <c r="C16" s="261"/>
      <c r="D16" s="262">
        <f>0.9*SUM(D58:D61)</f>
        <v>139.05580500000002</v>
      </c>
      <c r="E16" s="262">
        <f>0.9*SUM(E58:E61)</f>
        <v>263.73766499999999</v>
      </c>
      <c r="F16" s="22"/>
      <c r="G16" s="293">
        <f t="shared" ref="G16:G25" si="7">SUM(I16:IF16)</f>
        <v>1385.7129</v>
      </c>
      <c r="H16" s="294" t="s">
        <v>357</v>
      </c>
      <c r="I16" s="262">
        <f t="shared" ref="I16:L16" si="8">0.9*SUM(I58:I61)</f>
        <v>415.71386999999999</v>
      </c>
      <c r="J16" s="262">
        <f t="shared" si="8"/>
        <v>380.18277</v>
      </c>
      <c r="K16" s="262">
        <f t="shared" si="8"/>
        <v>294.90812999999997</v>
      </c>
      <c r="L16" s="262">
        <f t="shared" si="8"/>
        <v>294.90812999999997</v>
      </c>
    </row>
    <row r="17" spans="1:12" ht="15.6" x14ac:dyDescent="0.3">
      <c r="A17" s="259" t="s">
        <v>354</v>
      </c>
      <c r="B17" s="260"/>
      <c r="C17" s="261"/>
      <c r="D17" s="262">
        <f>0.9*SUM(D63:D81)</f>
        <v>62.520727799999996</v>
      </c>
      <c r="E17" s="262">
        <f>0.9*SUM(E63:E81)</f>
        <v>113.1256656</v>
      </c>
      <c r="F17" s="22"/>
      <c r="G17" s="293">
        <f t="shared" si="7"/>
        <v>404.74486080000003</v>
      </c>
      <c r="H17" s="294" t="s">
        <v>357</v>
      </c>
      <c r="I17" s="262">
        <f t="shared" ref="I17:L17" si="9">0.9*SUM(I63:I81)</f>
        <v>115.58415240000001</v>
      </c>
      <c r="J17" s="262">
        <f t="shared" si="9"/>
        <v>95.528403600000004</v>
      </c>
      <c r="K17" s="262">
        <f t="shared" si="9"/>
        <v>96.816152400000007</v>
      </c>
      <c r="L17" s="262">
        <f t="shared" si="9"/>
        <v>96.816152400000007</v>
      </c>
    </row>
    <row r="18" spans="1:12" ht="15.6" x14ac:dyDescent="0.3">
      <c r="A18" s="259" t="s">
        <v>182</v>
      </c>
      <c r="B18" s="260"/>
      <c r="C18" s="261"/>
      <c r="D18" s="262">
        <f>+D62*0.9</f>
        <v>43.092000000000006</v>
      </c>
      <c r="E18" s="262">
        <f>+E62*0.9</f>
        <v>82.593000000000004</v>
      </c>
      <c r="F18" s="22"/>
      <c r="G18" s="293">
        <f t="shared" si="7"/>
        <v>435.63960000000003</v>
      </c>
      <c r="H18" s="294" t="s">
        <v>357</v>
      </c>
      <c r="I18" s="262">
        <f t="shared" ref="I18:L18" si="10">+I62*0.9</f>
        <v>130.91759999999999</v>
      </c>
      <c r="J18" s="262">
        <f t="shared" si="10"/>
        <v>119.63160000000001</v>
      </c>
      <c r="K18" s="262">
        <f t="shared" si="10"/>
        <v>92.545200000000008</v>
      </c>
      <c r="L18" s="262">
        <f t="shared" si="10"/>
        <v>92.545200000000008</v>
      </c>
    </row>
    <row r="19" spans="1:12" ht="15.6" x14ac:dyDescent="0.3">
      <c r="A19" s="259" t="s">
        <v>355</v>
      </c>
      <c r="B19" s="260"/>
      <c r="C19" s="261"/>
      <c r="D19" s="262">
        <f>+D11-SUM(D16:D18)</f>
        <v>27.1853925333333</v>
      </c>
      <c r="E19" s="262">
        <f>+E11-SUM(E16:E18)</f>
        <v>51.050703399999975</v>
      </c>
      <c r="F19" s="22"/>
      <c r="G19" s="293">
        <f t="shared" si="7"/>
        <v>247.34415119999983</v>
      </c>
      <c r="H19" s="294" t="s">
        <v>357</v>
      </c>
      <c r="I19" s="262">
        <f t="shared" ref="I19:L19" si="11">+I11-SUM(I16:I18)</f>
        <v>73.579513599999927</v>
      </c>
      <c r="J19" s="262">
        <f t="shared" si="11"/>
        <v>66.149197066666716</v>
      </c>
      <c r="K19" s="262">
        <f t="shared" si="11"/>
        <v>53.807720266666593</v>
      </c>
      <c r="L19" s="262">
        <f t="shared" si="11"/>
        <v>53.807720266666593</v>
      </c>
    </row>
    <row r="20" spans="1:12" ht="15.6" x14ac:dyDescent="0.3">
      <c r="A20" s="281" t="s">
        <v>356</v>
      </c>
      <c r="B20" s="282"/>
      <c r="C20" s="283"/>
      <c r="D20" s="284">
        <f>SUM(D16:D19)</f>
        <v>271.85392533333334</v>
      </c>
      <c r="E20" s="284">
        <f>SUM(E16:E19)</f>
        <v>510.50703399999998</v>
      </c>
      <c r="F20" s="22"/>
      <c r="G20" s="295">
        <f t="shared" si="7"/>
        <v>2473.4415119999999</v>
      </c>
      <c r="H20" s="296" t="s">
        <v>357</v>
      </c>
      <c r="I20" s="284">
        <f t="shared" ref="I20:L20" si="12">SUM(I16:I19)</f>
        <v>735.79513599999996</v>
      </c>
      <c r="J20" s="284">
        <f t="shared" si="12"/>
        <v>661.4919706666667</v>
      </c>
      <c r="K20" s="284">
        <f t="shared" si="12"/>
        <v>538.07720266666661</v>
      </c>
      <c r="L20" s="284">
        <f t="shared" si="12"/>
        <v>538.07720266666661</v>
      </c>
    </row>
    <row r="21" spans="1:12" ht="15.6" x14ac:dyDescent="0.3">
      <c r="A21" s="303" t="s">
        <v>362</v>
      </c>
      <c r="B21" s="304"/>
      <c r="C21" s="305"/>
      <c r="D21" s="306">
        <f t="shared" ref="D21:E24" si="13">+D16/D$12</f>
        <v>33.108525</v>
      </c>
      <c r="E21" s="306">
        <f t="shared" si="13"/>
        <v>32.762442857142858</v>
      </c>
      <c r="F21" s="22"/>
      <c r="G21" s="293">
        <f t="shared" si="7"/>
        <v>79.507726415094325</v>
      </c>
      <c r="H21" s="294" t="s">
        <v>357</v>
      </c>
      <c r="I21" s="262">
        <f>0.9*SUM(I63:I66)</f>
        <v>18.741599999999998</v>
      </c>
      <c r="J21" s="306">
        <f t="shared" ref="J21" si="14">+J16/J$12</f>
        <v>32.605726415094338</v>
      </c>
      <c r="K21" s="262">
        <f t="shared" ref="K21:L21" si="15">0.9*SUM(K63:K66)</f>
        <v>14.080199999999996</v>
      </c>
      <c r="L21" s="262">
        <f t="shared" si="15"/>
        <v>14.080199999999996</v>
      </c>
    </row>
    <row r="22" spans="1:12" ht="15.6" x14ac:dyDescent="0.3">
      <c r="A22" s="303" t="s">
        <v>363</v>
      </c>
      <c r="B22" s="304"/>
      <c r="C22" s="305"/>
      <c r="D22" s="306">
        <f t="shared" si="13"/>
        <v>14.885887571428571</v>
      </c>
      <c r="E22" s="306">
        <f t="shared" si="13"/>
        <v>14.052877714285717</v>
      </c>
      <c r="F22" s="22"/>
      <c r="G22" s="293">
        <f t="shared" si="7"/>
        <v>2808.665004897427</v>
      </c>
      <c r="H22" s="294" t="s">
        <v>357</v>
      </c>
      <c r="I22" s="262">
        <f>0.9*SUM(I68:I86)</f>
        <v>1134.6190848000001</v>
      </c>
      <c r="J22" s="306">
        <f t="shared" ref="J22" si="16">+J17/J$12</f>
        <v>8.1928304974271011</v>
      </c>
      <c r="K22" s="262">
        <f t="shared" ref="K22:L22" si="17">0.9*SUM(K68:K86)</f>
        <v>832.92654479999987</v>
      </c>
      <c r="L22" s="262">
        <f t="shared" si="17"/>
        <v>832.92654479999987</v>
      </c>
    </row>
    <row r="23" spans="1:12" ht="15.6" x14ac:dyDescent="0.3">
      <c r="A23" s="303" t="s">
        <v>364</v>
      </c>
      <c r="B23" s="304"/>
      <c r="C23" s="305"/>
      <c r="D23" s="306">
        <f t="shared" si="13"/>
        <v>10.260000000000002</v>
      </c>
      <c r="E23" s="306">
        <f t="shared" si="13"/>
        <v>10.260000000000002</v>
      </c>
      <c r="F23" s="22"/>
      <c r="G23" s="293">
        <f t="shared" si="7"/>
        <v>13.968</v>
      </c>
      <c r="H23" s="294" t="s">
        <v>357</v>
      </c>
      <c r="I23" s="262">
        <f>+I67*0.9</f>
        <v>1.4400000000000002</v>
      </c>
      <c r="J23" s="306">
        <f t="shared" ref="J23" si="18">+J18/J$12</f>
        <v>10.26</v>
      </c>
      <c r="K23" s="262">
        <f t="shared" ref="K23:L23" si="19">+K67*0.9</f>
        <v>1.1339999999999999</v>
      </c>
      <c r="L23" s="262">
        <f t="shared" si="19"/>
        <v>1.1339999999999999</v>
      </c>
    </row>
    <row r="24" spans="1:12" ht="15.6" x14ac:dyDescent="0.3">
      <c r="A24" s="303" t="s">
        <v>365</v>
      </c>
      <c r="B24" s="304"/>
      <c r="C24" s="305"/>
      <c r="D24" s="306">
        <f t="shared" si="13"/>
        <v>6.4727125079364995</v>
      </c>
      <c r="E24" s="306">
        <f t="shared" si="13"/>
        <v>6.3417022857142831</v>
      </c>
      <c r="F24" s="22"/>
      <c r="G24" s="293">
        <f t="shared" si="7"/>
        <v>-1839.87887140972</v>
      </c>
      <c r="H24" s="294" t="s">
        <v>357</v>
      </c>
      <c r="I24" s="262">
        <f>+I16-SUM(I21:I23)</f>
        <v>-739.08681480000018</v>
      </c>
      <c r="J24" s="306">
        <f t="shared" ref="J24" si="20">+J19/J$12</f>
        <v>5.6731729902801646</v>
      </c>
      <c r="K24" s="262">
        <f t="shared" ref="K24:L24" si="21">+K16-SUM(K21:K23)</f>
        <v>-553.23261479999996</v>
      </c>
      <c r="L24" s="262">
        <f t="shared" si="21"/>
        <v>-553.23261479999996</v>
      </c>
    </row>
    <row r="25" spans="1:12" ht="15.6" x14ac:dyDescent="0.3">
      <c r="A25" s="281" t="s">
        <v>356</v>
      </c>
      <c r="B25" s="282"/>
      <c r="C25" s="283"/>
      <c r="D25" s="284">
        <f>SUM(D21:D24)</f>
        <v>64.727125079365067</v>
      </c>
      <c r="E25" s="284">
        <f>SUM(E21:E24)</f>
        <v>63.417022857142861</v>
      </c>
      <c r="F25" s="22"/>
      <c r="G25" s="295">
        <f t="shared" si="7"/>
        <v>1062.2618599028015</v>
      </c>
      <c r="H25" s="296" t="s">
        <v>357</v>
      </c>
      <c r="I25" s="284">
        <f t="shared" ref="I25:L25" si="22">SUM(I21:I24)</f>
        <v>415.71387000000004</v>
      </c>
      <c r="J25" s="284">
        <f t="shared" si="22"/>
        <v>56.731729902801604</v>
      </c>
      <c r="K25" s="284">
        <f t="shared" si="22"/>
        <v>294.90812999999991</v>
      </c>
      <c r="L25" s="284">
        <f t="shared" si="22"/>
        <v>294.90812999999991</v>
      </c>
    </row>
    <row r="26" spans="1:12" ht="15.6" x14ac:dyDescent="0.3">
      <c r="A26" s="30" t="s">
        <v>171</v>
      </c>
      <c r="B26" s="31"/>
      <c r="C26" s="32"/>
      <c r="D26" s="33">
        <f>+(D11-D14)/D11</f>
        <v>-7.783430007146408E-2</v>
      </c>
      <c r="E26" s="112">
        <f>+(E11-E14)/E11</f>
        <v>-2.9790931342975401E-2</v>
      </c>
      <c r="F26" s="34"/>
      <c r="G26" s="35">
        <f>ROUNDDOWN(+(G11-G14)/G11,2)</f>
        <v>0.02</v>
      </c>
      <c r="H26" s="36"/>
      <c r="I26" s="112">
        <f t="shared" ref="I26:L26" si="23">+(I11-I14)/I11</f>
        <v>3.6770561092700708E-2</v>
      </c>
      <c r="J26" s="33">
        <f t="shared" si="23"/>
        <v>-1.3214672872280415E-2</v>
      </c>
      <c r="K26" s="112">
        <f t="shared" si="23"/>
        <v>3.6475434942666647E-2</v>
      </c>
      <c r="L26" s="112">
        <f t="shared" si="23"/>
        <v>3.6475434942666647E-2</v>
      </c>
    </row>
    <row r="27" spans="1:12" ht="15.6" x14ac:dyDescent="0.3">
      <c r="A27" s="37"/>
      <c r="B27" s="31"/>
      <c r="C27" s="38"/>
      <c r="D27" s="39"/>
      <c r="E27" s="39"/>
      <c r="F27" s="40"/>
      <c r="G27" s="116">
        <f>+G11+'Pano Fijo'!F12+('Costo M.P.yMat.'!L15*4)</f>
        <v>4973.4232119999997</v>
      </c>
      <c r="H27" s="39"/>
      <c r="I27" s="39"/>
      <c r="J27" s="39"/>
      <c r="K27" s="39"/>
      <c r="L27" s="39"/>
    </row>
    <row r="28" spans="1:12" x14ac:dyDescent="0.25">
      <c r="A28" s="41" t="s">
        <v>172</v>
      </c>
      <c r="B28" s="42"/>
      <c r="C28" s="43"/>
      <c r="D28" s="44"/>
      <c r="E28" s="44"/>
      <c r="F28" s="45"/>
      <c r="G28" s="42"/>
      <c r="H28" s="42"/>
      <c r="I28" s="44"/>
      <c r="J28" s="44"/>
      <c r="K28" s="44"/>
      <c r="L28" s="44"/>
    </row>
    <row r="29" spans="1:12" x14ac:dyDescent="0.25">
      <c r="A29" s="46" t="s">
        <v>173</v>
      </c>
      <c r="B29" s="47"/>
      <c r="C29" s="48" t="s">
        <v>2</v>
      </c>
      <c r="D29" s="49" t="str">
        <f>+D2</f>
        <v>VC2H</v>
      </c>
      <c r="E29" s="49" t="str">
        <f>+E2</f>
        <v>VC4H</v>
      </c>
      <c r="F29" s="50"/>
      <c r="G29" s="51" t="s">
        <v>174</v>
      </c>
      <c r="H29" s="52" t="s">
        <v>2</v>
      </c>
      <c r="I29" s="49" t="str">
        <f t="shared" ref="I29:L29" si="24">+I2</f>
        <v>piso1</v>
      </c>
      <c r="J29" s="49" t="str">
        <f t="shared" si="24"/>
        <v>piso1</v>
      </c>
      <c r="K29" s="49" t="str">
        <f t="shared" si="24"/>
        <v>piso12</v>
      </c>
      <c r="L29" s="49" t="str">
        <f t="shared" si="24"/>
        <v>piso12</v>
      </c>
    </row>
    <row r="30" spans="1:12" ht="15.6" x14ac:dyDescent="0.3">
      <c r="A30" s="53" t="s">
        <v>33</v>
      </c>
      <c r="B30" s="54"/>
      <c r="C30" s="55" t="s">
        <v>34</v>
      </c>
      <c r="D30" s="56">
        <f>IF(D$9=1,IF(D$10=10,((D$6*0.05)+(D$5*D$6))*D$7,0),0)</f>
        <v>4.3050000000000006</v>
      </c>
      <c r="E30" s="56">
        <f>IF(E$9=1,IF(E$10=10,((E$6*0.05)+(E$5*E$6))*E$7,0),0)</f>
        <v>8.1649999999999991</v>
      </c>
      <c r="F30" s="326">
        <v>17</v>
      </c>
      <c r="G30" s="58">
        <f t="shared" ref="G30:G36" si="25">ROUNDUP(SUM(I30:IF30),1)</f>
        <v>42.9</v>
      </c>
      <c r="H30" s="59" t="s">
        <v>34</v>
      </c>
      <c r="I30" s="56">
        <f t="shared" ref="I30:L30" si="26">IF(I$9=1,IF(I$10=10,((I$6*0.05)+(I$5*I$6))*I$7,0),0)</f>
        <v>12.87</v>
      </c>
      <c r="J30" s="56">
        <f t="shared" si="26"/>
        <v>11.77</v>
      </c>
      <c r="K30" s="56">
        <f t="shared" si="26"/>
        <v>9.129999999999999</v>
      </c>
      <c r="L30" s="56">
        <f t="shared" si="26"/>
        <v>9.129999999999999</v>
      </c>
    </row>
    <row r="31" spans="1:12" ht="15.6" x14ac:dyDescent="0.3">
      <c r="A31" s="53" t="s">
        <v>40</v>
      </c>
      <c r="B31" s="54"/>
      <c r="C31" s="55" t="s">
        <v>34</v>
      </c>
      <c r="D31" s="56">
        <f>IF(D$9=2,IF(D$10=10,((D$6*0.05)+(D$5*D$6))*D$7,0),0)</f>
        <v>0</v>
      </c>
      <c r="E31" s="56">
        <f>IF(E$9=2,IF(E$10=10,((E$6*0.05)+(E$5*E$6))*E$7,0),0)</f>
        <v>0</v>
      </c>
      <c r="F31" s="326">
        <v>22</v>
      </c>
      <c r="G31" s="58">
        <f t="shared" si="25"/>
        <v>0</v>
      </c>
      <c r="H31" s="59" t="s">
        <v>34</v>
      </c>
      <c r="I31" s="56">
        <f t="shared" ref="I31:L31" si="27">IF(I$9=2,IF(I$10=10,((I$6*0.05)+(I$5*I$6))*I$7,0),0)</f>
        <v>0</v>
      </c>
      <c r="J31" s="56">
        <f t="shared" si="27"/>
        <v>0</v>
      </c>
      <c r="K31" s="56">
        <f t="shared" si="27"/>
        <v>0</v>
      </c>
      <c r="L31" s="56">
        <f t="shared" si="27"/>
        <v>0</v>
      </c>
    </row>
    <row r="32" spans="1:12" ht="15.6" x14ac:dyDescent="0.3">
      <c r="A32" s="53" t="s">
        <v>36</v>
      </c>
      <c r="B32" s="54"/>
      <c r="C32" s="55" t="s">
        <v>34</v>
      </c>
      <c r="D32" s="56">
        <f>IF(D$9=1,IF(D$10=8,((D$6*0.05)+(D$5*D$6))*D$7,0),0)</f>
        <v>0</v>
      </c>
      <c r="E32" s="56">
        <f>IF(E$9=1,IF(E$10=8,((E$6*0.05)+(E$5*E$6))*E$7,0),0)</f>
        <v>0</v>
      </c>
      <c r="F32" s="326">
        <v>18</v>
      </c>
      <c r="G32" s="58">
        <f t="shared" si="25"/>
        <v>0</v>
      </c>
      <c r="H32" s="59" t="s">
        <v>34</v>
      </c>
      <c r="I32" s="56">
        <f t="shared" ref="I32:L32" si="28">IF(I$9=1,IF(I$10=8,((I$6*0.05)+(I$5*I$6))*I$7,0),0)</f>
        <v>0</v>
      </c>
      <c r="J32" s="56">
        <f t="shared" si="28"/>
        <v>0</v>
      </c>
      <c r="K32" s="56">
        <f t="shared" si="28"/>
        <v>0</v>
      </c>
      <c r="L32" s="56">
        <f t="shared" si="28"/>
        <v>0</v>
      </c>
    </row>
    <row r="33" spans="1:12" ht="15.6" x14ac:dyDescent="0.3">
      <c r="A33" s="53" t="s">
        <v>41</v>
      </c>
      <c r="B33" s="54"/>
      <c r="C33" s="55" t="s">
        <v>34</v>
      </c>
      <c r="D33" s="56">
        <f>IF(D$9=2,IF(D$10=8,((D$6*0.05)+(D$5*D$6))*D$7,0),0)</f>
        <v>0</v>
      </c>
      <c r="E33" s="56">
        <f>IF(E$9=2,IF(E$10=8,((E$6*0.05)+(E$5*E$6))*E$7,0),0)</f>
        <v>0</v>
      </c>
      <c r="F33" s="326">
        <v>23</v>
      </c>
      <c r="G33" s="58">
        <f t="shared" si="25"/>
        <v>0</v>
      </c>
      <c r="H33" s="59" t="s">
        <v>34</v>
      </c>
      <c r="I33" s="56">
        <f t="shared" ref="I33:L33" si="29">IF(I$9=2,IF(I$10=8,((I$6*0.05)+(I$5*I$6))*I$7,0),0)</f>
        <v>0</v>
      </c>
      <c r="J33" s="56">
        <f t="shared" si="29"/>
        <v>0</v>
      </c>
      <c r="K33" s="56">
        <f t="shared" si="29"/>
        <v>0</v>
      </c>
      <c r="L33" s="56">
        <f t="shared" si="29"/>
        <v>0</v>
      </c>
    </row>
    <row r="34" spans="1:12" ht="15.6" x14ac:dyDescent="0.3">
      <c r="A34" s="53" t="s">
        <v>182</v>
      </c>
      <c r="B34" s="54"/>
      <c r="C34" s="55" t="s">
        <v>34</v>
      </c>
      <c r="D34" s="56">
        <f>+D12</f>
        <v>4.2</v>
      </c>
      <c r="E34" s="56">
        <f>+E12</f>
        <v>8.0499999999999989</v>
      </c>
      <c r="F34" s="326">
        <v>75</v>
      </c>
      <c r="G34" s="58">
        <f t="shared" si="25"/>
        <v>42.5</v>
      </c>
      <c r="H34" s="55" t="s">
        <v>34</v>
      </c>
      <c r="I34" s="56">
        <f t="shared" ref="I34:L34" si="30">+I12</f>
        <v>12.76</v>
      </c>
      <c r="J34" s="56">
        <f t="shared" si="30"/>
        <v>11.66</v>
      </c>
      <c r="K34" s="56">
        <f t="shared" si="30"/>
        <v>9.02</v>
      </c>
      <c r="L34" s="56">
        <f t="shared" si="30"/>
        <v>9.02</v>
      </c>
    </row>
    <row r="35" spans="1:12" ht="15.6" x14ac:dyDescent="0.3">
      <c r="A35" s="156" t="s">
        <v>12</v>
      </c>
      <c r="B35" s="54"/>
      <c r="C35" s="55" t="s">
        <v>13</v>
      </c>
      <c r="D35" s="56">
        <f>D7*(4*D5+2*D6)/6</f>
        <v>2.0333333333333332</v>
      </c>
      <c r="E35" s="56">
        <f>E7*(4*E5+2*E6)/6</f>
        <v>3.1</v>
      </c>
      <c r="F35" s="326">
        <v>1</v>
      </c>
      <c r="G35" s="58">
        <f t="shared" si="25"/>
        <v>15.8</v>
      </c>
      <c r="H35" s="55" t="s">
        <v>13</v>
      </c>
      <c r="I35" s="56">
        <f t="shared" ref="I35:L35" si="31">I7*(4*I5+2*I6)/6</f>
        <v>4.6000000000000005</v>
      </c>
      <c r="J35" s="56">
        <f t="shared" si="31"/>
        <v>4.2666666666666666</v>
      </c>
      <c r="K35" s="56">
        <f t="shared" si="31"/>
        <v>3.4666666666666663</v>
      </c>
      <c r="L35" s="56">
        <f t="shared" si="31"/>
        <v>3.4666666666666663</v>
      </c>
    </row>
    <row r="36" spans="1:12" ht="15.6" x14ac:dyDescent="0.3">
      <c r="A36" s="53" t="s">
        <v>15</v>
      </c>
      <c r="B36" s="54"/>
      <c r="C36" s="55" t="s">
        <v>16</v>
      </c>
      <c r="D36" s="56">
        <f>+D35*12/20</f>
        <v>1.22</v>
      </c>
      <c r="E36" s="56">
        <f>+E35*12/20</f>
        <v>1.86</v>
      </c>
      <c r="F36" s="326">
        <v>3</v>
      </c>
      <c r="G36" s="58">
        <f t="shared" si="25"/>
        <v>9.5</v>
      </c>
      <c r="H36" s="55" t="s">
        <v>16</v>
      </c>
      <c r="I36" s="56">
        <f t="shared" ref="I36:L36" si="32">+I35*12/20</f>
        <v>2.7600000000000002</v>
      </c>
      <c r="J36" s="56">
        <f t="shared" si="32"/>
        <v>2.56</v>
      </c>
      <c r="K36" s="56">
        <f t="shared" si="32"/>
        <v>2.0799999999999996</v>
      </c>
      <c r="L36" s="56">
        <f t="shared" si="32"/>
        <v>2.0799999999999996</v>
      </c>
    </row>
    <row r="37" spans="1:12" ht="15.6" x14ac:dyDescent="0.3">
      <c r="A37" s="53" t="s">
        <v>295</v>
      </c>
      <c r="B37" s="54"/>
      <c r="C37" s="55" t="s">
        <v>19</v>
      </c>
      <c r="D37" s="56">
        <f>2*D$6*D$7</f>
        <v>4.2</v>
      </c>
      <c r="E37" s="56">
        <f>2*E$6*E$7</f>
        <v>4.5999999999999996</v>
      </c>
      <c r="F37" s="326">
        <v>5</v>
      </c>
      <c r="G37" s="58" t="e">
        <f>ROUNDUP(SUM(I37:IF37)/(6*B37),1)</f>
        <v>#DIV/0!</v>
      </c>
      <c r="H37" s="55" t="s">
        <v>214</v>
      </c>
      <c r="I37" s="56">
        <f>2*I$6*$B37*I$7</f>
        <v>0</v>
      </c>
      <c r="J37" s="56">
        <f>2*J$6*J$7</f>
        <v>4.4000000000000004</v>
      </c>
      <c r="K37" s="56">
        <f t="shared" ref="K37:L37" si="33">2*K$6*$B37*K$7</f>
        <v>0</v>
      </c>
      <c r="L37" s="56">
        <f t="shared" si="33"/>
        <v>0</v>
      </c>
    </row>
    <row r="38" spans="1:12" ht="15.6" x14ac:dyDescent="0.3">
      <c r="A38" s="53" t="s">
        <v>25</v>
      </c>
      <c r="B38" s="54"/>
      <c r="C38" s="55" t="s">
        <v>19</v>
      </c>
      <c r="D38" s="56">
        <f>(D6+3*D5)*D7</f>
        <v>8.1</v>
      </c>
      <c r="E38" s="56">
        <f>(E6+3*E5)*E7</f>
        <v>12.8</v>
      </c>
      <c r="F38" s="326">
        <v>11</v>
      </c>
      <c r="G38" s="58">
        <f>ROUNDUP(SUM(I38:IF38),1)</f>
        <v>66.7</v>
      </c>
      <c r="H38" s="55" t="s">
        <v>19</v>
      </c>
      <c r="I38" s="56">
        <f t="shared" ref="I38:L38" si="34">(I6+3*I5)*I7</f>
        <v>19.599999999999998</v>
      </c>
      <c r="J38" s="56">
        <f t="shared" si="34"/>
        <v>18.099999999999998</v>
      </c>
      <c r="K38" s="56">
        <f t="shared" si="34"/>
        <v>14.5</v>
      </c>
      <c r="L38" s="56">
        <f t="shared" si="34"/>
        <v>14.5</v>
      </c>
    </row>
    <row r="39" spans="1:12" ht="15.6" x14ac:dyDescent="0.3">
      <c r="A39" s="53" t="s">
        <v>29</v>
      </c>
      <c r="B39" s="54"/>
      <c r="C39" s="55" t="s">
        <v>27</v>
      </c>
      <c r="D39" s="56">
        <f>D$7*(2*D$5+2*D$6)/0.4</f>
        <v>20.499999999999996</v>
      </c>
      <c r="E39" s="56">
        <f>E$7*(2*E$5+2*E$6)/0.4</f>
        <v>28.999999999999996</v>
      </c>
      <c r="F39" s="326">
        <v>13</v>
      </c>
      <c r="G39" s="58">
        <f>ROUNDUP(SUM(I39:IF39),1)</f>
        <v>140.5</v>
      </c>
      <c r="H39" s="55" t="s">
        <v>27</v>
      </c>
      <c r="I39" s="56">
        <f t="shared" ref="I39:L40" si="35">I$7*(2*I$5+2*I$6)/0.4</f>
        <v>40</v>
      </c>
      <c r="J39" s="56">
        <f>J$7*(2*J$5+2*J$6)/0.4</f>
        <v>37.5</v>
      </c>
      <c r="K39" s="56">
        <f t="shared" si="35"/>
        <v>31.499999999999996</v>
      </c>
      <c r="L39" s="56">
        <f t="shared" si="35"/>
        <v>31.499999999999996</v>
      </c>
    </row>
    <row r="40" spans="1:12" ht="15.6" x14ac:dyDescent="0.3">
      <c r="A40" s="53" t="s">
        <v>30</v>
      </c>
      <c r="B40" s="54"/>
      <c r="C40" s="55" t="s">
        <v>27</v>
      </c>
      <c r="D40" s="56">
        <f>D$7*(2*D$5+2*D$6)/0.4</f>
        <v>20.499999999999996</v>
      </c>
      <c r="E40" s="56">
        <f>E$7*(2*E$5+2*E$6)/0.4</f>
        <v>28.999999999999996</v>
      </c>
      <c r="F40" s="326">
        <v>14</v>
      </c>
      <c r="G40" s="58">
        <f>ROUNDUP(SUM(I40:IF40),1)</f>
        <v>140.5</v>
      </c>
      <c r="H40" s="55" t="s">
        <v>27</v>
      </c>
      <c r="I40" s="56">
        <f t="shared" si="35"/>
        <v>40</v>
      </c>
      <c r="J40" s="56">
        <f>J$7*(2*J$5+2*J$6)/0.4</f>
        <v>37.5</v>
      </c>
      <c r="K40" s="56">
        <f t="shared" si="35"/>
        <v>31.499999999999996</v>
      </c>
      <c r="L40" s="56">
        <f t="shared" si="35"/>
        <v>31.499999999999996</v>
      </c>
    </row>
    <row r="41" spans="1:12" ht="15.6" x14ac:dyDescent="0.3">
      <c r="A41" s="53" t="s">
        <v>260</v>
      </c>
      <c r="B41" s="54">
        <v>0.151</v>
      </c>
      <c r="C41" s="55" t="s">
        <v>186</v>
      </c>
      <c r="D41" s="56">
        <f>+D$6*$B41*D$7</f>
        <v>0.31709999999999999</v>
      </c>
      <c r="E41" s="56">
        <f>2*E$6*$B41*E$7</f>
        <v>0.69459999999999988</v>
      </c>
      <c r="F41" s="326">
        <v>30</v>
      </c>
      <c r="G41" s="58">
        <f>ROUNDUP(SUM(I41:IF41)/(6*B41),1)</f>
        <v>2.6</v>
      </c>
      <c r="H41" s="55" t="s">
        <v>214</v>
      </c>
      <c r="I41" s="56">
        <f>2*I$6*$B41*I$7</f>
        <v>0.66439999999999999</v>
      </c>
      <c r="J41" s="56">
        <f>+J$6*$B41*J$7</f>
        <v>0.3322</v>
      </c>
      <c r="K41" s="56">
        <f t="shared" ref="K41:L41" si="36">2*K$6*$B41*K$7</f>
        <v>0.66439999999999999</v>
      </c>
      <c r="L41" s="56">
        <f t="shared" si="36"/>
        <v>0.66439999999999999</v>
      </c>
    </row>
    <row r="42" spans="1:12" ht="15.6" x14ac:dyDescent="0.3">
      <c r="A42" s="53" t="s">
        <v>261</v>
      </c>
      <c r="B42" s="54">
        <v>0.25700000000000001</v>
      </c>
      <c r="C42" s="55" t="s">
        <v>186</v>
      </c>
      <c r="D42" s="56"/>
      <c r="E42" s="56">
        <f>+E$6*$B42*E$7</f>
        <v>0.59109999999999996</v>
      </c>
      <c r="F42" s="326">
        <v>31</v>
      </c>
      <c r="G42" s="58">
        <f>ROUNDUP(SUM(I42:IF42)/(6*B42),1)</f>
        <v>1.1000000000000001</v>
      </c>
      <c r="H42" s="55" t="s">
        <v>214</v>
      </c>
      <c r="I42" s="56">
        <f>+I$6*$B42*I$7</f>
        <v>0.56540000000000001</v>
      </c>
      <c r="J42" s="56"/>
      <c r="K42" s="56">
        <f t="shared" ref="K42:L42" si="37">+K$6*$B42*K$7</f>
        <v>0.56540000000000001</v>
      </c>
      <c r="L42" s="56">
        <f t="shared" si="37"/>
        <v>0.56540000000000001</v>
      </c>
    </row>
    <row r="43" spans="1:12" ht="15.6" x14ac:dyDescent="0.3">
      <c r="A43" s="53" t="s">
        <v>403</v>
      </c>
      <c r="B43" s="54">
        <v>2.0129999999999999</v>
      </c>
      <c r="C43" s="55" t="s">
        <v>186</v>
      </c>
      <c r="D43" s="56">
        <f>D$5*D$7*$B$43</f>
        <v>4.0259999999999998</v>
      </c>
      <c r="E43" s="56">
        <f>E$5*E$7*$B$43</f>
        <v>7.0454999999999997</v>
      </c>
      <c r="F43" s="326">
        <v>88</v>
      </c>
      <c r="G43" s="58">
        <f>ROUNDUP(SUM(I43:IF43)/6,1)</f>
        <v>3.3000000000000003</v>
      </c>
      <c r="H43" s="55" t="s">
        <v>214</v>
      </c>
      <c r="I43" s="56">
        <f t="shared" ref="I43:L43" si="38">I$5*I$7</f>
        <v>5.8</v>
      </c>
      <c r="J43" s="56">
        <f t="shared" si="38"/>
        <v>5.3</v>
      </c>
      <c r="K43" s="56">
        <f t="shared" si="38"/>
        <v>4.0999999999999996</v>
      </c>
      <c r="L43" s="56">
        <f t="shared" si="38"/>
        <v>4.0999999999999996</v>
      </c>
    </row>
    <row r="44" spans="1:12" ht="15.6" x14ac:dyDescent="0.3">
      <c r="A44" s="53"/>
      <c r="B44" s="54"/>
      <c r="C44" s="55" t="s">
        <v>186</v>
      </c>
      <c r="D44" s="56"/>
      <c r="E44" s="56"/>
      <c r="F44" s="326"/>
      <c r="G44" s="58">
        <f>ROUNDUP(SUM(I44:IF44)/6,1)</f>
        <v>0</v>
      </c>
      <c r="H44" s="55" t="s">
        <v>214</v>
      </c>
      <c r="I44" s="56"/>
      <c r="J44" s="56"/>
      <c r="K44" s="56"/>
      <c r="L44" s="56"/>
    </row>
    <row r="45" spans="1:12" ht="15.6" x14ac:dyDescent="0.3">
      <c r="A45" s="53"/>
      <c r="B45" s="54"/>
      <c r="C45" s="55" t="s">
        <v>186</v>
      </c>
      <c r="D45" s="56"/>
      <c r="E45" s="56"/>
      <c r="F45" s="326"/>
      <c r="G45" s="58">
        <f>ROUNDUP(SUM(I45:IF45)/6,1)</f>
        <v>0</v>
      </c>
      <c r="H45" s="55" t="s">
        <v>214</v>
      </c>
      <c r="I45" s="56"/>
      <c r="J45" s="56"/>
      <c r="K45" s="56"/>
      <c r="L45" s="56"/>
    </row>
    <row r="46" spans="1:12" ht="15.6" x14ac:dyDescent="0.3">
      <c r="A46" s="53"/>
      <c r="B46" s="54"/>
      <c r="C46" s="55" t="s">
        <v>186</v>
      </c>
      <c r="D46" s="56"/>
      <c r="E46" s="56"/>
      <c r="F46" s="326"/>
      <c r="G46" s="58">
        <f>ROUNDUP(SUM(I46:IF46)/6,1)</f>
        <v>0</v>
      </c>
      <c r="H46" s="55" t="s">
        <v>214</v>
      </c>
      <c r="I46" s="56"/>
      <c r="J46" s="56"/>
      <c r="K46" s="56"/>
      <c r="L46" s="56"/>
    </row>
    <row r="47" spans="1:12" ht="15.6" x14ac:dyDescent="0.3">
      <c r="A47" s="60">
        <v>1510</v>
      </c>
      <c r="B47" s="54"/>
      <c r="C47" s="61" t="s">
        <v>27</v>
      </c>
      <c r="D47" s="56">
        <f>IF(D$8=1,+D$7,0)</f>
        <v>0</v>
      </c>
      <c r="E47" s="56">
        <f>IF(E$8=1,+E$7,0)</f>
        <v>0</v>
      </c>
      <c r="F47" s="326">
        <v>64</v>
      </c>
      <c r="G47" s="58">
        <f t="shared" ref="G47:G53" si="39">ROUNDUP(SUM(I47:IF47),1)</f>
        <v>4</v>
      </c>
      <c r="H47" s="61" t="s">
        <v>27</v>
      </c>
      <c r="I47" s="56">
        <f t="shared" ref="I47:L48" si="40">IF(I$8=1,+I$7,0)</f>
        <v>1</v>
      </c>
      <c r="J47" s="56">
        <f>IF(J$8=1,+J$7,0)</f>
        <v>1</v>
      </c>
      <c r="K47" s="56">
        <f t="shared" si="40"/>
        <v>1</v>
      </c>
      <c r="L47" s="56">
        <f t="shared" si="40"/>
        <v>1</v>
      </c>
    </row>
    <row r="48" spans="1:12" ht="15.6" x14ac:dyDescent="0.3">
      <c r="A48" s="60">
        <v>1511</v>
      </c>
      <c r="B48" s="54"/>
      <c r="C48" s="61" t="s">
        <v>27</v>
      </c>
      <c r="D48" s="56"/>
      <c r="E48" s="56">
        <f>IF(E$8=1,+E$7,0)</f>
        <v>0</v>
      </c>
      <c r="F48" s="326">
        <v>65</v>
      </c>
      <c r="G48" s="58">
        <f t="shared" si="39"/>
        <v>3</v>
      </c>
      <c r="H48" s="61" t="s">
        <v>27</v>
      </c>
      <c r="I48" s="56">
        <f t="shared" si="40"/>
        <v>1</v>
      </c>
      <c r="J48" s="56"/>
      <c r="K48" s="56">
        <f t="shared" si="40"/>
        <v>1</v>
      </c>
      <c r="L48" s="56">
        <f t="shared" si="40"/>
        <v>1</v>
      </c>
    </row>
    <row r="49" spans="1:12" ht="15.6" x14ac:dyDescent="0.3">
      <c r="A49" s="53" t="s">
        <v>207</v>
      </c>
      <c r="B49" s="6"/>
      <c r="C49" s="61" t="s">
        <v>27</v>
      </c>
      <c r="D49" s="56">
        <f>IF(D$8=1,+D$7,0)</f>
        <v>0</v>
      </c>
      <c r="E49" s="56"/>
      <c r="F49" s="326">
        <v>66</v>
      </c>
      <c r="G49" s="58">
        <f t="shared" si="39"/>
        <v>1</v>
      </c>
      <c r="H49" s="61" t="s">
        <v>27</v>
      </c>
      <c r="I49" s="56"/>
      <c r="J49" s="56">
        <f>IF(J$8=1,+J$7,0)</f>
        <v>1</v>
      </c>
      <c r="K49" s="56"/>
      <c r="L49" s="56"/>
    </row>
    <row r="50" spans="1:12" ht="15.6" x14ac:dyDescent="0.3">
      <c r="A50" s="53" t="s">
        <v>208</v>
      </c>
      <c r="B50" s="54"/>
      <c r="C50" s="55" t="s">
        <v>27</v>
      </c>
      <c r="D50" s="56">
        <f>2*D7</f>
        <v>2</v>
      </c>
      <c r="E50" s="56">
        <f>4*E7</f>
        <v>4</v>
      </c>
      <c r="F50" s="326">
        <v>50</v>
      </c>
      <c r="G50" s="58">
        <f t="shared" si="39"/>
        <v>14</v>
      </c>
      <c r="H50" s="55" t="s">
        <v>27</v>
      </c>
      <c r="I50" s="56">
        <f>4*I7</f>
        <v>4</v>
      </c>
      <c r="J50" s="56">
        <f>2*J7</f>
        <v>2</v>
      </c>
      <c r="K50" s="56">
        <f t="shared" ref="K50:L50" si="41">4*K7</f>
        <v>4</v>
      </c>
      <c r="L50" s="56">
        <f t="shared" si="41"/>
        <v>4</v>
      </c>
    </row>
    <row r="51" spans="1:12" ht="15.6" x14ac:dyDescent="0.3">
      <c r="A51" s="53" t="s">
        <v>209</v>
      </c>
      <c r="B51" s="54"/>
      <c r="C51" s="55" t="s">
        <v>27</v>
      </c>
      <c r="D51" s="56">
        <f>IF(D$8=2,+D$7,0)</f>
        <v>1</v>
      </c>
      <c r="E51" s="56">
        <f>IF(E$8=2,2*E$7,0)</f>
        <v>2</v>
      </c>
      <c r="F51" s="326">
        <v>70</v>
      </c>
      <c r="G51" s="58">
        <f t="shared" si="39"/>
        <v>0</v>
      </c>
      <c r="H51" s="55" t="s">
        <v>27</v>
      </c>
      <c r="I51" s="56">
        <f t="shared" ref="I51:L53" si="42">IF(I$8=2,2*I$7,0)</f>
        <v>0</v>
      </c>
      <c r="J51" s="56">
        <f>IF(J$8=2,+J$7,0)</f>
        <v>0</v>
      </c>
      <c r="K51" s="56">
        <f t="shared" si="42"/>
        <v>0</v>
      </c>
      <c r="L51" s="56">
        <f t="shared" si="42"/>
        <v>0</v>
      </c>
    </row>
    <row r="52" spans="1:12" ht="15.6" x14ac:dyDescent="0.3">
      <c r="A52" s="53">
        <v>1335</v>
      </c>
      <c r="B52" s="54"/>
      <c r="C52" s="55" t="s">
        <v>27</v>
      </c>
      <c r="D52" s="56">
        <f>IF(D$8=2,+D$7,0)</f>
        <v>1</v>
      </c>
      <c r="E52" s="56">
        <f>IF(E$8=2,2*E$7,0)</f>
        <v>2</v>
      </c>
      <c r="F52" s="326">
        <v>61</v>
      </c>
      <c r="G52" s="58">
        <f t="shared" si="39"/>
        <v>0</v>
      </c>
      <c r="H52" s="55" t="s">
        <v>27</v>
      </c>
      <c r="I52" s="56">
        <f t="shared" si="42"/>
        <v>0</v>
      </c>
      <c r="J52" s="56">
        <f>IF(J$8=2,+J$7,0)</f>
        <v>0</v>
      </c>
      <c r="K52" s="56">
        <f t="shared" si="42"/>
        <v>0</v>
      </c>
      <c r="L52" s="56">
        <f t="shared" si="42"/>
        <v>0</v>
      </c>
    </row>
    <row r="53" spans="1:12" s="62" customFormat="1" ht="15.6" x14ac:dyDescent="0.3">
      <c r="A53" s="53" t="s">
        <v>210</v>
      </c>
      <c r="B53" s="54"/>
      <c r="C53" s="55" t="s">
        <v>27</v>
      </c>
      <c r="D53" s="56">
        <f>IF(D$8=2,+D$7,0)</f>
        <v>1</v>
      </c>
      <c r="E53" s="56">
        <f>IF(E$8=2,2*E$7,0)</f>
        <v>2</v>
      </c>
      <c r="F53" s="326">
        <v>42</v>
      </c>
      <c r="G53" s="58">
        <f t="shared" si="39"/>
        <v>0</v>
      </c>
      <c r="H53" s="55" t="s">
        <v>27</v>
      </c>
      <c r="I53" s="56">
        <f t="shared" si="42"/>
        <v>0</v>
      </c>
      <c r="J53" s="56">
        <f>IF(J$8=2,+J$7,0)</f>
        <v>0</v>
      </c>
      <c r="K53" s="56">
        <f t="shared" si="42"/>
        <v>0</v>
      </c>
      <c r="L53" s="56">
        <f t="shared" si="42"/>
        <v>0</v>
      </c>
    </row>
    <row r="54" spans="1:12" ht="15.6" x14ac:dyDescent="0.3">
      <c r="A54" s="53"/>
      <c r="B54" s="54"/>
      <c r="C54" s="55"/>
      <c r="D54" s="56"/>
      <c r="E54" s="56"/>
      <c r="F54" s="57"/>
      <c r="G54" s="58"/>
      <c r="H54" s="55"/>
      <c r="I54" s="56"/>
      <c r="J54" s="56"/>
      <c r="K54" s="56"/>
      <c r="L54" s="56"/>
    </row>
    <row r="55" spans="1:12" x14ac:dyDescent="0.25">
      <c r="C55" s="63"/>
      <c r="D55" s="63"/>
      <c r="E55" s="63"/>
      <c r="I55" s="63"/>
      <c r="J55" s="63"/>
      <c r="K55" s="63"/>
      <c r="L55" s="63"/>
    </row>
    <row r="56" spans="1:12" x14ac:dyDescent="0.25">
      <c r="C56" s="65"/>
      <c r="D56" s="65"/>
      <c r="E56" s="65"/>
      <c r="I56" s="65"/>
      <c r="J56" s="65"/>
      <c r="K56" s="65"/>
      <c r="L56" s="65"/>
    </row>
    <row r="57" spans="1:12" ht="15.6" x14ac:dyDescent="0.3">
      <c r="A57" s="66" t="s">
        <v>188</v>
      </c>
      <c r="B57" s="67"/>
      <c r="C57" s="68"/>
      <c r="D57" s="68">
        <f>SUM(D58:D81)</f>
        <v>271.85392533333334</v>
      </c>
      <c r="E57" s="68">
        <f>SUM(E58:E81)</f>
        <v>510.50703399999998</v>
      </c>
      <c r="G57" s="117">
        <f>SUM(G58:G81)</f>
        <v>450.50000000000006</v>
      </c>
      <c r="I57" s="68">
        <f t="shared" ref="I57:L57" si="43">SUM(I58:I81)</f>
        <v>735.79513599999996</v>
      </c>
      <c r="J57" s="68">
        <f t="shared" si="43"/>
        <v>661.4919706666667</v>
      </c>
      <c r="K57" s="68">
        <f t="shared" si="43"/>
        <v>538.07720266666661</v>
      </c>
      <c r="L57" s="68">
        <f t="shared" si="43"/>
        <v>538.07720266666661</v>
      </c>
    </row>
    <row r="58" spans="1:12" ht="15.6" x14ac:dyDescent="0.25">
      <c r="A58" s="53" t="s">
        <v>33</v>
      </c>
      <c r="B58" s="54"/>
      <c r="C58" s="69">
        <f>+'Costo M.P.yMat.'!F24</f>
        <v>35.89</v>
      </c>
      <c r="D58" s="56">
        <f t="shared" ref="D58:D81" si="44">+$C58*D30</f>
        <v>154.50645000000003</v>
      </c>
      <c r="E58" s="56">
        <f t="shared" ref="E58:E81" si="45">+$C58*E30</f>
        <v>293.04184999999995</v>
      </c>
      <c r="F58" s="326">
        <v>17</v>
      </c>
      <c r="G58" s="117"/>
      <c r="I58" s="56">
        <f t="shared" ref="I58:J81" si="46">+$C58*I30</f>
        <v>461.90429999999998</v>
      </c>
      <c r="J58" s="56">
        <f t="shared" si="46"/>
        <v>422.42529999999999</v>
      </c>
      <c r="K58" s="56">
        <f t="shared" ref="K58:L58" si="47">+$C58*K30</f>
        <v>327.67569999999995</v>
      </c>
      <c r="L58" s="56">
        <f t="shared" si="47"/>
        <v>327.67569999999995</v>
      </c>
    </row>
    <row r="59" spans="1:12" ht="15.6" x14ac:dyDescent="0.25">
      <c r="A59" s="53" t="s">
        <v>40</v>
      </c>
      <c r="B59" s="54"/>
      <c r="C59" s="69">
        <f>+'Costo M.P.yMat.'!F29</f>
        <v>46.66</v>
      </c>
      <c r="D59" s="56">
        <f t="shared" si="44"/>
        <v>0</v>
      </c>
      <c r="E59" s="56">
        <f t="shared" si="45"/>
        <v>0</v>
      </c>
      <c r="F59" s="326">
        <v>22</v>
      </c>
      <c r="G59" s="117">
        <f>ROUNDUP(SUM(I59:IF59),1)</f>
        <v>0</v>
      </c>
      <c r="I59" s="56">
        <f t="shared" si="46"/>
        <v>0</v>
      </c>
      <c r="J59" s="56">
        <f t="shared" si="46"/>
        <v>0</v>
      </c>
      <c r="K59" s="56">
        <f t="shared" ref="K59:L59" si="48">+$C59*K31</f>
        <v>0</v>
      </c>
      <c r="L59" s="56">
        <f t="shared" si="48"/>
        <v>0</v>
      </c>
    </row>
    <row r="60" spans="1:12" ht="15.6" x14ac:dyDescent="0.25">
      <c r="A60" s="53" t="s">
        <v>36</v>
      </c>
      <c r="B60" s="54"/>
      <c r="C60" s="69">
        <f>+'Costo M.P.yMat.'!F25</f>
        <v>34.699999999999996</v>
      </c>
      <c r="D60" s="56">
        <f t="shared" si="44"/>
        <v>0</v>
      </c>
      <c r="E60" s="56">
        <f t="shared" si="45"/>
        <v>0</v>
      </c>
      <c r="F60" s="326">
        <v>18</v>
      </c>
      <c r="G60" s="117">
        <f>ROUNDUP(SUM(I60:IF60),1)</f>
        <v>0</v>
      </c>
      <c r="I60" s="56">
        <f t="shared" si="46"/>
        <v>0</v>
      </c>
      <c r="J60" s="56">
        <f t="shared" si="46"/>
        <v>0</v>
      </c>
      <c r="K60" s="56">
        <f t="shared" ref="K60:L60" si="49">+$C60*K32</f>
        <v>0</v>
      </c>
      <c r="L60" s="56">
        <f t="shared" si="49"/>
        <v>0</v>
      </c>
    </row>
    <row r="61" spans="1:12" ht="15.6" x14ac:dyDescent="0.25">
      <c r="A61" s="53" t="s">
        <v>41</v>
      </c>
      <c r="B61" s="54"/>
      <c r="C61" s="69">
        <f>+'Costo M.P.yMat.'!F30</f>
        <v>45.46</v>
      </c>
      <c r="D61" s="56">
        <f t="shared" si="44"/>
        <v>0</v>
      </c>
      <c r="E61" s="56">
        <f t="shared" si="45"/>
        <v>0</v>
      </c>
      <c r="F61" s="326">
        <v>23</v>
      </c>
      <c r="G61" s="117">
        <f>ROUNDUP(SUM(I61:IF61),1)</f>
        <v>0</v>
      </c>
      <c r="I61" s="56">
        <f t="shared" si="46"/>
        <v>0</v>
      </c>
      <c r="J61" s="56">
        <f t="shared" si="46"/>
        <v>0</v>
      </c>
      <c r="K61" s="56">
        <f t="shared" ref="K61:L61" si="50">+$C61*K33</f>
        <v>0</v>
      </c>
      <c r="L61" s="56">
        <f t="shared" si="50"/>
        <v>0</v>
      </c>
    </row>
    <row r="62" spans="1:12" ht="15.6" x14ac:dyDescent="0.25">
      <c r="A62" s="53" t="s">
        <v>182</v>
      </c>
      <c r="B62" s="54"/>
      <c r="C62" s="69">
        <f>+'Costo M.P.yMat.'!F82</f>
        <v>11.4</v>
      </c>
      <c r="D62" s="56">
        <f t="shared" si="44"/>
        <v>47.88</v>
      </c>
      <c r="E62" s="56">
        <f>+$C62*E34</f>
        <v>91.77</v>
      </c>
      <c r="F62" s="326">
        <v>75</v>
      </c>
      <c r="G62" s="117"/>
      <c r="I62" s="56">
        <f t="shared" si="46"/>
        <v>145.464</v>
      </c>
      <c r="J62" s="56">
        <f t="shared" si="46"/>
        <v>132.92400000000001</v>
      </c>
      <c r="K62" s="56">
        <f t="shared" ref="K62:L62" si="51">+$C62*K34</f>
        <v>102.828</v>
      </c>
      <c r="L62" s="56">
        <f t="shared" si="51"/>
        <v>102.828</v>
      </c>
    </row>
    <row r="63" spans="1:12" ht="15.6" x14ac:dyDescent="0.25">
      <c r="A63" s="53" t="s">
        <v>190</v>
      </c>
      <c r="B63" s="54"/>
      <c r="C63" s="69">
        <f>+'Costo M.P.yMat.'!F7</f>
        <v>3.3099999999999996</v>
      </c>
      <c r="D63" s="56">
        <f t="shared" si="44"/>
        <v>6.7303333333333324</v>
      </c>
      <c r="E63" s="56">
        <f t="shared" si="45"/>
        <v>10.260999999999999</v>
      </c>
      <c r="F63" s="326">
        <v>1</v>
      </c>
      <c r="G63" s="117">
        <f t="shared" ref="G63:G81" si="52">ROUNDUP(SUM(I63:IF63),1)</f>
        <v>52.300000000000004</v>
      </c>
      <c r="I63" s="56">
        <f t="shared" si="46"/>
        <v>15.225999999999999</v>
      </c>
      <c r="J63" s="56">
        <f t="shared" si="46"/>
        <v>14.122666666666666</v>
      </c>
      <c r="K63" s="56">
        <f t="shared" ref="K63:L63" si="53">+$C63*K35</f>
        <v>11.474666666666664</v>
      </c>
      <c r="L63" s="56">
        <f t="shared" si="53"/>
        <v>11.474666666666664</v>
      </c>
    </row>
    <row r="64" spans="1:12" ht="15.6" x14ac:dyDescent="0.25">
      <c r="A64" s="53" t="s">
        <v>15</v>
      </c>
      <c r="B64" s="54"/>
      <c r="C64" s="69">
        <f>+'Costo M.P.yMat.'!F9</f>
        <v>0.75</v>
      </c>
      <c r="D64" s="56">
        <f t="shared" si="44"/>
        <v>0.91500000000000004</v>
      </c>
      <c r="E64" s="56">
        <f t="shared" si="45"/>
        <v>1.395</v>
      </c>
      <c r="F64" s="326">
        <v>3</v>
      </c>
      <c r="G64" s="117">
        <f t="shared" si="52"/>
        <v>7.1999999999999993</v>
      </c>
      <c r="I64" s="56">
        <f t="shared" si="46"/>
        <v>2.0700000000000003</v>
      </c>
      <c r="J64" s="56">
        <f t="shared" si="46"/>
        <v>1.92</v>
      </c>
      <c r="K64" s="56">
        <f t="shared" ref="K64:L64" si="54">+$C64*K36</f>
        <v>1.5599999999999996</v>
      </c>
      <c r="L64" s="56">
        <f t="shared" si="54"/>
        <v>1.5599999999999996</v>
      </c>
    </row>
    <row r="65" spans="1:12" ht="15.6" x14ac:dyDescent="0.25">
      <c r="A65" s="53" t="s">
        <v>295</v>
      </c>
      <c r="B65" s="54"/>
      <c r="C65" s="69">
        <f>+'Costo M.P.yMat.'!F11</f>
        <v>1.29</v>
      </c>
      <c r="D65" s="56">
        <f t="shared" si="44"/>
        <v>5.4180000000000001</v>
      </c>
      <c r="E65" s="56">
        <f t="shared" si="45"/>
        <v>5.9339999999999993</v>
      </c>
      <c r="F65" s="326">
        <v>5</v>
      </c>
      <c r="G65" s="117">
        <f t="shared" si="52"/>
        <v>5.6999999999999993</v>
      </c>
      <c r="H65" s="25" t="e">
        <f>+#REF!/6</f>
        <v>#REF!</v>
      </c>
      <c r="I65" s="56">
        <f t="shared" si="46"/>
        <v>0</v>
      </c>
      <c r="J65" s="56">
        <f t="shared" si="46"/>
        <v>5.676000000000001</v>
      </c>
      <c r="K65" s="56">
        <f t="shared" ref="K65:L65" si="55">+$C65*K37</f>
        <v>0</v>
      </c>
      <c r="L65" s="56">
        <f t="shared" si="55"/>
        <v>0</v>
      </c>
    </row>
    <row r="66" spans="1:12" ht="15.6" x14ac:dyDescent="0.25">
      <c r="A66" s="53" t="s">
        <v>25</v>
      </c>
      <c r="B66" s="54"/>
      <c r="C66" s="69">
        <f>+'Costo M.P.yMat.'!F17</f>
        <v>0.18000000000000002</v>
      </c>
      <c r="D66" s="56">
        <f t="shared" si="44"/>
        <v>1.4580000000000002</v>
      </c>
      <c r="E66" s="56">
        <f t="shared" si="45"/>
        <v>2.3040000000000003</v>
      </c>
      <c r="F66" s="326">
        <v>11</v>
      </c>
      <c r="G66" s="117">
        <f t="shared" si="52"/>
        <v>12.1</v>
      </c>
      <c r="I66" s="56">
        <f t="shared" si="46"/>
        <v>3.528</v>
      </c>
      <c r="J66" s="56">
        <f t="shared" si="46"/>
        <v>3.258</v>
      </c>
      <c r="K66" s="56">
        <f t="shared" ref="K66:L66" si="56">+$C66*K38</f>
        <v>2.6100000000000003</v>
      </c>
      <c r="L66" s="56">
        <f t="shared" si="56"/>
        <v>2.6100000000000003</v>
      </c>
    </row>
    <row r="67" spans="1:12" ht="15.6" x14ac:dyDescent="0.25">
      <c r="A67" s="53" t="s">
        <v>29</v>
      </c>
      <c r="B67" s="54"/>
      <c r="C67" s="69">
        <f>+'Costo M.P.yMat.'!F19</f>
        <v>0.04</v>
      </c>
      <c r="D67" s="56">
        <f t="shared" si="44"/>
        <v>0.81999999999999984</v>
      </c>
      <c r="E67" s="56">
        <f t="shared" si="45"/>
        <v>1.1599999999999999</v>
      </c>
      <c r="F67" s="326">
        <v>13</v>
      </c>
      <c r="G67" s="117">
        <f t="shared" si="52"/>
        <v>5.6999999999999993</v>
      </c>
      <c r="I67" s="56">
        <f t="shared" si="46"/>
        <v>1.6</v>
      </c>
      <c r="J67" s="56">
        <f t="shared" si="46"/>
        <v>1.5</v>
      </c>
      <c r="K67" s="56">
        <f t="shared" ref="K67:L67" si="57">+$C67*K39</f>
        <v>1.2599999999999998</v>
      </c>
      <c r="L67" s="56">
        <f t="shared" si="57"/>
        <v>1.2599999999999998</v>
      </c>
    </row>
    <row r="68" spans="1:12" ht="15.6" x14ac:dyDescent="0.25">
      <c r="A68" s="53" t="s">
        <v>30</v>
      </c>
      <c r="B68" s="54"/>
      <c r="C68" s="69">
        <f>+'Costo M.P.yMat.'!F20</f>
        <v>0.04</v>
      </c>
      <c r="D68" s="56">
        <f t="shared" si="44"/>
        <v>0.81999999999999984</v>
      </c>
      <c r="E68" s="56">
        <f t="shared" si="45"/>
        <v>1.1599999999999999</v>
      </c>
      <c r="F68" s="326">
        <v>14</v>
      </c>
      <c r="G68" s="117">
        <f t="shared" si="52"/>
        <v>5.6999999999999993</v>
      </c>
      <c r="I68" s="56">
        <f t="shared" si="46"/>
        <v>1.6</v>
      </c>
      <c r="J68" s="56">
        <f t="shared" si="46"/>
        <v>1.5</v>
      </c>
      <c r="K68" s="56">
        <f t="shared" ref="K68:L68" si="58">+$C68*K40</f>
        <v>1.2599999999999998</v>
      </c>
      <c r="L68" s="56">
        <f t="shared" si="58"/>
        <v>1.2599999999999998</v>
      </c>
    </row>
    <row r="69" spans="1:12" ht="15.6" x14ac:dyDescent="0.25">
      <c r="A69" s="53" t="s">
        <v>260</v>
      </c>
      <c r="B69" s="54">
        <v>0.151</v>
      </c>
      <c r="C69" s="69">
        <f>+'Costo M.P.yMat.'!$F$96</f>
        <v>8.82</v>
      </c>
      <c r="D69" s="56">
        <f t="shared" si="44"/>
        <v>2.7968220000000001</v>
      </c>
      <c r="E69" s="56">
        <f t="shared" si="45"/>
        <v>6.126371999999999</v>
      </c>
      <c r="F69" s="326">
        <v>30</v>
      </c>
      <c r="G69" s="117">
        <f t="shared" si="52"/>
        <v>20.6</v>
      </c>
      <c r="I69" s="56">
        <f t="shared" si="46"/>
        <v>5.8600080000000005</v>
      </c>
      <c r="J69" s="56">
        <f t="shared" si="46"/>
        <v>2.9300040000000003</v>
      </c>
      <c r="K69" s="56">
        <f t="shared" ref="K69:L69" si="59">+$C69*K41</f>
        <v>5.8600080000000005</v>
      </c>
      <c r="L69" s="56">
        <f t="shared" si="59"/>
        <v>5.8600080000000005</v>
      </c>
    </row>
    <row r="70" spans="1:12" ht="15.6" x14ac:dyDescent="0.25">
      <c r="A70" s="53" t="s">
        <v>261</v>
      </c>
      <c r="B70" s="54">
        <v>0.25700000000000001</v>
      </c>
      <c r="C70" s="69">
        <f>+'Costo M.P.yMat.'!$F$96</f>
        <v>8.82</v>
      </c>
      <c r="D70" s="56">
        <f t="shared" si="44"/>
        <v>0</v>
      </c>
      <c r="E70" s="56">
        <f t="shared" si="45"/>
        <v>5.2135020000000001</v>
      </c>
      <c r="F70" s="326">
        <v>31</v>
      </c>
      <c r="G70" s="117">
        <f t="shared" si="52"/>
        <v>15</v>
      </c>
      <c r="I70" s="56">
        <f t="shared" si="46"/>
        <v>4.986828</v>
      </c>
      <c r="J70" s="56">
        <f t="shared" si="46"/>
        <v>0</v>
      </c>
      <c r="K70" s="56">
        <f t="shared" ref="K70:L70" si="60">+$C70*K42</f>
        <v>4.986828</v>
      </c>
      <c r="L70" s="56">
        <f t="shared" si="60"/>
        <v>4.986828</v>
      </c>
    </row>
    <row r="71" spans="1:12" ht="15.6" x14ac:dyDescent="0.25">
      <c r="A71" s="53" t="s">
        <v>403</v>
      </c>
      <c r="B71" s="54">
        <v>2.0129999999999999</v>
      </c>
      <c r="C71" s="69">
        <f>+'Costo M.P.yMat.'!F96</f>
        <v>8.82</v>
      </c>
      <c r="D71" s="56">
        <f t="shared" si="44"/>
        <v>35.509320000000002</v>
      </c>
      <c r="E71" s="56">
        <f t="shared" si="45"/>
        <v>62.141309999999997</v>
      </c>
      <c r="F71" s="326">
        <v>88</v>
      </c>
      <c r="G71" s="117">
        <f t="shared" si="52"/>
        <v>170.29999999999998</v>
      </c>
      <c r="I71" s="56">
        <f t="shared" si="46"/>
        <v>51.155999999999999</v>
      </c>
      <c r="J71" s="56">
        <f t="shared" si="46"/>
        <v>46.746000000000002</v>
      </c>
      <c r="K71" s="56">
        <f t="shared" ref="K71:L71" si="61">+$C71*K43</f>
        <v>36.161999999999999</v>
      </c>
      <c r="L71" s="56">
        <f t="shared" si="61"/>
        <v>36.161999999999999</v>
      </c>
    </row>
    <row r="72" spans="1:12" ht="15.6" x14ac:dyDescent="0.25">
      <c r="A72" s="53"/>
      <c r="B72" s="54">
        <v>0.40799999999999997</v>
      </c>
      <c r="C72" s="69">
        <f>+'Costo M.P.yMat.'!$M$96</f>
        <v>0</v>
      </c>
      <c r="D72" s="56"/>
      <c r="E72" s="56"/>
      <c r="F72" s="326"/>
      <c r="G72" s="117">
        <f t="shared" si="52"/>
        <v>0</v>
      </c>
      <c r="H72" s="25" t="e">
        <f>+#REF!/6</f>
        <v>#REF!</v>
      </c>
      <c r="I72" s="56"/>
      <c r="J72" s="56"/>
      <c r="K72" s="56"/>
      <c r="L72" s="56"/>
    </row>
    <row r="73" spans="1:12" ht="15.6" x14ac:dyDescent="0.25">
      <c r="A73" s="53"/>
      <c r="B73" s="54">
        <v>0.47799999999999998</v>
      </c>
      <c r="C73" s="69">
        <f>+'Costo M.P.yMat.'!$M$96</f>
        <v>0</v>
      </c>
      <c r="D73" s="56"/>
      <c r="E73" s="56"/>
      <c r="F73" s="326"/>
      <c r="G73" s="117">
        <f t="shared" si="52"/>
        <v>0</v>
      </c>
      <c r="H73" s="25" t="e">
        <f>+#REF!/6</f>
        <v>#REF!</v>
      </c>
      <c r="I73" s="56"/>
      <c r="J73" s="56"/>
      <c r="K73" s="56"/>
      <c r="L73" s="56"/>
    </row>
    <row r="74" spans="1:12" ht="15.6" x14ac:dyDescent="0.25">
      <c r="A74" s="53"/>
      <c r="B74" s="54">
        <v>0.125</v>
      </c>
      <c r="C74" s="69">
        <f>+'Costo M.P.yMat.'!$M$96</f>
        <v>0</v>
      </c>
      <c r="D74" s="56"/>
      <c r="E74" s="56"/>
      <c r="F74" s="326"/>
      <c r="G74" s="117">
        <f t="shared" si="52"/>
        <v>0</v>
      </c>
      <c r="H74" s="25" t="e">
        <f>+#REF!/6</f>
        <v>#REF!</v>
      </c>
      <c r="I74" s="56"/>
      <c r="J74" s="56"/>
      <c r="K74" s="56"/>
      <c r="L74" s="56"/>
    </row>
    <row r="75" spans="1:12" ht="15.6" x14ac:dyDescent="0.25">
      <c r="A75" s="60">
        <v>1510</v>
      </c>
      <c r="B75" s="54"/>
      <c r="C75" s="69">
        <f>+'Costo M.P.yMat.'!F71</f>
        <v>20.680000000000003</v>
      </c>
      <c r="D75" s="56">
        <f t="shared" si="44"/>
        <v>0</v>
      </c>
      <c r="E75" s="56">
        <f t="shared" si="45"/>
        <v>0</v>
      </c>
      <c r="F75" s="326">
        <v>64</v>
      </c>
      <c r="G75" s="117">
        <f t="shared" si="52"/>
        <v>82.8</v>
      </c>
      <c r="I75" s="56">
        <f t="shared" si="46"/>
        <v>20.680000000000003</v>
      </c>
      <c r="J75" s="56">
        <f t="shared" si="46"/>
        <v>20.680000000000003</v>
      </c>
      <c r="K75" s="56">
        <f t="shared" ref="K75:L75" si="62">+$C75*K47</f>
        <v>20.680000000000003</v>
      </c>
      <c r="L75" s="56">
        <f t="shared" si="62"/>
        <v>20.680000000000003</v>
      </c>
    </row>
    <row r="76" spans="1:12" ht="15.6" x14ac:dyDescent="0.25">
      <c r="A76" s="60">
        <v>1511</v>
      </c>
      <c r="B76" s="54"/>
      <c r="C76" s="69">
        <f>+'Costo M.P.yMat.'!F72</f>
        <v>11</v>
      </c>
      <c r="D76" s="56">
        <f t="shared" si="44"/>
        <v>0</v>
      </c>
      <c r="E76" s="56">
        <f t="shared" si="45"/>
        <v>0</v>
      </c>
      <c r="F76" s="326">
        <v>65</v>
      </c>
      <c r="G76" s="117">
        <f t="shared" si="52"/>
        <v>33</v>
      </c>
      <c r="I76" s="56">
        <f t="shared" si="46"/>
        <v>11</v>
      </c>
      <c r="J76" s="56">
        <f t="shared" si="46"/>
        <v>0</v>
      </c>
      <c r="K76" s="56">
        <f t="shared" ref="K76:L76" si="63">+$C76*K48</f>
        <v>11</v>
      </c>
      <c r="L76" s="56">
        <f t="shared" si="63"/>
        <v>11</v>
      </c>
    </row>
    <row r="77" spans="1:12" ht="15.6" x14ac:dyDescent="0.25">
      <c r="A77" s="53" t="s">
        <v>207</v>
      </c>
      <c r="B77" s="6"/>
      <c r="C77" s="69">
        <f>+'Costo M.P.yMat.'!F73</f>
        <v>2.4499999999999997</v>
      </c>
      <c r="D77" s="56">
        <f t="shared" si="44"/>
        <v>0</v>
      </c>
      <c r="E77" s="56">
        <f t="shared" si="45"/>
        <v>0</v>
      </c>
      <c r="F77" s="326">
        <v>66</v>
      </c>
      <c r="G77" s="117">
        <f t="shared" si="52"/>
        <v>2.5</v>
      </c>
      <c r="I77" s="56">
        <f t="shared" si="46"/>
        <v>0</v>
      </c>
      <c r="J77" s="56">
        <f t="shared" si="46"/>
        <v>2.4499999999999997</v>
      </c>
      <c r="K77" s="56">
        <f t="shared" ref="K77:L77" si="64">+$C77*K49</f>
        <v>0</v>
      </c>
      <c r="L77" s="56">
        <f t="shared" si="64"/>
        <v>0</v>
      </c>
    </row>
    <row r="78" spans="1:12" ht="15.6" x14ac:dyDescent="0.25">
      <c r="A78" s="53" t="s">
        <v>208</v>
      </c>
      <c r="B78" s="54"/>
      <c r="C78" s="69">
        <f>+'Costo M.P.yMat.'!F57</f>
        <v>2.6799999999999997</v>
      </c>
      <c r="D78" s="56">
        <f t="shared" si="44"/>
        <v>5.3599999999999994</v>
      </c>
      <c r="E78" s="56">
        <f t="shared" si="45"/>
        <v>10.719999999999999</v>
      </c>
      <c r="F78" s="326">
        <v>50</v>
      </c>
      <c r="G78" s="117">
        <f t="shared" si="52"/>
        <v>37.6</v>
      </c>
      <c r="I78" s="56">
        <f t="shared" si="46"/>
        <v>10.719999999999999</v>
      </c>
      <c r="J78" s="56">
        <f t="shared" si="46"/>
        <v>5.3599999999999994</v>
      </c>
      <c r="K78" s="56">
        <f t="shared" ref="K78:L78" si="65">+$C78*K50</f>
        <v>10.719999999999999</v>
      </c>
      <c r="L78" s="56">
        <f t="shared" si="65"/>
        <v>10.719999999999999</v>
      </c>
    </row>
    <row r="79" spans="1:12" ht="15.6" x14ac:dyDescent="0.25">
      <c r="A79" s="53" t="s">
        <v>209</v>
      </c>
      <c r="B79" s="54"/>
      <c r="C79" s="69">
        <f>+'Costo M.P.yMat.'!F77</f>
        <v>2.4499999999999997</v>
      </c>
      <c r="D79" s="56">
        <f t="shared" si="44"/>
        <v>2.4499999999999997</v>
      </c>
      <c r="E79" s="56">
        <f t="shared" si="45"/>
        <v>4.8999999999999995</v>
      </c>
      <c r="F79" s="326">
        <v>70</v>
      </c>
      <c r="G79" s="117">
        <f t="shared" si="52"/>
        <v>0</v>
      </c>
      <c r="I79" s="56">
        <f t="shared" si="46"/>
        <v>0</v>
      </c>
      <c r="J79" s="56">
        <f t="shared" si="46"/>
        <v>0</v>
      </c>
      <c r="K79" s="56">
        <f t="shared" ref="K79:L79" si="66">+$C79*K51</f>
        <v>0</v>
      </c>
      <c r="L79" s="56">
        <f t="shared" si="66"/>
        <v>0</v>
      </c>
    </row>
    <row r="80" spans="1:12" ht="15.6" x14ac:dyDescent="0.25">
      <c r="A80" s="53">
        <v>1335</v>
      </c>
      <c r="B80" s="54"/>
      <c r="C80" s="69">
        <f>+'Costo M.P.yMat.'!F68</f>
        <v>5.87</v>
      </c>
      <c r="D80" s="56">
        <f t="shared" si="44"/>
        <v>5.87</v>
      </c>
      <c r="E80" s="56">
        <f t="shared" si="45"/>
        <v>11.74</v>
      </c>
      <c r="F80" s="326">
        <v>61</v>
      </c>
      <c r="G80" s="117">
        <f t="shared" si="52"/>
        <v>0</v>
      </c>
      <c r="I80" s="56">
        <f t="shared" si="46"/>
        <v>0</v>
      </c>
      <c r="J80" s="56">
        <f t="shared" si="46"/>
        <v>0</v>
      </c>
      <c r="K80" s="56">
        <f t="shared" ref="K80:L80" si="67">+$C80*K52</f>
        <v>0</v>
      </c>
      <c r="L80" s="56">
        <f t="shared" si="67"/>
        <v>0</v>
      </c>
    </row>
    <row r="81" spans="1:12" ht="15.6" x14ac:dyDescent="0.25">
      <c r="A81" s="53" t="s">
        <v>210</v>
      </c>
      <c r="B81" s="54"/>
      <c r="C81" s="69">
        <f>+'Costo M.P.yMat.'!F49</f>
        <v>1.32</v>
      </c>
      <c r="D81" s="56">
        <f t="shared" si="44"/>
        <v>1.32</v>
      </c>
      <c r="E81" s="56">
        <f t="shared" si="45"/>
        <v>2.64</v>
      </c>
      <c r="F81" s="326">
        <v>42</v>
      </c>
      <c r="G81" s="117">
        <f t="shared" si="52"/>
        <v>0</v>
      </c>
      <c r="I81" s="56">
        <f t="shared" si="46"/>
        <v>0</v>
      </c>
      <c r="J81" s="56">
        <f t="shared" si="46"/>
        <v>0</v>
      </c>
      <c r="K81" s="56">
        <f t="shared" ref="K81:L81" si="68">+$C81*K53</f>
        <v>0</v>
      </c>
      <c r="L81" s="56">
        <f t="shared" si="68"/>
        <v>0</v>
      </c>
    </row>
    <row r="82" spans="1:12" x14ac:dyDescent="0.25">
      <c r="C82" s="70"/>
      <c r="D82" s="65"/>
      <c r="E82" s="65"/>
      <c r="I82" s="65"/>
      <c r="J82" s="65"/>
      <c r="K82" s="65"/>
      <c r="L82" s="65"/>
    </row>
    <row r="83" spans="1:12" x14ac:dyDescent="0.25">
      <c r="C83" s="70"/>
      <c r="D83" s="65"/>
      <c r="E83" s="65"/>
      <c r="I83" s="65"/>
      <c r="J83" s="65"/>
      <c r="K83" s="65"/>
      <c r="L83" s="65"/>
    </row>
    <row r="84" spans="1:12" s="72" customFormat="1" ht="15.6" x14ac:dyDescent="0.3">
      <c r="A84" s="66" t="s">
        <v>187</v>
      </c>
      <c r="B84" s="67"/>
      <c r="C84" s="68"/>
      <c r="D84" s="68">
        <f>SUM(D85:D108)</f>
        <v>293.01348533333339</v>
      </c>
      <c r="E84" s="68">
        <f>SUM(E85:E108)</f>
        <v>525.71551399999998</v>
      </c>
      <c r="F84" s="71"/>
      <c r="G84" s="118">
        <f t="shared" ref="G84:G108" si="69">ROUNDUP(SUM(I84:IF84),1)</f>
        <v>2415.9</v>
      </c>
      <c r="I84" s="68">
        <f t="shared" ref="I84:L84" si="70">SUM(I85:I108)</f>
        <v>708.73953599999993</v>
      </c>
      <c r="J84" s="68">
        <f t="shared" si="70"/>
        <v>670.23337066666681</v>
      </c>
      <c r="K84" s="68">
        <f t="shared" si="70"/>
        <v>518.45060266666655</v>
      </c>
      <c r="L84" s="68">
        <f t="shared" si="70"/>
        <v>518.45060266666655</v>
      </c>
    </row>
    <row r="85" spans="1:12" ht="15.6" x14ac:dyDescent="0.25">
      <c r="A85" s="53" t="s">
        <v>33</v>
      </c>
      <c r="B85" s="54"/>
      <c r="C85" s="69">
        <f>+'Costo M.P.yMat.'!G24</f>
        <v>34.65</v>
      </c>
      <c r="D85" s="56">
        <f t="shared" ref="D85:D108" si="71">+$C85*D30</f>
        <v>149.16825000000003</v>
      </c>
      <c r="E85" s="56">
        <f t="shared" ref="E85:E108" si="72">+$C85*E30</f>
        <v>282.91724999999997</v>
      </c>
      <c r="F85" s="326">
        <v>17</v>
      </c>
      <c r="G85" s="117">
        <f t="shared" si="69"/>
        <v>1486.5</v>
      </c>
      <c r="I85" s="56">
        <f t="shared" ref="I85:J108" si="73">+$C85*I30</f>
        <v>445.94549999999998</v>
      </c>
      <c r="J85" s="56">
        <f t="shared" si="73"/>
        <v>407.83049999999997</v>
      </c>
      <c r="K85" s="56">
        <f t="shared" ref="K85:L85" si="74">+$C85*K30</f>
        <v>316.35449999999997</v>
      </c>
      <c r="L85" s="56">
        <f t="shared" si="74"/>
        <v>316.35449999999997</v>
      </c>
    </row>
    <row r="86" spans="1:12" ht="15.6" x14ac:dyDescent="0.25">
      <c r="A86" s="53" t="s">
        <v>40</v>
      </c>
      <c r="B86" s="54"/>
      <c r="C86" s="69">
        <f>+'Costo M.P.yMat.'!G29</f>
        <v>45.05</v>
      </c>
      <c r="D86" s="56">
        <f t="shared" si="71"/>
        <v>0</v>
      </c>
      <c r="E86" s="56">
        <f t="shared" si="72"/>
        <v>0</v>
      </c>
      <c r="F86" s="326">
        <v>22</v>
      </c>
      <c r="G86" s="117">
        <f t="shared" si="69"/>
        <v>0</v>
      </c>
      <c r="I86" s="56">
        <f t="shared" si="73"/>
        <v>0</v>
      </c>
      <c r="J86" s="56">
        <f t="shared" si="73"/>
        <v>0</v>
      </c>
      <c r="K86" s="56">
        <f t="shared" ref="K86:L86" si="75">+$C86*K31</f>
        <v>0</v>
      </c>
      <c r="L86" s="56">
        <f t="shared" si="75"/>
        <v>0</v>
      </c>
    </row>
    <row r="87" spans="1:12" ht="15.6" x14ac:dyDescent="0.25">
      <c r="A87" s="53" t="s">
        <v>36</v>
      </c>
      <c r="B87" s="54"/>
      <c r="C87" s="69">
        <f>+'Costo M.P.yMat.'!G25</f>
        <v>33.5</v>
      </c>
      <c r="D87" s="56">
        <f t="shared" si="71"/>
        <v>0</v>
      </c>
      <c r="E87" s="56">
        <f t="shared" si="72"/>
        <v>0</v>
      </c>
      <c r="F87" s="326">
        <v>18</v>
      </c>
      <c r="G87" s="117">
        <f t="shared" si="69"/>
        <v>0</v>
      </c>
      <c r="I87" s="56">
        <f t="shared" si="73"/>
        <v>0</v>
      </c>
      <c r="J87" s="56">
        <f t="shared" si="73"/>
        <v>0</v>
      </c>
      <c r="K87" s="56">
        <f t="shared" ref="K87:L87" si="76">+$C87*K32</f>
        <v>0</v>
      </c>
      <c r="L87" s="56">
        <f t="shared" si="76"/>
        <v>0</v>
      </c>
    </row>
    <row r="88" spans="1:12" ht="15.6" x14ac:dyDescent="0.25">
      <c r="A88" s="53" t="s">
        <v>41</v>
      </c>
      <c r="B88" s="54"/>
      <c r="C88" s="69">
        <f>+'Costo M.P.yMat.'!G30</f>
        <v>43.89</v>
      </c>
      <c r="D88" s="56">
        <f t="shared" si="71"/>
        <v>0</v>
      </c>
      <c r="E88" s="56">
        <f t="shared" si="72"/>
        <v>0</v>
      </c>
      <c r="F88" s="326">
        <v>23</v>
      </c>
      <c r="G88" s="117">
        <f t="shared" si="69"/>
        <v>0</v>
      </c>
      <c r="I88" s="56">
        <f t="shared" si="73"/>
        <v>0</v>
      </c>
      <c r="J88" s="56">
        <f t="shared" si="73"/>
        <v>0</v>
      </c>
      <c r="K88" s="56">
        <f t="shared" ref="K88:L88" si="77">+$C88*K33</f>
        <v>0</v>
      </c>
      <c r="L88" s="56">
        <f t="shared" si="77"/>
        <v>0</v>
      </c>
    </row>
    <row r="89" spans="1:12" ht="15.6" x14ac:dyDescent="0.25">
      <c r="A89" s="53" t="s">
        <v>182</v>
      </c>
      <c r="B89" s="54"/>
      <c r="C89" s="69">
        <f>+'Costo M.P.yMat.'!G82</f>
        <v>11</v>
      </c>
      <c r="D89" s="56">
        <f t="shared" si="71"/>
        <v>46.2</v>
      </c>
      <c r="E89" s="56">
        <f t="shared" si="72"/>
        <v>88.549999999999983</v>
      </c>
      <c r="F89" s="326">
        <v>75</v>
      </c>
      <c r="G89" s="117">
        <f t="shared" si="69"/>
        <v>467.1</v>
      </c>
      <c r="I89" s="56">
        <f t="shared" si="73"/>
        <v>140.35999999999999</v>
      </c>
      <c r="J89" s="56">
        <f t="shared" si="73"/>
        <v>128.26</v>
      </c>
      <c r="K89" s="56">
        <f t="shared" ref="K89:L89" si="78">+$C89*K34</f>
        <v>99.22</v>
      </c>
      <c r="L89" s="56">
        <f t="shared" si="78"/>
        <v>99.22</v>
      </c>
    </row>
    <row r="90" spans="1:12" ht="15.6" x14ac:dyDescent="0.25">
      <c r="A90" s="53" t="s">
        <v>190</v>
      </c>
      <c r="B90" s="54"/>
      <c r="C90" s="69">
        <f>+'Costo M.P.yMat.'!G7</f>
        <v>3.19</v>
      </c>
      <c r="D90" s="56">
        <f t="shared" si="71"/>
        <v>6.4863333333333326</v>
      </c>
      <c r="E90" s="56">
        <f t="shared" si="72"/>
        <v>9.8889999999999993</v>
      </c>
      <c r="F90" s="326">
        <v>1</v>
      </c>
      <c r="G90" s="117">
        <f t="shared" si="69"/>
        <v>50.5</v>
      </c>
      <c r="I90" s="56">
        <f t="shared" si="73"/>
        <v>14.674000000000001</v>
      </c>
      <c r="J90" s="56">
        <f t="shared" si="73"/>
        <v>13.610666666666667</v>
      </c>
      <c r="K90" s="56">
        <f t="shared" ref="K90:L90" si="79">+$C90*K35</f>
        <v>11.058666666666666</v>
      </c>
      <c r="L90" s="56">
        <f t="shared" si="79"/>
        <v>11.058666666666666</v>
      </c>
    </row>
    <row r="91" spans="1:12" ht="15.6" x14ac:dyDescent="0.25">
      <c r="A91" s="53" t="s">
        <v>15</v>
      </c>
      <c r="B91" s="54"/>
      <c r="C91" s="69">
        <f>+'Costo M.P.yMat.'!G9</f>
        <v>0.72</v>
      </c>
      <c r="D91" s="56">
        <f t="shared" si="71"/>
        <v>0.87839999999999996</v>
      </c>
      <c r="E91" s="56">
        <f t="shared" si="72"/>
        <v>1.3391999999999999</v>
      </c>
      <c r="F91" s="326">
        <v>3</v>
      </c>
      <c r="G91" s="117">
        <f t="shared" si="69"/>
        <v>6.8999999999999995</v>
      </c>
      <c r="I91" s="56">
        <f t="shared" si="73"/>
        <v>1.9872000000000001</v>
      </c>
      <c r="J91" s="56">
        <f t="shared" si="73"/>
        <v>1.8431999999999999</v>
      </c>
      <c r="K91" s="56">
        <f t="shared" ref="K91:L91" si="80">+$C91*K36</f>
        <v>1.4975999999999996</v>
      </c>
      <c r="L91" s="56">
        <f t="shared" si="80"/>
        <v>1.4975999999999996</v>
      </c>
    </row>
    <row r="92" spans="1:12" ht="15.6" x14ac:dyDescent="0.25">
      <c r="A92" s="53" t="s">
        <v>295</v>
      </c>
      <c r="B92" s="54">
        <v>0.2</v>
      </c>
      <c r="C92" s="69">
        <f>+'Costo M.P.yMat.'!$F$96</f>
        <v>8.82</v>
      </c>
      <c r="D92" s="56">
        <f t="shared" si="71"/>
        <v>37.044000000000004</v>
      </c>
      <c r="E92" s="56">
        <f t="shared" si="72"/>
        <v>40.571999999999996</v>
      </c>
      <c r="F92" s="326">
        <v>5</v>
      </c>
      <c r="G92" s="117">
        <f t="shared" si="69"/>
        <v>38.9</v>
      </c>
      <c r="I92" s="56">
        <f t="shared" si="73"/>
        <v>0</v>
      </c>
      <c r="J92" s="56">
        <f t="shared" si="73"/>
        <v>38.808000000000007</v>
      </c>
      <c r="K92" s="56">
        <f t="shared" ref="K92:L92" si="81">+$C92*K37</f>
        <v>0</v>
      </c>
      <c r="L92" s="56">
        <f t="shared" si="81"/>
        <v>0</v>
      </c>
    </row>
    <row r="93" spans="1:12" ht="15.6" x14ac:dyDescent="0.25">
      <c r="A93" s="53" t="s">
        <v>25</v>
      </c>
      <c r="B93" s="54"/>
      <c r="C93" s="69">
        <f>+'Costo M.P.yMat.'!G17</f>
        <v>0.17</v>
      </c>
      <c r="D93" s="56">
        <f t="shared" si="71"/>
        <v>1.377</v>
      </c>
      <c r="E93" s="56">
        <f t="shared" si="72"/>
        <v>2.1760000000000002</v>
      </c>
      <c r="F93" s="326">
        <v>11</v>
      </c>
      <c r="G93" s="117">
        <f t="shared" si="69"/>
        <v>11.4</v>
      </c>
      <c r="I93" s="56">
        <f t="shared" si="73"/>
        <v>3.3319999999999999</v>
      </c>
      <c r="J93" s="56">
        <f t="shared" si="73"/>
        <v>3.077</v>
      </c>
      <c r="K93" s="56">
        <f t="shared" ref="K93:L93" si="82">+$C93*K38</f>
        <v>2.4650000000000003</v>
      </c>
      <c r="L93" s="56">
        <f t="shared" si="82"/>
        <v>2.4650000000000003</v>
      </c>
    </row>
    <row r="94" spans="1:12" ht="15.6" x14ac:dyDescent="0.25">
      <c r="A94" s="53" t="s">
        <v>29</v>
      </c>
      <c r="B94" s="54"/>
      <c r="C94" s="69">
        <f>+'Costo M.P.yMat.'!G19</f>
        <v>0.04</v>
      </c>
      <c r="D94" s="56">
        <f t="shared" si="71"/>
        <v>0.81999999999999984</v>
      </c>
      <c r="E94" s="56">
        <f t="shared" si="72"/>
        <v>1.1599999999999999</v>
      </c>
      <c r="F94" s="326">
        <v>13</v>
      </c>
      <c r="G94" s="117">
        <f t="shared" si="69"/>
        <v>5.6999999999999993</v>
      </c>
      <c r="I94" s="56">
        <f t="shared" si="73"/>
        <v>1.6</v>
      </c>
      <c r="J94" s="56">
        <f t="shared" si="73"/>
        <v>1.5</v>
      </c>
      <c r="K94" s="56">
        <f t="shared" ref="K94:L94" si="83">+$C94*K39</f>
        <v>1.2599999999999998</v>
      </c>
      <c r="L94" s="56">
        <f t="shared" si="83"/>
        <v>1.2599999999999998</v>
      </c>
    </row>
    <row r="95" spans="1:12" ht="15.6" x14ac:dyDescent="0.25">
      <c r="A95" s="53" t="s">
        <v>30</v>
      </c>
      <c r="B95" s="54"/>
      <c r="C95" s="69">
        <f>+'Costo M.P.yMat.'!G20</f>
        <v>0.04</v>
      </c>
      <c r="D95" s="56">
        <f t="shared" si="71"/>
        <v>0.81999999999999984</v>
      </c>
      <c r="E95" s="56">
        <f t="shared" si="72"/>
        <v>1.1599999999999999</v>
      </c>
      <c r="F95" s="326">
        <v>14</v>
      </c>
      <c r="G95" s="117">
        <f t="shared" si="69"/>
        <v>5.6999999999999993</v>
      </c>
      <c r="I95" s="56">
        <f t="shared" si="73"/>
        <v>1.6</v>
      </c>
      <c r="J95" s="56">
        <f t="shared" si="73"/>
        <v>1.5</v>
      </c>
      <c r="K95" s="56">
        <f t="shared" ref="K95:L95" si="84">+$C95*K40</f>
        <v>1.2599999999999998</v>
      </c>
      <c r="L95" s="56">
        <f t="shared" si="84"/>
        <v>1.2599999999999998</v>
      </c>
    </row>
    <row r="96" spans="1:12" ht="15.6" x14ac:dyDescent="0.25">
      <c r="A96" s="53" t="s">
        <v>260</v>
      </c>
      <c r="B96" s="54">
        <v>0.151</v>
      </c>
      <c r="C96" s="69">
        <f>+'Costo M.P.yMat.'!$F$96</f>
        <v>8.82</v>
      </c>
      <c r="D96" s="56">
        <f t="shared" si="71"/>
        <v>2.7968220000000001</v>
      </c>
      <c r="E96" s="56">
        <f t="shared" si="72"/>
        <v>6.126371999999999</v>
      </c>
      <c r="F96" s="326">
        <v>30</v>
      </c>
      <c r="G96" s="117">
        <f t="shared" si="69"/>
        <v>20.6</v>
      </c>
      <c r="I96" s="56">
        <f t="shared" si="73"/>
        <v>5.8600080000000005</v>
      </c>
      <c r="J96" s="56">
        <f t="shared" si="73"/>
        <v>2.9300040000000003</v>
      </c>
      <c r="K96" s="56">
        <f t="shared" ref="K96:L96" si="85">+$C96*K41</f>
        <v>5.8600080000000005</v>
      </c>
      <c r="L96" s="56">
        <f t="shared" si="85"/>
        <v>5.8600080000000005</v>
      </c>
    </row>
    <row r="97" spans="1:12" ht="15.6" x14ac:dyDescent="0.25">
      <c r="A97" s="53" t="s">
        <v>261</v>
      </c>
      <c r="B97" s="54">
        <v>0.25700000000000001</v>
      </c>
      <c r="C97" s="69">
        <f>+'Costo M.P.yMat.'!$F$96</f>
        <v>8.82</v>
      </c>
      <c r="D97" s="56">
        <f t="shared" si="71"/>
        <v>0</v>
      </c>
      <c r="E97" s="56">
        <f t="shared" si="72"/>
        <v>5.2135020000000001</v>
      </c>
      <c r="F97" s="326">
        <v>31</v>
      </c>
      <c r="G97" s="117">
        <f t="shared" si="69"/>
        <v>15</v>
      </c>
      <c r="I97" s="56">
        <f t="shared" si="73"/>
        <v>4.986828</v>
      </c>
      <c r="J97" s="56">
        <f t="shared" si="73"/>
        <v>0</v>
      </c>
      <c r="K97" s="56">
        <f t="shared" ref="K97:L97" si="86">+$C97*K42</f>
        <v>4.986828</v>
      </c>
      <c r="L97" s="56">
        <f t="shared" si="86"/>
        <v>4.986828</v>
      </c>
    </row>
    <row r="98" spans="1:12" ht="15.6" x14ac:dyDescent="0.25">
      <c r="A98" s="53" t="s">
        <v>403</v>
      </c>
      <c r="B98" s="54">
        <v>2.0129999999999999</v>
      </c>
      <c r="C98" s="69">
        <f>+'Costo M.P.yMat.'!$G$96</f>
        <v>8.18</v>
      </c>
      <c r="D98" s="56">
        <f>+$C98*D43</f>
        <v>32.932679999999998</v>
      </c>
      <c r="E98" s="56">
        <f t="shared" si="72"/>
        <v>57.632189999999994</v>
      </c>
      <c r="F98" s="326">
        <v>88</v>
      </c>
      <c r="G98" s="117">
        <f t="shared" si="69"/>
        <v>157.9</v>
      </c>
      <c r="I98" s="56">
        <f t="shared" si="73"/>
        <v>47.443999999999996</v>
      </c>
      <c r="J98" s="56">
        <f t="shared" si="73"/>
        <v>43.353999999999999</v>
      </c>
      <c r="K98" s="56">
        <f t="shared" ref="K98:L98" si="87">+$C98*K43</f>
        <v>33.537999999999997</v>
      </c>
      <c r="L98" s="56">
        <f t="shared" si="87"/>
        <v>33.537999999999997</v>
      </c>
    </row>
    <row r="99" spans="1:12" ht="15.6" x14ac:dyDescent="0.25">
      <c r="A99" s="53"/>
      <c r="B99" s="54"/>
      <c r="C99" s="69"/>
      <c r="D99" s="56">
        <f t="shared" si="71"/>
        <v>0</v>
      </c>
      <c r="E99" s="56">
        <f t="shared" si="72"/>
        <v>0</v>
      </c>
      <c r="F99" s="326"/>
      <c r="G99" s="117">
        <f t="shared" si="69"/>
        <v>0</v>
      </c>
      <c r="I99" s="56">
        <f t="shared" si="73"/>
        <v>0</v>
      </c>
      <c r="J99" s="56">
        <f t="shared" si="73"/>
        <v>0</v>
      </c>
      <c r="K99" s="56">
        <f t="shared" ref="K99:L99" si="88">+$C99*K44</f>
        <v>0</v>
      </c>
      <c r="L99" s="56">
        <f t="shared" si="88"/>
        <v>0</v>
      </c>
    </row>
    <row r="100" spans="1:12" ht="15.6" x14ac:dyDescent="0.25">
      <c r="A100" s="53"/>
      <c r="B100" s="54"/>
      <c r="C100" s="69"/>
      <c r="D100" s="56">
        <f t="shared" si="71"/>
        <v>0</v>
      </c>
      <c r="E100" s="56">
        <f t="shared" si="72"/>
        <v>0</v>
      </c>
      <c r="F100" s="326"/>
      <c r="G100" s="117">
        <f t="shared" si="69"/>
        <v>0</v>
      </c>
      <c r="I100" s="56">
        <f t="shared" si="73"/>
        <v>0</v>
      </c>
      <c r="J100" s="56">
        <f t="shared" si="73"/>
        <v>0</v>
      </c>
      <c r="K100" s="56">
        <f t="shared" ref="K100:L100" si="89">+$C100*K45</f>
        <v>0</v>
      </c>
      <c r="L100" s="56">
        <f t="shared" si="89"/>
        <v>0</v>
      </c>
    </row>
    <row r="101" spans="1:12" ht="15.6" x14ac:dyDescent="0.25">
      <c r="A101" s="53"/>
      <c r="B101" s="54"/>
      <c r="C101" s="69"/>
      <c r="D101" s="56">
        <f t="shared" si="71"/>
        <v>0</v>
      </c>
      <c r="E101" s="56">
        <f t="shared" si="72"/>
        <v>0</v>
      </c>
      <c r="F101" s="326"/>
      <c r="G101" s="117">
        <f t="shared" si="69"/>
        <v>0</v>
      </c>
      <c r="I101" s="56">
        <f t="shared" si="73"/>
        <v>0</v>
      </c>
      <c r="J101" s="56">
        <f t="shared" si="73"/>
        <v>0</v>
      </c>
      <c r="K101" s="56">
        <f t="shared" ref="K101:L101" si="90">+$C101*K46</f>
        <v>0</v>
      </c>
      <c r="L101" s="56">
        <f t="shared" si="90"/>
        <v>0</v>
      </c>
    </row>
    <row r="102" spans="1:12" ht="15.6" x14ac:dyDescent="0.25">
      <c r="A102" s="60">
        <v>1510</v>
      </c>
      <c r="B102" s="54"/>
      <c r="C102" s="69">
        <f>+'Costo M.P.yMat.'!G71</f>
        <v>19.970000000000002</v>
      </c>
      <c r="D102" s="56">
        <f t="shared" si="71"/>
        <v>0</v>
      </c>
      <c r="E102" s="56">
        <f t="shared" si="72"/>
        <v>0</v>
      </c>
      <c r="F102" s="326">
        <v>64</v>
      </c>
      <c r="G102" s="117">
        <f t="shared" si="69"/>
        <v>79.899999999999991</v>
      </c>
      <c r="I102" s="56">
        <f t="shared" si="73"/>
        <v>19.970000000000002</v>
      </c>
      <c r="J102" s="56">
        <f t="shared" si="73"/>
        <v>19.970000000000002</v>
      </c>
      <c r="K102" s="56">
        <f t="shared" ref="K102:L102" si="91">+$C102*K47</f>
        <v>19.970000000000002</v>
      </c>
      <c r="L102" s="56">
        <f t="shared" si="91"/>
        <v>19.970000000000002</v>
      </c>
    </row>
    <row r="103" spans="1:12" ht="15.6" x14ac:dyDescent="0.25">
      <c r="A103" s="60">
        <v>1511</v>
      </c>
      <c r="B103" s="54"/>
      <c r="C103" s="69">
        <f>+'Costo M.P.yMat.'!G72</f>
        <v>10.62</v>
      </c>
      <c r="D103" s="56">
        <f t="shared" si="71"/>
        <v>0</v>
      </c>
      <c r="E103" s="56">
        <f t="shared" si="72"/>
        <v>0</v>
      </c>
      <c r="F103" s="326">
        <v>65</v>
      </c>
      <c r="G103" s="117">
        <f t="shared" si="69"/>
        <v>31.900000000000002</v>
      </c>
      <c r="I103" s="56">
        <f t="shared" si="73"/>
        <v>10.62</v>
      </c>
      <c r="J103" s="56">
        <f t="shared" si="73"/>
        <v>0</v>
      </c>
      <c r="K103" s="56">
        <f t="shared" ref="K103:L103" si="92">+$C103*K48</f>
        <v>10.62</v>
      </c>
      <c r="L103" s="56">
        <f t="shared" si="92"/>
        <v>10.62</v>
      </c>
    </row>
    <row r="104" spans="1:12" ht="15.6" x14ac:dyDescent="0.25">
      <c r="A104" s="53" t="s">
        <v>207</v>
      </c>
      <c r="B104" s="6"/>
      <c r="C104" s="69">
        <f>+'Costo M.P.yMat.'!G73</f>
        <v>2.3699999999999997</v>
      </c>
      <c r="D104" s="56">
        <f t="shared" si="71"/>
        <v>0</v>
      </c>
      <c r="E104" s="56">
        <f t="shared" si="72"/>
        <v>0</v>
      </c>
      <c r="F104" s="326">
        <v>66</v>
      </c>
      <c r="G104" s="117">
        <f t="shared" si="69"/>
        <v>2.4</v>
      </c>
      <c r="I104" s="56">
        <f t="shared" si="73"/>
        <v>0</v>
      </c>
      <c r="J104" s="56">
        <f t="shared" si="73"/>
        <v>2.3699999999999997</v>
      </c>
      <c r="K104" s="56">
        <f t="shared" ref="K104:L104" si="93">+$C104*K49</f>
        <v>0</v>
      </c>
      <c r="L104" s="56">
        <f t="shared" si="93"/>
        <v>0</v>
      </c>
    </row>
    <row r="105" spans="1:12" ht="15.6" x14ac:dyDescent="0.25">
      <c r="A105" s="53" t="s">
        <v>208</v>
      </c>
      <c r="B105" s="54"/>
      <c r="C105" s="69">
        <f>+'Costo M.P.yMat.'!G57</f>
        <v>2.59</v>
      </c>
      <c r="D105" s="56">
        <f t="shared" si="71"/>
        <v>5.18</v>
      </c>
      <c r="E105" s="56">
        <f t="shared" si="72"/>
        <v>10.36</v>
      </c>
      <c r="F105" s="326">
        <v>50</v>
      </c>
      <c r="G105" s="117">
        <f t="shared" si="69"/>
        <v>36.300000000000004</v>
      </c>
      <c r="I105" s="56">
        <f t="shared" si="73"/>
        <v>10.36</v>
      </c>
      <c r="J105" s="56">
        <f t="shared" si="73"/>
        <v>5.18</v>
      </c>
      <c r="K105" s="56">
        <f t="shared" ref="K105:L105" si="94">+$C105*K50</f>
        <v>10.36</v>
      </c>
      <c r="L105" s="56">
        <f t="shared" si="94"/>
        <v>10.36</v>
      </c>
    </row>
    <row r="106" spans="1:12" ht="15.6" x14ac:dyDescent="0.25">
      <c r="A106" s="53" t="s">
        <v>209</v>
      </c>
      <c r="B106" s="54"/>
      <c r="C106" s="69">
        <f>+'Costo M.P.yMat.'!G77</f>
        <v>2.3699999999999997</v>
      </c>
      <c r="D106" s="56">
        <f t="shared" si="71"/>
        <v>2.3699999999999997</v>
      </c>
      <c r="E106" s="56">
        <f t="shared" si="72"/>
        <v>4.7399999999999993</v>
      </c>
      <c r="F106" s="326">
        <v>70</v>
      </c>
      <c r="G106" s="117">
        <f t="shared" si="69"/>
        <v>0</v>
      </c>
      <c r="I106" s="56">
        <f t="shared" si="73"/>
        <v>0</v>
      </c>
      <c r="J106" s="56">
        <f t="shared" si="73"/>
        <v>0</v>
      </c>
      <c r="K106" s="56">
        <f t="shared" ref="K106:L106" si="95">+$C106*K51</f>
        <v>0</v>
      </c>
      <c r="L106" s="56">
        <f t="shared" si="95"/>
        <v>0</v>
      </c>
    </row>
    <row r="107" spans="1:12" ht="15.6" x14ac:dyDescent="0.25">
      <c r="A107" s="53">
        <v>1335</v>
      </c>
      <c r="B107" s="54"/>
      <c r="C107" s="69">
        <f>+'Costo M.P.yMat.'!G68</f>
        <v>5.67</v>
      </c>
      <c r="D107" s="56">
        <f t="shared" si="71"/>
        <v>5.67</v>
      </c>
      <c r="E107" s="56">
        <f t="shared" si="72"/>
        <v>11.34</v>
      </c>
      <c r="F107" s="326">
        <v>61</v>
      </c>
      <c r="G107" s="117">
        <f t="shared" si="69"/>
        <v>0</v>
      </c>
      <c r="I107" s="56">
        <f t="shared" si="73"/>
        <v>0</v>
      </c>
      <c r="J107" s="56">
        <f t="shared" si="73"/>
        <v>0</v>
      </c>
      <c r="K107" s="56">
        <f t="shared" ref="K107:L107" si="96">+$C107*K52</f>
        <v>0</v>
      </c>
      <c r="L107" s="56">
        <f t="shared" si="96"/>
        <v>0</v>
      </c>
    </row>
    <row r="108" spans="1:12" ht="15.6" x14ac:dyDescent="0.25">
      <c r="A108" s="53" t="s">
        <v>210</v>
      </c>
      <c r="B108" s="54"/>
      <c r="C108" s="69">
        <f>+'Costo M.P.yMat.'!G49</f>
        <v>1.27</v>
      </c>
      <c r="D108" s="56">
        <f t="shared" si="71"/>
        <v>1.27</v>
      </c>
      <c r="E108" s="56">
        <f t="shared" si="72"/>
        <v>2.54</v>
      </c>
      <c r="F108" s="326">
        <v>42</v>
      </c>
      <c r="G108" s="117">
        <f t="shared" si="69"/>
        <v>0</v>
      </c>
      <c r="I108" s="56">
        <f t="shared" si="73"/>
        <v>0</v>
      </c>
      <c r="J108" s="56">
        <f t="shared" si="73"/>
        <v>0</v>
      </c>
      <c r="K108" s="56">
        <f t="shared" ref="K108:L108" si="97">+$C108*K53</f>
        <v>0</v>
      </c>
      <c r="L108" s="56">
        <f t="shared" si="97"/>
        <v>0</v>
      </c>
    </row>
    <row r="109" spans="1:12" x14ac:dyDescent="0.25">
      <c r="C109" s="73"/>
      <c r="D109" s="63"/>
      <c r="E109" s="63"/>
      <c r="I109" s="63"/>
      <c r="J109" s="63"/>
      <c r="K109" s="63"/>
      <c r="L109" s="63"/>
    </row>
    <row r="110" spans="1:12" x14ac:dyDescent="0.25">
      <c r="C110" s="121"/>
      <c r="D110" s="122"/>
      <c r="E110" s="122"/>
      <c r="F110" s="123"/>
      <c r="G110" s="123"/>
      <c r="I110" s="122"/>
      <c r="J110" s="122"/>
      <c r="K110" s="122"/>
      <c r="L110" s="122"/>
    </row>
  </sheetData>
  <mergeCells count="3">
    <mergeCell ref="G2:H2"/>
    <mergeCell ref="A3:C3"/>
    <mergeCell ref="A2:C2"/>
  </mergeCells>
  <phoneticPr fontId="0" type="noConversion"/>
  <pageMargins left="0.55118110236220474" right="0.23622047244094491" top="0.27559055118110237" bottom="0.31496062992125984" header="0" footer="0"/>
  <pageSetup scale="64" orientation="landscape" horizontalDpi="18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14"/>
  <sheetViews>
    <sheetView zoomScale="70" zoomScaleNormal="70" zoomScalePageLayoutView="80" workbookViewId="0">
      <pane xSplit="11" topLeftCell="L1" activePane="topRight" state="frozen"/>
      <selection pane="topRight" activeCell="K86" sqref="K86:K113"/>
    </sheetView>
  </sheetViews>
  <sheetFormatPr baseColWidth="10" defaultColWidth="11.44140625" defaultRowHeight="13.2" x14ac:dyDescent="0.25"/>
  <cols>
    <col min="1" max="1" width="31" style="25" customWidth="1"/>
    <col min="2" max="2" width="6.44140625" style="25" customWidth="1"/>
    <col min="3" max="3" width="8.88671875" style="25" customWidth="1"/>
    <col min="4" max="10" width="9.44140625" style="25" customWidth="1"/>
    <col min="11" max="11" width="5.33203125" style="64" customWidth="1"/>
    <col min="12" max="12" width="12" style="25" customWidth="1"/>
    <col min="13" max="13" width="9.88671875" style="25" customWidth="1"/>
    <col min="14" max="20" width="9.44140625" style="25" customWidth="1"/>
    <col min="21" max="16384" width="11.44140625" style="25"/>
  </cols>
  <sheetData>
    <row r="1" spans="1:21" ht="71.25" customHeight="1" thickBot="1" x14ac:dyDescent="0.4">
      <c r="A1" s="75"/>
      <c r="B1" s="76"/>
      <c r="C1" s="76"/>
    </row>
    <row r="2" spans="1:21" ht="18.600000000000001" x14ac:dyDescent="0.4">
      <c r="A2" s="399" t="s">
        <v>184</v>
      </c>
      <c r="B2" s="400"/>
      <c r="C2" s="401"/>
      <c r="D2" s="78" t="s">
        <v>175</v>
      </c>
      <c r="E2" s="78" t="s">
        <v>176</v>
      </c>
      <c r="F2" s="78" t="s">
        <v>177</v>
      </c>
      <c r="G2" s="78" t="s">
        <v>177</v>
      </c>
      <c r="H2" s="78" t="s">
        <v>346</v>
      </c>
      <c r="I2" s="78" t="s">
        <v>346</v>
      </c>
      <c r="J2" s="78" t="s">
        <v>346</v>
      </c>
      <c r="K2" s="79"/>
      <c r="L2" s="386" t="s">
        <v>159</v>
      </c>
      <c r="M2" s="387"/>
      <c r="N2" s="78" t="s">
        <v>598</v>
      </c>
      <c r="O2" s="78" t="s">
        <v>598</v>
      </c>
      <c r="P2" s="78" t="s">
        <v>598</v>
      </c>
      <c r="Q2" s="78" t="s">
        <v>598</v>
      </c>
      <c r="R2" s="78" t="s">
        <v>598</v>
      </c>
      <c r="S2" s="78" t="s">
        <v>598</v>
      </c>
      <c r="T2" s="78" t="s">
        <v>598</v>
      </c>
    </row>
    <row r="3" spans="1:21" s="84" customFormat="1" ht="75" customHeight="1" x14ac:dyDescent="0.25">
      <c r="A3" s="396" t="s">
        <v>256</v>
      </c>
      <c r="B3" s="397"/>
      <c r="C3" s="398"/>
      <c r="D3" s="113" t="s">
        <v>178</v>
      </c>
      <c r="E3" s="113" t="s">
        <v>178</v>
      </c>
      <c r="F3" s="113" t="s">
        <v>178</v>
      </c>
      <c r="G3" s="113" t="s">
        <v>344</v>
      </c>
      <c r="H3" s="113" t="s">
        <v>344</v>
      </c>
      <c r="I3" s="113" t="s">
        <v>178</v>
      </c>
      <c r="J3" s="113" t="s">
        <v>178</v>
      </c>
      <c r="K3" s="81"/>
      <c r="L3" s="82"/>
      <c r="M3" s="83"/>
      <c r="N3" s="113" t="s">
        <v>344</v>
      </c>
      <c r="O3" s="113" t="s">
        <v>344</v>
      </c>
      <c r="P3" s="113" t="s">
        <v>344</v>
      </c>
      <c r="Q3" s="113" t="s">
        <v>344</v>
      </c>
      <c r="R3" s="113" t="s">
        <v>344</v>
      </c>
      <c r="S3" s="113" t="s">
        <v>344</v>
      </c>
      <c r="T3" s="113" t="s">
        <v>344</v>
      </c>
      <c r="U3"/>
    </row>
    <row r="4" spans="1:21" s="85" customFormat="1" ht="13.8" thickBot="1" x14ac:dyDescent="0.3">
      <c r="A4" s="85" t="s">
        <v>160</v>
      </c>
      <c r="C4" s="86"/>
      <c r="D4" s="87" t="str">
        <f t="shared" ref="D4:J4" si="0">IF(D8=1,"INCOLORO","COLOR")</f>
        <v>INCOLORO</v>
      </c>
      <c r="E4" s="87" t="str">
        <f t="shared" si="0"/>
        <v>INCOLORO</v>
      </c>
      <c r="F4" s="87" t="str">
        <f t="shared" si="0"/>
        <v>INCOLORO</v>
      </c>
      <c r="G4" s="87" t="str">
        <f>IF(G8=1,"INCOLORO","COLOR")</f>
        <v>INCOLORO</v>
      </c>
      <c r="H4" s="87" t="str">
        <f t="shared" si="0"/>
        <v>INCOLORO</v>
      </c>
      <c r="I4" s="87" t="str">
        <f t="shared" si="0"/>
        <v>INCOLORO</v>
      </c>
      <c r="J4" s="87" t="str">
        <f t="shared" si="0"/>
        <v>INCOLORO</v>
      </c>
      <c r="K4" s="88"/>
      <c r="L4" s="89"/>
      <c r="M4" s="90"/>
      <c r="N4" s="87" t="str">
        <f t="shared" ref="N4:S4" si="1">IF(N8=1,"INCOLORO","COLOR")</f>
        <v>INCOLORO</v>
      </c>
      <c r="O4" s="87" t="str">
        <f t="shared" si="1"/>
        <v>INCOLORO</v>
      </c>
      <c r="P4" s="87" t="str">
        <f t="shared" si="1"/>
        <v>INCOLORO</v>
      </c>
      <c r="Q4" s="87" t="str">
        <f t="shared" si="1"/>
        <v>INCOLORO</v>
      </c>
      <c r="R4" s="87" t="str">
        <f t="shared" si="1"/>
        <v>INCOLORO</v>
      </c>
      <c r="S4" s="87" t="str">
        <f t="shared" si="1"/>
        <v>INCOLORO</v>
      </c>
      <c r="T4" s="87" t="str">
        <f>IF(T8=1,"INCOLORO","COLOR")</f>
        <v>INCOLORO</v>
      </c>
    </row>
    <row r="5" spans="1:21" ht="15.6" x14ac:dyDescent="0.3">
      <c r="A5" s="91" t="s">
        <v>161</v>
      </c>
      <c r="B5" s="92"/>
      <c r="C5" s="107"/>
      <c r="D5" s="28">
        <v>0.84</v>
      </c>
      <c r="E5" s="108">
        <v>1.7</v>
      </c>
      <c r="F5" s="108">
        <v>7.22</v>
      </c>
      <c r="G5" s="108">
        <v>2</v>
      </c>
      <c r="H5" s="108">
        <v>4.5</v>
      </c>
      <c r="I5" s="108">
        <v>5</v>
      </c>
      <c r="J5" s="108">
        <v>4.5</v>
      </c>
      <c r="K5" s="94"/>
      <c r="L5" s="95"/>
      <c r="M5" s="96"/>
      <c r="N5" s="108">
        <v>4.8</v>
      </c>
      <c r="O5" s="108">
        <v>5.94</v>
      </c>
      <c r="P5" s="108">
        <v>5.95</v>
      </c>
      <c r="Q5" s="108">
        <v>5.95</v>
      </c>
      <c r="R5" s="108">
        <v>4.07</v>
      </c>
      <c r="S5" s="108">
        <v>5.8</v>
      </c>
      <c r="T5" s="108">
        <v>1.1000000000000001</v>
      </c>
    </row>
    <row r="6" spans="1:21" ht="15.6" x14ac:dyDescent="0.3">
      <c r="A6" s="97" t="s">
        <v>162</v>
      </c>
      <c r="B6" s="98"/>
      <c r="C6" s="109"/>
      <c r="D6" s="28">
        <v>2.1</v>
      </c>
      <c r="E6" s="108">
        <v>2.5</v>
      </c>
      <c r="F6" s="108">
        <v>2.25</v>
      </c>
      <c r="G6" s="108">
        <v>3</v>
      </c>
      <c r="H6" s="108">
        <v>2.7</v>
      </c>
      <c r="I6" s="108">
        <v>3</v>
      </c>
      <c r="J6" s="108">
        <v>2.7</v>
      </c>
      <c r="K6" s="94"/>
      <c r="L6" s="95"/>
      <c r="M6" s="96"/>
      <c r="N6" s="108">
        <v>2.7</v>
      </c>
      <c r="O6" s="108">
        <v>2.7</v>
      </c>
      <c r="P6" s="108">
        <v>2.7</v>
      </c>
      <c r="Q6" s="108">
        <v>2.7</v>
      </c>
      <c r="R6" s="108">
        <v>2.7</v>
      </c>
      <c r="S6" s="108">
        <v>2.7</v>
      </c>
      <c r="T6" s="108">
        <v>2.7</v>
      </c>
    </row>
    <row r="7" spans="1:21" ht="15.6" x14ac:dyDescent="0.3">
      <c r="A7" s="97" t="s">
        <v>163</v>
      </c>
      <c r="B7" s="98"/>
      <c r="C7" s="109"/>
      <c r="D7" s="28">
        <v>1</v>
      </c>
      <c r="E7" s="28">
        <v>1</v>
      </c>
      <c r="F7" s="28">
        <v>1</v>
      </c>
      <c r="G7" s="28">
        <v>1</v>
      </c>
      <c r="H7" s="28">
        <v>1</v>
      </c>
      <c r="I7" s="28">
        <v>1</v>
      </c>
      <c r="J7" s="28">
        <v>1</v>
      </c>
      <c r="K7" s="94"/>
      <c r="L7" s="23">
        <f>SUM(N7:IU7)</f>
        <v>7</v>
      </c>
      <c r="M7" s="24" t="s">
        <v>180</v>
      </c>
      <c r="N7" s="28">
        <v>1</v>
      </c>
      <c r="O7" s="28">
        <v>1</v>
      </c>
      <c r="P7" s="28">
        <v>1</v>
      </c>
      <c r="Q7" s="28">
        <v>1</v>
      </c>
      <c r="R7" s="28">
        <v>1</v>
      </c>
      <c r="S7" s="28">
        <v>1</v>
      </c>
      <c r="T7" s="28">
        <v>1</v>
      </c>
    </row>
    <row r="8" spans="1:21" ht="15.6" x14ac:dyDescent="0.3">
      <c r="A8" s="100" t="s">
        <v>179</v>
      </c>
      <c r="B8" s="98"/>
      <c r="C8" s="109"/>
      <c r="D8" s="28">
        <v>1</v>
      </c>
      <c r="E8" s="28">
        <v>1</v>
      </c>
      <c r="F8" s="28">
        <v>1</v>
      </c>
      <c r="G8" s="28">
        <v>1</v>
      </c>
      <c r="H8" s="28">
        <v>1</v>
      </c>
      <c r="I8" s="28">
        <v>1</v>
      </c>
      <c r="J8" s="28">
        <v>1</v>
      </c>
      <c r="K8" s="94"/>
      <c r="L8" s="23"/>
      <c r="M8" s="24"/>
      <c r="N8" s="28">
        <v>1</v>
      </c>
      <c r="O8" s="28">
        <v>1</v>
      </c>
      <c r="P8" s="28">
        <v>1</v>
      </c>
      <c r="Q8" s="28">
        <v>1</v>
      </c>
      <c r="R8" s="28">
        <v>1</v>
      </c>
      <c r="S8" s="28">
        <v>1</v>
      </c>
      <c r="T8" s="28">
        <v>1</v>
      </c>
    </row>
    <row r="9" spans="1:21" ht="16.2" thickBot="1" x14ac:dyDescent="0.35">
      <c r="A9" s="101" t="s">
        <v>181</v>
      </c>
      <c r="B9" s="102"/>
      <c r="C9" s="110"/>
      <c r="D9" s="28">
        <v>2</v>
      </c>
      <c r="E9" s="28">
        <v>1</v>
      </c>
      <c r="F9" s="28">
        <v>1</v>
      </c>
      <c r="G9" s="28">
        <v>1</v>
      </c>
      <c r="H9" s="28">
        <v>1</v>
      </c>
      <c r="I9" s="28">
        <v>1</v>
      </c>
      <c r="J9" s="28">
        <v>1</v>
      </c>
      <c r="K9" s="94"/>
      <c r="L9" s="23"/>
      <c r="M9" s="24"/>
      <c r="N9" s="28">
        <v>2</v>
      </c>
      <c r="O9" s="28">
        <v>2</v>
      </c>
      <c r="P9" s="28">
        <v>2</v>
      </c>
      <c r="Q9" s="28">
        <v>2</v>
      </c>
      <c r="R9" s="28">
        <v>2</v>
      </c>
      <c r="S9" s="28">
        <v>2</v>
      </c>
      <c r="T9" s="28">
        <v>2</v>
      </c>
    </row>
    <row r="10" spans="1:21" ht="15.6" x14ac:dyDescent="0.3">
      <c r="A10" s="274" t="s">
        <v>164</v>
      </c>
      <c r="B10" s="275"/>
      <c r="C10" s="276"/>
      <c r="D10" s="273">
        <f t="shared" ref="D10:J10" si="2">+D54</f>
        <v>154.92956000000001</v>
      </c>
      <c r="E10" s="273">
        <f t="shared" si="2"/>
        <v>491.23935</v>
      </c>
      <c r="F10" s="273">
        <f t="shared" si="2"/>
        <v>1069.6693483333336</v>
      </c>
      <c r="G10" s="273">
        <f>+G54</f>
        <v>604.12355333333335</v>
      </c>
      <c r="H10" s="273">
        <f t="shared" si="2"/>
        <v>918.40119799999991</v>
      </c>
      <c r="I10" s="273">
        <f t="shared" si="2"/>
        <v>1066.9152199999999</v>
      </c>
      <c r="J10" s="273">
        <f t="shared" si="2"/>
        <v>776.45500000000004</v>
      </c>
      <c r="K10" s="22"/>
      <c r="L10" s="291">
        <f>SUM(N10:IU10)</f>
        <v>5568.0706993333315</v>
      </c>
      <c r="M10" s="292" t="s">
        <v>165</v>
      </c>
      <c r="N10" s="273">
        <f t="shared" ref="N10:S10" si="3">+N54</f>
        <v>797.86159799999973</v>
      </c>
      <c r="O10" s="273">
        <f t="shared" si="3"/>
        <v>945.91111799999999</v>
      </c>
      <c r="P10" s="273">
        <f t="shared" si="3"/>
        <v>947.20979799999986</v>
      </c>
      <c r="Q10" s="273">
        <f t="shared" si="3"/>
        <v>947.20979799999986</v>
      </c>
      <c r="R10" s="273">
        <f t="shared" si="3"/>
        <v>703.05795799999976</v>
      </c>
      <c r="S10" s="273">
        <f t="shared" si="3"/>
        <v>927.72959799999967</v>
      </c>
      <c r="T10" s="273">
        <f>+T54</f>
        <v>299.09083133333337</v>
      </c>
    </row>
    <row r="11" spans="1:21" ht="15.6" x14ac:dyDescent="0.3">
      <c r="A11" s="26" t="s">
        <v>166</v>
      </c>
      <c r="B11" s="20"/>
      <c r="C11" s="27"/>
      <c r="D11" s="28">
        <f t="shared" ref="D11:J11" si="4">+D5*D6*D$7</f>
        <v>1.764</v>
      </c>
      <c r="E11" s="108">
        <f t="shared" si="4"/>
        <v>4.25</v>
      </c>
      <c r="F11" s="108">
        <f t="shared" si="4"/>
        <v>16.245000000000001</v>
      </c>
      <c r="G11" s="108">
        <f>+G5*G6*G$7</f>
        <v>6</v>
      </c>
      <c r="H11" s="108">
        <f t="shared" si="4"/>
        <v>12.15</v>
      </c>
      <c r="I11" s="108">
        <f t="shared" si="4"/>
        <v>15</v>
      </c>
      <c r="J11" s="108">
        <f t="shared" si="4"/>
        <v>12.15</v>
      </c>
      <c r="K11" s="29"/>
      <c r="L11" s="23">
        <f>SUM(N11:IU11)</f>
        <v>90.747</v>
      </c>
      <c r="M11" s="24" t="s">
        <v>34</v>
      </c>
      <c r="N11" s="108">
        <f t="shared" ref="N11:S11" si="5">+N5*N6*N$7</f>
        <v>12.96</v>
      </c>
      <c r="O11" s="108">
        <f t="shared" si="5"/>
        <v>16.038000000000004</v>
      </c>
      <c r="P11" s="108">
        <f t="shared" si="5"/>
        <v>16.065000000000001</v>
      </c>
      <c r="Q11" s="108">
        <f t="shared" si="5"/>
        <v>16.065000000000001</v>
      </c>
      <c r="R11" s="108">
        <f t="shared" si="5"/>
        <v>10.989000000000001</v>
      </c>
      <c r="S11" s="108">
        <f t="shared" si="5"/>
        <v>15.66</v>
      </c>
      <c r="T11" s="108">
        <f>+T5*T6*T$7</f>
        <v>2.9700000000000006</v>
      </c>
    </row>
    <row r="12" spans="1:21" ht="15.6" x14ac:dyDescent="0.3">
      <c r="A12" s="26" t="s">
        <v>167</v>
      </c>
      <c r="B12" s="20"/>
      <c r="C12" s="27"/>
      <c r="D12" s="21">
        <f t="shared" ref="D12:J12" si="6">+D10/D11</f>
        <v>87.828548752834479</v>
      </c>
      <c r="E12" s="111">
        <f t="shared" si="6"/>
        <v>115.5857294117647</v>
      </c>
      <c r="F12" s="111">
        <f t="shared" si="6"/>
        <v>65.846066379398806</v>
      </c>
      <c r="G12" s="111">
        <f>+G10/G11</f>
        <v>100.68725888888889</v>
      </c>
      <c r="H12" s="111">
        <f t="shared" si="6"/>
        <v>75.588575967078185</v>
      </c>
      <c r="I12" s="111">
        <f t="shared" si="6"/>
        <v>71.127681333333328</v>
      </c>
      <c r="J12" s="111">
        <f t="shared" si="6"/>
        <v>63.905761316872429</v>
      </c>
      <c r="K12" s="22"/>
      <c r="L12" s="23">
        <f>+L10/L11</f>
        <v>61.358179326405626</v>
      </c>
      <c r="M12" s="24" t="s">
        <v>168</v>
      </c>
      <c r="N12" s="111">
        <f t="shared" ref="N12:S12" si="7">+N10/N11</f>
        <v>61.563394907407385</v>
      </c>
      <c r="O12" s="111">
        <f t="shared" si="7"/>
        <v>58.979368873924415</v>
      </c>
      <c r="P12" s="111">
        <f t="shared" si="7"/>
        <v>58.961082975412374</v>
      </c>
      <c r="Q12" s="111">
        <f t="shared" si="7"/>
        <v>58.961082975412374</v>
      </c>
      <c r="R12" s="111">
        <f t="shared" si="7"/>
        <v>63.978338156338133</v>
      </c>
      <c r="S12" s="111">
        <f t="shared" si="7"/>
        <v>59.241992209450807</v>
      </c>
      <c r="T12" s="111">
        <f>+T10/T11</f>
        <v>100.70398361391693</v>
      </c>
    </row>
    <row r="13" spans="1:21" ht="15.6" x14ac:dyDescent="0.3">
      <c r="A13" s="277" t="s">
        <v>169</v>
      </c>
      <c r="B13" s="278"/>
      <c r="C13" s="279"/>
      <c r="D13" s="280">
        <f t="shared" ref="D13:J13" si="8">+D85</f>
        <v>143.7766</v>
      </c>
      <c r="E13" s="280">
        <f t="shared" si="8"/>
        <v>474.03314999999992</v>
      </c>
      <c r="F13" s="280">
        <f t="shared" si="8"/>
        <v>1032.4950883333338</v>
      </c>
      <c r="G13" s="280">
        <f>+G85</f>
        <v>583.00811333333343</v>
      </c>
      <c r="H13" s="280">
        <f t="shared" si="8"/>
        <v>886.41130200000021</v>
      </c>
      <c r="I13" s="280">
        <f t="shared" si="8"/>
        <v>1029.7597800000001</v>
      </c>
      <c r="J13" s="280">
        <f t="shared" si="8"/>
        <v>749.60620000000006</v>
      </c>
      <c r="K13" s="22"/>
      <c r="L13" s="301">
        <f>SUM(N13:IU13)</f>
        <v>5373.7859273333352</v>
      </c>
      <c r="M13" s="302" t="s">
        <v>165</v>
      </c>
      <c r="N13" s="280">
        <f t="shared" ref="N13:S13" si="9">+N85</f>
        <v>770.02170200000012</v>
      </c>
      <c r="O13" s="280">
        <f t="shared" si="9"/>
        <v>912.94122200000027</v>
      </c>
      <c r="P13" s="280">
        <f t="shared" si="9"/>
        <v>914.19490200000018</v>
      </c>
      <c r="Q13" s="280">
        <f t="shared" si="9"/>
        <v>914.19490200000018</v>
      </c>
      <c r="R13" s="280">
        <f t="shared" si="9"/>
        <v>678.50306200000023</v>
      </c>
      <c r="S13" s="280">
        <f t="shared" si="9"/>
        <v>895.38970200000017</v>
      </c>
      <c r="T13" s="280">
        <f>+T85</f>
        <v>288.54043533333333</v>
      </c>
    </row>
    <row r="14" spans="1:21" ht="15.6" x14ac:dyDescent="0.3">
      <c r="A14" s="26" t="s">
        <v>170</v>
      </c>
      <c r="B14" s="20"/>
      <c r="C14" s="27"/>
      <c r="D14" s="21">
        <f t="shared" ref="D14:J14" si="10">+D13/D11</f>
        <v>81.50600907029478</v>
      </c>
      <c r="E14" s="111">
        <f t="shared" si="10"/>
        <v>111.53721176470586</v>
      </c>
      <c r="F14" s="111">
        <f t="shared" si="10"/>
        <v>63.557715502205831</v>
      </c>
      <c r="G14" s="111">
        <f>+G13/G11</f>
        <v>97.168018888888909</v>
      </c>
      <c r="H14" s="111">
        <f t="shared" si="10"/>
        <v>72.955662716049403</v>
      </c>
      <c r="I14" s="111">
        <f t="shared" si="10"/>
        <v>68.650652000000008</v>
      </c>
      <c r="J14" s="111">
        <f t="shared" si="10"/>
        <v>61.695983539094655</v>
      </c>
      <c r="K14" s="22"/>
      <c r="L14" s="23">
        <f>+L13/L11</f>
        <v>59.217229520902457</v>
      </c>
      <c r="M14" s="24" t="s">
        <v>168</v>
      </c>
      <c r="N14" s="111">
        <f t="shared" ref="N14:S14" si="11">+N13/N11</f>
        <v>59.415254783950623</v>
      </c>
      <c r="O14" s="111">
        <f t="shared" si="11"/>
        <v>56.923632747225341</v>
      </c>
      <c r="P14" s="111">
        <f t="shared" si="11"/>
        <v>56.906000746965461</v>
      </c>
      <c r="Q14" s="111">
        <f t="shared" si="11"/>
        <v>56.906000746965461</v>
      </c>
      <c r="R14" s="111">
        <f t="shared" si="11"/>
        <v>61.7438403858404</v>
      </c>
      <c r="S14" s="111">
        <f t="shared" si="11"/>
        <v>57.176864750957861</v>
      </c>
      <c r="T14" s="111">
        <f>+T13/T11</f>
        <v>97.151661728395041</v>
      </c>
    </row>
    <row r="15" spans="1:21" ht="15.6" x14ac:dyDescent="0.3">
      <c r="A15" s="259" t="s">
        <v>353</v>
      </c>
      <c r="B15" s="260"/>
      <c r="C15" s="261"/>
      <c r="D15" s="262">
        <f>0.9*SUM(D55:D56)</f>
        <v>56.978964000000005</v>
      </c>
      <c r="E15" s="262">
        <f t="shared" ref="E15:J15" si="12">0.9*SUM(E55:E56)</f>
        <v>137.27924999999999</v>
      </c>
      <c r="F15" s="262">
        <f t="shared" si="12"/>
        <v>524.72974499999998</v>
      </c>
      <c r="G15" s="262">
        <f t="shared" si="12"/>
        <v>193.80600000000001</v>
      </c>
      <c r="H15" s="262">
        <f t="shared" si="12"/>
        <v>392.45715000000001</v>
      </c>
      <c r="I15" s="262">
        <f t="shared" si="12"/>
        <v>484.51500000000004</v>
      </c>
      <c r="J15" s="262">
        <f t="shared" si="12"/>
        <v>392.45715000000001</v>
      </c>
      <c r="K15" s="22"/>
      <c r="L15" s="291">
        <f>SUM(N15:IU15)</f>
        <v>2931.2188470000006</v>
      </c>
      <c r="M15" s="292" t="s">
        <v>165</v>
      </c>
      <c r="N15" s="262">
        <f t="shared" ref="N15:T15" si="13">0.9*SUM(N55:N56)</f>
        <v>418.62096000000003</v>
      </c>
      <c r="O15" s="262">
        <f t="shared" si="13"/>
        <v>518.04343800000015</v>
      </c>
      <c r="P15" s="262">
        <f t="shared" si="13"/>
        <v>518.91556500000002</v>
      </c>
      <c r="Q15" s="262">
        <f t="shared" si="13"/>
        <v>518.91556500000002</v>
      </c>
      <c r="R15" s="262">
        <f t="shared" si="13"/>
        <v>354.95568900000001</v>
      </c>
      <c r="S15" s="262">
        <f t="shared" si="13"/>
        <v>505.83366000000007</v>
      </c>
      <c r="T15" s="262">
        <f t="shared" si="13"/>
        <v>95.933970000000031</v>
      </c>
    </row>
    <row r="16" spans="1:21" ht="15.6" x14ac:dyDescent="0.3">
      <c r="A16" s="259" t="s">
        <v>354</v>
      </c>
      <c r="B16" s="260"/>
      <c r="C16" s="261"/>
      <c r="D16" s="262">
        <f>0.9*SUM(D58:D82)</f>
        <v>64.359000000000009</v>
      </c>
      <c r="E16" s="262">
        <f t="shared" ref="E16:J16" si="14">0.9*SUM(E58:E82)</f>
        <v>261.23116499999998</v>
      </c>
      <c r="F16" s="262">
        <f t="shared" si="14"/>
        <v>271.2989685</v>
      </c>
      <c r="G16" s="262">
        <f t="shared" si="14"/>
        <v>288.34519800000004</v>
      </c>
      <c r="H16" s="262">
        <f t="shared" si="14"/>
        <v>309.44492819999999</v>
      </c>
      <c r="I16" s="262">
        <f t="shared" si="14"/>
        <v>321.80869799999999</v>
      </c>
      <c r="J16" s="262">
        <f t="shared" si="14"/>
        <v>181.69334999999998</v>
      </c>
      <c r="K16" s="22"/>
      <c r="L16" s="291">
        <f>SUM(N16:IU16)</f>
        <v>1148.9805624000001</v>
      </c>
      <c r="M16" s="292" t="s">
        <v>165</v>
      </c>
      <c r="N16" s="262">
        <f t="shared" ref="N16:T16" si="15">0.9*SUM(N58:N82)</f>
        <v>166.48487820000003</v>
      </c>
      <c r="O16" s="262">
        <f t="shared" si="15"/>
        <v>168.72668820000004</v>
      </c>
      <c r="P16" s="262">
        <f t="shared" si="15"/>
        <v>168.74635320000002</v>
      </c>
      <c r="Q16" s="262">
        <f t="shared" si="15"/>
        <v>168.74635320000002</v>
      </c>
      <c r="R16" s="262">
        <f t="shared" si="15"/>
        <v>165.04933320000001</v>
      </c>
      <c r="S16" s="262">
        <f t="shared" si="15"/>
        <v>168.45137820000002</v>
      </c>
      <c r="T16" s="262">
        <f t="shared" si="15"/>
        <v>142.77557820000004</v>
      </c>
    </row>
    <row r="17" spans="1:20" ht="15.6" x14ac:dyDescent="0.3">
      <c r="A17" s="259" t="s">
        <v>182</v>
      </c>
      <c r="B17" s="260"/>
      <c r="C17" s="261"/>
      <c r="D17" s="262">
        <f>0.9*D57</f>
        <v>18.09864</v>
      </c>
      <c r="E17" s="262">
        <f t="shared" ref="E17:J17" si="16">0.9*E57</f>
        <v>43.605000000000004</v>
      </c>
      <c r="F17" s="262">
        <f t="shared" si="16"/>
        <v>166.67370000000003</v>
      </c>
      <c r="G17" s="262">
        <f t="shared" si="16"/>
        <v>61.560000000000009</v>
      </c>
      <c r="H17" s="262">
        <f t="shared" si="16"/>
        <v>124.65900000000002</v>
      </c>
      <c r="I17" s="262">
        <f t="shared" si="16"/>
        <v>153.9</v>
      </c>
      <c r="J17" s="262">
        <f t="shared" si="16"/>
        <v>124.65900000000002</v>
      </c>
      <c r="K17" s="22"/>
      <c r="L17" s="291">
        <f>SUM(N17:IU17)</f>
        <v>931.0642200000002</v>
      </c>
      <c r="M17" s="292" t="s">
        <v>165</v>
      </c>
      <c r="N17" s="262">
        <f t="shared" ref="N17:T17" si="17">0.9*N57</f>
        <v>132.96960000000004</v>
      </c>
      <c r="O17" s="262">
        <f t="shared" si="17"/>
        <v>164.54988000000006</v>
      </c>
      <c r="P17" s="262">
        <f t="shared" si="17"/>
        <v>164.82690000000002</v>
      </c>
      <c r="Q17" s="262">
        <f t="shared" si="17"/>
        <v>164.82690000000002</v>
      </c>
      <c r="R17" s="262">
        <f t="shared" si="17"/>
        <v>112.74714</v>
      </c>
      <c r="S17" s="262">
        <f t="shared" si="17"/>
        <v>160.67160000000001</v>
      </c>
      <c r="T17" s="262">
        <f t="shared" si="17"/>
        <v>30.472200000000011</v>
      </c>
    </row>
    <row r="18" spans="1:20" ht="15.6" x14ac:dyDescent="0.3">
      <c r="A18" s="259" t="s">
        <v>355</v>
      </c>
      <c r="B18" s="260"/>
      <c r="C18" s="261"/>
      <c r="D18" s="262">
        <f>+D10-D17-D16-D15</f>
        <v>15.492956000000007</v>
      </c>
      <c r="E18" s="262">
        <f t="shared" ref="E18:J18" si="18">+E10-E17-E16-E15</f>
        <v>49.123935000000017</v>
      </c>
      <c r="F18" s="262">
        <f t="shared" si="18"/>
        <v>106.96693483333354</v>
      </c>
      <c r="G18" s="262">
        <f t="shared" si="18"/>
        <v>60.412355333333238</v>
      </c>
      <c r="H18" s="262">
        <f t="shared" si="18"/>
        <v>91.840119799999911</v>
      </c>
      <c r="I18" s="262">
        <f t="shared" si="18"/>
        <v>106.69152199999991</v>
      </c>
      <c r="J18" s="262">
        <f t="shared" si="18"/>
        <v>77.645500000000027</v>
      </c>
      <c r="K18" s="22"/>
      <c r="L18" s="291">
        <f>SUM(N18:IU18)</f>
        <v>556.8070699333316</v>
      </c>
      <c r="M18" s="292" t="s">
        <v>165</v>
      </c>
      <c r="N18" s="262">
        <f t="shared" ref="N18:T18" si="19">+N10-N17-N16-N15</f>
        <v>79.786159799999666</v>
      </c>
      <c r="O18" s="262">
        <f t="shared" si="19"/>
        <v>94.591111799999794</v>
      </c>
      <c r="P18" s="262">
        <f t="shared" si="19"/>
        <v>94.720979799999782</v>
      </c>
      <c r="Q18" s="262">
        <f t="shared" si="19"/>
        <v>94.720979799999782</v>
      </c>
      <c r="R18" s="262">
        <f t="shared" si="19"/>
        <v>70.305795799999714</v>
      </c>
      <c r="S18" s="262">
        <f t="shared" si="19"/>
        <v>92.772959799999569</v>
      </c>
      <c r="T18" s="262">
        <f t="shared" si="19"/>
        <v>29.909083133333311</v>
      </c>
    </row>
    <row r="19" spans="1:20" ht="15.6" x14ac:dyDescent="0.3">
      <c r="A19" s="263" t="s">
        <v>356</v>
      </c>
      <c r="B19" s="264"/>
      <c r="C19" s="265"/>
      <c r="D19" s="266">
        <f>SUM(D15:D18)</f>
        <v>154.92956000000004</v>
      </c>
      <c r="E19" s="266">
        <f t="shared" ref="E19:J19" si="20">SUM(E15:E18)</f>
        <v>491.23935</v>
      </c>
      <c r="F19" s="266">
        <f t="shared" si="20"/>
        <v>1069.6693483333336</v>
      </c>
      <c r="G19" s="266">
        <f t="shared" si="20"/>
        <v>604.12355333333335</v>
      </c>
      <c r="H19" s="266">
        <f t="shared" si="20"/>
        <v>918.40119799999991</v>
      </c>
      <c r="I19" s="266">
        <f t="shared" si="20"/>
        <v>1066.9152199999999</v>
      </c>
      <c r="J19" s="266">
        <f t="shared" si="20"/>
        <v>776.45499999999993</v>
      </c>
      <c r="K19" s="22"/>
      <c r="L19" s="299">
        <f>SUM(N19:IU19)</f>
        <v>5568.0706993333315</v>
      </c>
      <c r="M19" s="300" t="s">
        <v>165</v>
      </c>
      <c r="N19" s="266">
        <f t="shared" ref="N19:T19" si="21">SUM(N15:N18)</f>
        <v>797.86159799999973</v>
      </c>
      <c r="O19" s="266">
        <f t="shared" si="21"/>
        <v>945.91111799999999</v>
      </c>
      <c r="P19" s="266">
        <f t="shared" si="21"/>
        <v>947.20979799999986</v>
      </c>
      <c r="Q19" s="266">
        <f t="shared" si="21"/>
        <v>947.20979799999986</v>
      </c>
      <c r="R19" s="266">
        <f t="shared" si="21"/>
        <v>703.05795799999964</v>
      </c>
      <c r="S19" s="266">
        <f t="shared" si="21"/>
        <v>927.72959799999967</v>
      </c>
      <c r="T19" s="266">
        <f t="shared" si="21"/>
        <v>299.09083133333337</v>
      </c>
    </row>
    <row r="20" spans="1:20" ht="15.6" x14ac:dyDescent="0.3">
      <c r="A20" s="30" t="s">
        <v>171</v>
      </c>
      <c r="B20" s="31"/>
      <c r="C20" s="32"/>
      <c r="D20" s="33">
        <f t="shared" ref="D20:J20" si="22">+(D10-D13)/D10</f>
        <v>7.1987295387658801E-2</v>
      </c>
      <c r="E20" s="112">
        <f t="shared" si="22"/>
        <v>3.5026102855970478E-2</v>
      </c>
      <c r="F20" s="112">
        <f t="shared" si="22"/>
        <v>3.4753038458025839E-2</v>
      </c>
      <c r="G20" s="112">
        <f t="shared" si="22"/>
        <v>3.4952187981237656E-2</v>
      </c>
      <c r="H20" s="112">
        <f t="shared" si="22"/>
        <v>3.483215839620421E-2</v>
      </c>
      <c r="I20" s="112">
        <f t="shared" si="22"/>
        <v>3.4825110096376517E-2</v>
      </c>
      <c r="J20" s="112">
        <f t="shared" si="22"/>
        <v>3.457869419348189E-2</v>
      </c>
      <c r="K20" s="34"/>
      <c r="L20" s="35">
        <f>+(L10-L13)/L10</f>
        <v>3.489265537222043E-2</v>
      </c>
      <c r="M20" s="36"/>
      <c r="N20" s="112">
        <f t="shared" ref="N20:T20" si="23">+(N10-N13)/N10</f>
        <v>3.4893139448979496E-2</v>
      </c>
      <c r="O20" s="112">
        <f t="shared" si="23"/>
        <v>3.485517335889874E-2</v>
      </c>
      <c r="P20" s="112">
        <f t="shared" si="23"/>
        <v>3.4854892833361177E-2</v>
      </c>
      <c r="Q20" s="112">
        <f t="shared" si="23"/>
        <v>3.4854892833361177E-2</v>
      </c>
      <c r="R20" s="112">
        <f t="shared" si="23"/>
        <v>3.4925848887126229E-2</v>
      </c>
      <c r="S20" s="112">
        <f t="shared" si="23"/>
        <v>3.4859183181950727E-2</v>
      </c>
      <c r="T20" s="112">
        <f t="shared" si="23"/>
        <v>3.5274889413917661E-2</v>
      </c>
    </row>
    <row r="21" spans="1:20" ht="15.6" x14ac:dyDescent="0.3">
      <c r="A21" s="37"/>
      <c r="B21" s="31"/>
      <c r="C21" s="38"/>
      <c r="D21" s="39"/>
      <c r="E21" s="39"/>
      <c r="F21" s="39"/>
      <c r="G21" s="39"/>
      <c r="H21" s="39"/>
      <c r="I21" s="39"/>
      <c r="J21" s="39"/>
      <c r="K21" s="40"/>
      <c r="L21" s="39"/>
      <c r="M21" s="39"/>
      <c r="N21" s="39"/>
      <c r="O21" s="39"/>
      <c r="P21" s="39"/>
      <c r="Q21" s="39"/>
      <c r="R21" s="39"/>
      <c r="S21" s="39"/>
      <c r="T21" s="39"/>
    </row>
    <row r="22" spans="1:20" x14ac:dyDescent="0.25">
      <c r="A22" s="41" t="s">
        <v>172</v>
      </c>
      <c r="B22" s="42"/>
      <c r="C22" s="43"/>
      <c r="D22" s="44"/>
      <c r="E22" s="44"/>
      <c r="F22" s="44"/>
      <c r="G22" s="44"/>
      <c r="H22" s="44"/>
      <c r="I22" s="44"/>
      <c r="J22" s="44"/>
      <c r="K22" s="45"/>
      <c r="L22" s="42"/>
      <c r="M22" s="42"/>
      <c r="N22" s="44"/>
      <c r="O22" s="44"/>
      <c r="P22" s="44"/>
      <c r="Q22" s="44"/>
      <c r="R22" s="44"/>
      <c r="S22" s="44"/>
      <c r="T22" s="44"/>
    </row>
    <row r="23" spans="1:20" x14ac:dyDescent="0.25">
      <c r="A23" s="46" t="s">
        <v>173</v>
      </c>
      <c r="B23" s="47"/>
      <c r="C23" s="48" t="s">
        <v>2</v>
      </c>
      <c r="D23" s="49" t="s">
        <v>175</v>
      </c>
      <c r="E23" s="49" t="s">
        <v>176</v>
      </c>
      <c r="F23" s="49" t="s">
        <v>177</v>
      </c>
      <c r="G23" s="49" t="s">
        <v>177</v>
      </c>
      <c r="H23" s="49" t="s">
        <v>177</v>
      </c>
      <c r="I23" s="49" t="s">
        <v>177</v>
      </c>
      <c r="J23" s="49" t="s">
        <v>177</v>
      </c>
      <c r="K23" s="50"/>
      <c r="L23" s="51" t="s">
        <v>174</v>
      </c>
      <c r="M23" s="52" t="s">
        <v>2</v>
      </c>
      <c r="N23" s="49" t="s">
        <v>177</v>
      </c>
      <c r="O23" s="49" t="s">
        <v>177</v>
      </c>
      <c r="P23" s="49" t="s">
        <v>177</v>
      </c>
      <c r="Q23" s="49" t="s">
        <v>177</v>
      </c>
      <c r="R23" s="49" t="s">
        <v>177</v>
      </c>
      <c r="S23" s="49" t="s">
        <v>177</v>
      </c>
      <c r="T23" s="49" t="s">
        <v>177</v>
      </c>
    </row>
    <row r="24" spans="1:20" ht="15.6" x14ac:dyDescent="0.3">
      <c r="A24" s="53" t="s">
        <v>33</v>
      </c>
      <c r="B24" s="54"/>
      <c r="C24" s="55" t="s">
        <v>34</v>
      </c>
      <c r="D24" s="56">
        <f t="shared" ref="D24:J24" si="24">IF(D8=1,D$5*D$6*D$7,0)</f>
        <v>1.764</v>
      </c>
      <c r="E24" s="56">
        <f t="shared" si="24"/>
        <v>4.25</v>
      </c>
      <c r="F24" s="56">
        <f t="shared" si="24"/>
        <v>16.245000000000001</v>
      </c>
      <c r="G24" s="56">
        <f t="shared" si="24"/>
        <v>6</v>
      </c>
      <c r="H24" s="56">
        <f t="shared" si="24"/>
        <v>12.15</v>
      </c>
      <c r="I24" s="56">
        <f t="shared" si="24"/>
        <v>15</v>
      </c>
      <c r="J24" s="56">
        <f t="shared" si="24"/>
        <v>12.15</v>
      </c>
      <c r="K24" s="326">
        <v>17</v>
      </c>
      <c r="L24" s="58">
        <f>ROUNDUP(SUM(N24:IU24),1)</f>
        <v>90.8</v>
      </c>
      <c r="M24" s="59" t="s">
        <v>34</v>
      </c>
      <c r="N24" s="56">
        <f t="shared" ref="N24:T24" si="25">IF(N8=1,N$5*N$6*N$7,0)</f>
        <v>12.96</v>
      </c>
      <c r="O24" s="56">
        <f t="shared" si="25"/>
        <v>16.038000000000004</v>
      </c>
      <c r="P24" s="56">
        <f t="shared" si="25"/>
        <v>16.065000000000001</v>
      </c>
      <c r="Q24" s="56">
        <f t="shared" si="25"/>
        <v>16.065000000000001</v>
      </c>
      <c r="R24" s="56">
        <f t="shared" si="25"/>
        <v>10.989000000000001</v>
      </c>
      <c r="S24" s="56">
        <f t="shared" si="25"/>
        <v>15.66</v>
      </c>
      <c r="T24" s="56">
        <f t="shared" si="25"/>
        <v>2.9700000000000006</v>
      </c>
    </row>
    <row r="25" spans="1:20" ht="15.6" x14ac:dyDescent="0.3">
      <c r="A25" s="53" t="s">
        <v>40</v>
      </c>
      <c r="B25" s="54"/>
      <c r="C25" s="55" t="s">
        <v>34</v>
      </c>
      <c r="D25" s="56">
        <f t="shared" ref="D25:J25" si="26">IF(D8=2,D$5*D$6*D$7,0)</f>
        <v>0</v>
      </c>
      <c r="E25" s="56">
        <f t="shared" si="26"/>
        <v>0</v>
      </c>
      <c r="F25" s="56">
        <f t="shared" si="26"/>
        <v>0</v>
      </c>
      <c r="G25" s="56">
        <f t="shared" si="26"/>
        <v>0</v>
      </c>
      <c r="H25" s="56">
        <f t="shared" si="26"/>
        <v>0</v>
      </c>
      <c r="I25" s="56">
        <f t="shared" si="26"/>
        <v>0</v>
      </c>
      <c r="J25" s="56">
        <f t="shared" si="26"/>
        <v>0</v>
      </c>
      <c r="K25" s="326">
        <v>22</v>
      </c>
      <c r="L25" s="58">
        <f>ROUNDUP(SUM(N25:IU25),1)</f>
        <v>0</v>
      </c>
      <c r="M25" s="59" t="s">
        <v>34</v>
      </c>
      <c r="N25" s="56">
        <f t="shared" ref="N25:T25" si="27">IF(N8=2,N$5*N$6*N$7,0)</f>
        <v>0</v>
      </c>
      <c r="O25" s="56">
        <f t="shared" si="27"/>
        <v>0</v>
      </c>
      <c r="P25" s="56">
        <f t="shared" si="27"/>
        <v>0</v>
      </c>
      <c r="Q25" s="56">
        <f t="shared" si="27"/>
        <v>0</v>
      </c>
      <c r="R25" s="56">
        <f t="shared" si="27"/>
        <v>0</v>
      </c>
      <c r="S25" s="56">
        <f t="shared" si="27"/>
        <v>0</v>
      </c>
      <c r="T25" s="56">
        <f t="shared" si="27"/>
        <v>0</v>
      </c>
    </row>
    <row r="26" spans="1:20" ht="15.6" x14ac:dyDescent="0.3">
      <c r="A26" s="53" t="s">
        <v>182</v>
      </c>
      <c r="B26" s="54"/>
      <c r="C26" s="55" t="s">
        <v>34</v>
      </c>
      <c r="D26" s="56">
        <f t="shared" ref="D26:J26" si="28">+D11</f>
        <v>1.764</v>
      </c>
      <c r="E26" s="56">
        <f t="shared" si="28"/>
        <v>4.25</v>
      </c>
      <c r="F26" s="56">
        <f t="shared" si="28"/>
        <v>16.245000000000001</v>
      </c>
      <c r="G26" s="56">
        <f t="shared" si="28"/>
        <v>6</v>
      </c>
      <c r="H26" s="56">
        <f t="shared" si="28"/>
        <v>12.15</v>
      </c>
      <c r="I26" s="56">
        <f t="shared" si="28"/>
        <v>15</v>
      </c>
      <c r="J26" s="56">
        <f t="shared" si="28"/>
        <v>12.15</v>
      </c>
      <c r="K26" s="326">
        <v>75</v>
      </c>
      <c r="L26" s="58">
        <f>ROUNDUP(SUM(N26:IU26),1)</f>
        <v>90.8</v>
      </c>
      <c r="M26" s="59" t="s">
        <v>34</v>
      </c>
      <c r="N26" s="56">
        <f t="shared" ref="N26:T26" si="29">+N11</f>
        <v>12.96</v>
      </c>
      <c r="O26" s="56">
        <f t="shared" si="29"/>
        <v>16.038000000000004</v>
      </c>
      <c r="P26" s="56">
        <f t="shared" si="29"/>
        <v>16.065000000000001</v>
      </c>
      <c r="Q26" s="56">
        <f t="shared" si="29"/>
        <v>16.065000000000001</v>
      </c>
      <c r="R26" s="56">
        <f t="shared" si="29"/>
        <v>10.989000000000001</v>
      </c>
      <c r="S26" s="56">
        <f t="shared" si="29"/>
        <v>15.66</v>
      </c>
      <c r="T26" s="56">
        <f t="shared" si="29"/>
        <v>2.9700000000000006</v>
      </c>
    </row>
    <row r="27" spans="1:20" ht="15.6" x14ac:dyDescent="0.3">
      <c r="A27" s="156" t="s">
        <v>12</v>
      </c>
      <c r="B27" s="54"/>
      <c r="C27" s="55" t="s">
        <v>13</v>
      </c>
      <c r="D27" s="56"/>
      <c r="E27" s="56"/>
      <c r="F27" s="56">
        <f>((2*F$6+F$5)/6)*F$7</f>
        <v>1.9533333333333331</v>
      </c>
      <c r="G27" s="56">
        <f>((2*G$6+G$5)/6)*G$7</f>
        <v>1.3333333333333333</v>
      </c>
      <c r="H27" s="56">
        <f>((2*H$6+H$5)/2)*H$7</f>
        <v>4.95</v>
      </c>
      <c r="I27" s="56">
        <f>((2*I$6+I$5)/2)*I$7</f>
        <v>5.5</v>
      </c>
      <c r="J27" s="56">
        <f>((2*J$6+J$5)/2)*J$7</f>
        <v>4.95</v>
      </c>
      <c r="K27" s="326">
        <v>1</v>
      </c>
      <c r="L27" s="58">
        <f>ROUNDUP(SUM(N27:IU27),1)</f>
        <v>33.6</v>
      </c>
      <c r="M27" s="59" t="s">
        <v>13</v>
      </c>
      <c r="N27" s="56">
        <f t="shared" ref="N27:S27" si="30">((2*N$6+N$5)/2)*N$7</f>
        <v>5.0999999999999996</v>
      </c>
      <c r="O27" s="56">
        <f t="shared" si="30"/>
        <v>5.67</v>
      </c>
      <c r="P27" s="56">
        <f t="shared" si="30"/>
        <v>5.6750000000000007</v>
      </c>
      <c r="Q27" s="56">
        <f t="shared" si="30"/>
        <v>5.6750000000000007</v>
      </c>
      <c r="R27" s="56">
        <f t="shared" si="30"/>
        <v>4.7350000000000003</v>
      </c>
      <c r="S27" s="56">
        <f t="shared" si="30"/>
        <v>5.6</v>
      </c>
      <c r="T27" s="56">
        <f>((2*T$6+T$5)/6)*T$7</f>
        <v>1.0833333333333333</v>
      </c>
    </row>
    <row r="28" spans="1:20" ht="15.6" x14ac:dyDescent="0.3">
      <c r="A28" s="53" t="s">
        <v>15</v>
      </c>
      <c r="B28" s="54"/>
      <c r="C28" s="55" t="s">
        <v>16</v>
      </c>
      <c r="D28" s="56"/>
      <c r="E28" s="56"/>
      <c r="F28" s="56">
        <f>2*(2*F$6+F$5)*F$7/20</f>
        <v>1.1719999999999999</v>
      </c>
      <c r="G28" s="56">
        <f>2*(2*G$6+G$5)*G$7/20</f>
        <v>0.8</v>
      </c>
      <c r="H28" s="56">
        <f>2*(2*H$6+H$5)*H$7/10</f>
        <v>1.98</v>
      </c>
      <c r="I28" s="56">
        <f>2*(2*I$6+I$5)*I$7/10</f>
        <v>2.2000000000000002</v>
      </c>
      <c r="J28" s="56">
        <f>2*(2*J$6+J$5)*J$7/10</f>
        <v>1.98</v>
      </c>
      <c r="K28" s="326">
        <v>3</v>
      </c>
      <c r="L28" s="58">
        <f>ROUNDUP(SUM(N28:IU28),1)</f>
        <v>13.7</v>
      </c>
      <c r="M28" s="59" t="s">
        <v>16</v>
      </c>
      <c r="N28" s="56">
        <f t="shared" ref="N28:S28" si="31">2*(2*N$6+N$5)*N$7/10</f>
        <v>2.04</v>
      </c>
      <c r="O28" s="56">
        <f t="shared" si="31"/>
        <v>2.2679999999999998</v>
      </c>
      <c r="P28" s="56">
        <f t="shared" si="31"/>
        <v>2.2700000000000005</v>
      </c>
      <c r="Q28" s="56">
        <f t="shared" si="31"/>
        <v>2.2700000000000005</v>
      </c>
      <c r="R28" s="56">
        <f t="shared" si="31"/>
        <v>1.8940000000000001</v>
      </c>
      <c r="S28" s="56">
        <f t="shared" si="31"/>
        <v>2.2399999999999998</v>
      </c>
      <c r="T28" s="56">
        <f>2*(2*T$6+T$5)*T$7/20</f>
        <v>0.65</v>
      </c>
    </row>
    <row r="29" spans="1:20" ht="15.6" x14ac:dyDescent="0.3">
      <c r="A29" s="53" t="s">
        <v>295</v>
      </c>
      <c r="B29" s="54">
        <v>0.2</v>
      </c>
      <c r="C29" s="55" t="s">
        <v>186</v>
      </c>
      <c r="D29" s="56"/>
      <c r="E29" s="56"/>
      <c r="F29" s="56">
        <f>(2*F$6+F$5)*$B29*F$7</f>
        <v>2.3439999999999999</v>
      </c>
      <c r="G29" s="56">
        <f>(2*G$6+G$5)*$B29*G$7</f>
        <v>1.6</v>
      </c>
      <c r="H29" s="56">
        <f>(2*H$6+H$5)*$B29*H$7</f>
        <v>1.9800000000000002</v>
      </c>
      <c r="I29" s="56">
        <f>(2*I$6+I$5)*$B29*I$7</f>
        <v>2.2000000000000002</v>
      </c>
      <c r="J29" s="56">
        <f>(2*J$6+J$5)*$B29*J$7</f>
        <v>1.9800000000000002</v>
      </c>
      <c r="K29" s="326">
        <v>5</v>
      </c>
      <c r="L29" s="58">
        <f>ROUNDUP(SUM(N29:IU29)/(B29*6),1)</f>
        <v>12</v>
      </c>
      <c r="M29" s="59" t="s">
        <v>189</v>
      </c>
      <c r="N29" s="56">
        <f t="shared" ref="N29:T29" si="32">(2*N$6+N$5)*$B29*N$7</f>
        <v>2.04</v>
      </c>
      <c r="O29" s="56">
        <f t="shared" si="32"/>
        <v>2.2680000000000002</v>
      </c>
      <c r="P29" s="56">
        <f t="shared" si="32"/>
        <v>2.2700000000000005</v>
      </c>
      <c r="Q29" s="56">
        <f t="shared" si="32"/>
        <v>2.2700000000000005</v>
      </c>
      <c r="R29" s="56">
        <f t="shared" si="32"/>
        <v>1.8940000000000001</v>
      </c>
      <c r="S29" s="56">
        <f t="shared" si="32"/>
        <v>2.2399999999999998</v>
      </c>
      <c r="T29" s="56">
        <f t="shared" si="32"/>
        <v>1.3</v>
      </c>
    </row>
    <row r="30" spans="1:20" ht="15.6" x14ac:dyDescent="0.3">
      <c r="A30" s="53" t="s">
        <v>25</v>
      </c>
      <c r="B30" s="54"/>
      <c r="C30" s="55" t="s">
        <v>19</v>
      </c>
      <c r="D30" s="56"/>
      <c r="E30" s="56">
        <f>+E$6*E$7</f>
        <v>2.5</v>
      </c>
      <c r="F30" s="56">
        <f>+F$6*F$7</f>
        <v>2.25</v>
      </c>
      <c r="G30" s="56">
        <f>+G$6*G$7</f>
        <v>3</v>
      </c>
      <c r="H30" s="56">
        <f>+H$6*H$7</f>
        <v>2.7</v>
      </c>
      <c r="I30" s="56">
        <f>+I$6*I$7</f>
        <v>3</v>
      </c>
      <c r="J30" s="56"/>
      <c r="K30" s="326">
        <v>11</v>
      </c>
      <c r="L30" s="58">
        <f t="shared" ref="L30:L51" si="33">ROUNDUP(SUM(N30:IU30),1)</f>
        <v>18.899999999999999</v>
      </c>
      <c r="M30" s="59" t="s">
        <v>19</v>
      </c>
      <c r="N30" s="56">
        <f t="shared" ref="N30:T30" si="34">+N$6*N$7</f>
        <v>2.7</v>
      </c>
      <c r="O30" s="56">
        <f t="shared" si="34"/>
        <v>2.7</v>
      </c>
      <c r="P30" s="56">
        <f t="shared" si="34"/>
        <v>2.7</v>
      </c>
      <c r="Q30" s="56">
        <f t="shared" si="34"/>
        <v>2.7</v>
      </c>
      <c r="R30" s="56">
        <f t="shared" si="34"/>
        <v>2.7</v>
      </c>
      <c r="S30" s="56">
        <f t="shared" si="34"/>
        <v>2.7</v>
      </c>
      <c r="T30" s="56">
        <f t="shared" si="34"/>
        <v>2.7</v>
      </c>
    </row>
    <row r="31" spans="1:20" ht="15.6" x14ac:dyDescent="0.3">
      <c r="A31" s="53" t="s">
        <v>29</v>
      </c>
      <c r="B31" s="54"/>
      <c r="C31" s="55" t="s">
        <v>27</v>
      </c>
      <c r="D31" s="56"/>
      <c r="E31" s="56"/>
      <c r="F31" s="56">
        <f t="shared" ref="F31:J32" si="35">F$7*((2*F$6+F$5)/0.4)</f>
        <v>29.299999999999997</v>
      </c>
      <c r="G31" s="56">
        <f t="shared" si="35"/>
        <v>20</v>
      </c>
      <c r="H31" s="56">
        <f t="shared" si="35"/>
        <v>24.75</v>
      </c>
      <c r="I31" s="56">
        <f t="shared" si="35"/>
        <v>27.5</v>
      </c>
      <c r="J31" s="56">
        <f t="shared" si="35"/>
        <v>24.75</v>
      </c>
      <c r="K31" s="326">
        <v>13</v>
      </c>
      <c r="L31" s="58">
        <f t="shared" si="33"/>
        <v>178.6</v>
      </c>
      <c r="M31" s="59" t="s">
        <v>27</v>
      </c>
      <c r="N31" s="56">
        <f t="shared" ref="N31:T32" si="36">N$7*((2*N$6+N$5)/0.4)</f>
        <v>25.499999999999996</v>
      </c>
      <c r="O31" s="56">
        <f t="shared" si="36"/>
        <v>28.349999999999998</v>
      </c>
      <c r="P31" s="56">
        <f t="shared" si="36"/>
        <v>28.375000000000004</v>
      </c>
      <c r="Q31" s="56">
        <f t="shared" si="36"/>
        <v>28.375000000000004</v>
      </c>
      <c r="R31" s="56">
        <f t="shared" si="36"/>
        <v>23.675000000000001</v>
      </c>
      <c r="S31" s="56">
        <f t="shared" si="36"/>
        <v>27.999999999999996</v>
      </c>
      <c r="T31" s="56">
        <f t="shared" si="36"/>
        <v>16.25</v>
      </c>
    </row>
    <row r="32" spans="1:20" ht="15.6" x14ac:dyDescent="0.3">
      <c r="A32" s="53" t="s">
        <v>30</v>
      </c>
      <c r="B32" s="54"/>
      <c r="C32" s="55" t="s">
        <v>27</v>
      </c>
      <c r="D32" s="56"/>
      <c r="E32" s="56"/>
      <c r="F32" s="56">
        <f t="shared" si="35"/>
        <v>29.299999999999997</v>
      </c>
      <c r="G32" s="56">
        <f t="shared" si="35"/>
        <v>20</v>
      </c>
      <c r="H32" s="56">
        <f t="shared" si="35"/>
        <v>24.75</v>
      </c>
      <c r="I32" s="56">
        <f t="shared" si="35"/>
        <v>27.5</v>
      </c>
      <c r="J32" s="56">
        <f t="shared" si="35"/>
        <v>24.75</v>
      </c>
      <c r="K32" s="326">
        <v>14</v>
      </c>
      <c r="L32" s="58">
        <f t="shared" si="33"/>
        <v>178.6</v>
      </c>
      <c r="M32" s="59" t="s">
        <v>27</v>
      </c>
      <c r="N32" s="56">
        <f t="shared" si="36"/>
        <v>25.499999999999996</v>
      </c>
      <c r="O32" s="56">
        <f t="shared" si="36"/>
        <v>28.349999999999998</v>
      </c>
      <c r="P32" s="56">
        <f t="shared" si="36"/>
        <v>28.375000000000004</v>
      </c>
      <c r="Q32" s="56">
        <f t="shared" si="36"/>
        <v>28.375000000000004</v>
      </c>
      <c r="R32" s="56">
        <f t="shared" si="36"/>
        <v>23.675000000000001</v>
      </c>
      <c r="S32" s="56">
        <f t="shared" si="36"/>
        <v>27.999999999999996</v>
      </c>
      <c r="T32" s="56">
        <f t="shared" si="36"/>
        <v>16.25</v>
      </c>
    </row>
    <row r="33" spans="1:20" ht="15.6" x14ac:dyDescent="0.3">
      <c r="A33" s="53" t="s">
        <v>261</v>
      </c>
      <c r="B33" s="54">
        <v>0.25700000000000001</v>
      </c>
      <c r="C33" s="55" t="s">
        <v>186</v>
      </c>
      <c r="D33" s="56"/>
      <c r="E33" s="56">
        <f>(E$6)*$B33*E$7</f>
        <v>0.64250000000000007</v>
      </c>
      <c r="F33" s="56">
        <f>(F$6)*$B33*F$7</f>
        <v>0.57825000000000004</v>
      </c>
      <c r="G33" s="56">
        <f>(G$6)*$B33*G$7</f>
        <v>0.77100000000000002</v>
      </c>
      <c r="H33" s="56">
        <f>(H$6)*$B33*H$7</f>
        <v>0.69390000000000007</v>
      </c>
      <c r="I33" s="56">
        <f>(I$6)*$B33*I$7</f>
        <v>0.77100000000000002</v>
      </c>
      <c r="J33" s="56"/>
      <c r="K33" s="326">
        <v>31</v>
      </c>
      <c r="L33" s="58">
        <f t="shared" si="33"/>
        <v>4.8999999999999995</v>
      </c>
      <c r="M33" s="59" t="s">
        <v>47</v>
      </c>
      <c r="N33" s="56">
        <f t="shared" ref="N33:T33" si="37">(N$6)*$B33*N$7</f>
        <v>0.69390000000000007</v>
      </c>
      <c r="O33" s="56">
        <f t="shared" si="37"/>
        <v>0.69390000000000007</v>
      </c>
      <c r="P33" s="56">
        <f t="shared" si="37"/>
        <v>0.69390000000000007</v>
      </c>
      <c r="Q33" s="56">
        <f t="shared" si="37"/>
        <v>0.69390000000000007</v>
      </c>
      <c r="R33" s="56">
        <f t="shared" si="37"/>
        <v>0.69390000000000007</v>
      </c>
      <c r="S33" s="56">
        <f t="shared" si="37"/>
        <v>0.69390000000000007</v>
      </c>
      <c r="T33" s="56">
        <f t="shared" si="37"/>
        <v>0.69390000000000007</v>
      </c>
    </row>
    <row r="34" spans="1:20" ht="15.6" x14ac:dyDescent="0.3">
      <c r="A34" s="53" t="s">
        <v>54</v>
      </c>
      <c r="B34" s="54"/>
      <c r="C34" s="55" t="s">
        <v>27</v>
      </c>
      <c r="D34" s="56">
        <f>IF(D$9=1,D$7,0)</f>
        <v>0</v>
      </c>
      <c r="E34" s="56">
        <f>IF(E$9=1,2*E$7,0)</f>
        <v>2</v>
      </c>
      <c r="F34" s="56">
        <f>IF(F$9=1,2*F$7,0)</f>
        <v>2</v>
      </c>
      <c r="G34" s="56">
        <f>IF(G$9=1,2*G$7,0)</f>
        <v>2</v>
      </c>
      <c r="H34" s="56">
        <f>IF(H$9=1,2*H$7,0)</f>
        <v>2</v>
      </c>
      <c r="I34" s="56">
        <f>IF(I$9=1,2*I$7,0)</f>
        <v>2</v>
      </c>
      <c r="J34" s="56">
        <f>IF(J$9=1,J$7,0)</f>
        <v>1</v>
      </c>
      <c r="K34" s="326">
        <v>37</v>
      </c>
      <c r="L34" s="58">
        <f t="shared" si="33"/>
        <v>0</v>
      </c>
      <c r="M34" s="59" t="s">
        <v>27</v>
      </c>
      <c r="N34" s="56">
        <f t="shared" ref="N34:T34" si="38">IF(N$9=1,2*N$7,0)</f>
        <v>0</v>
      </c>
      <c r="O34" s="56">
        <f t="shared" si="38"/>
        <v>0</v>
      </c>
      <c r="P34" s="56">
        <f t="shared" si="38"/>
        <v>0</v>
      </c>
      <c r="Q34" s="56">
        <f t="shared" si="38"/>
        <v>0</v>
      </c>
      <c r="R34" s="56">
        <f t="shared" si="38"/>
        <v>0</v>
      </c>
      <c r="S34" s="56">
        <f t="shared" si="38"/>
        <v>0</v>
      </c>
      <c r="T34" s="56">
        <f t="shared" si="38"/>
        <v>0</v>
      </c>
    </row>
    <row r="35" spans="1:20" ht="15.6" x14ac:dyDescent="0.3">
      <c r="A35" s="53" t="s">
        <v>56</v>
      </c>
      <c r="B35" s="54"/>
      <c r="C35" s="55" t="s">
        <v>27</v>
      </c>
      <c r="D35" s="56">
        <f>2*D$7</f>
        <v>2</v>
      </c>
      <c r="E35" s="56">
        <f>4*E$7</f>
        <v>4</v>
      </c>
      <c r="F35" s="56">
        <f>4*F$7</f>
        <v>4</v>
      </c>
      <c r="G35" s="56">
        <f>4*G$7</f>
        <v>4</v>
      </c>
      <c r="H35" s="56">
        <f>4*H$7</f>
        <v>4</v>
      </c>
      <c r="I35" s="56">
        <f>4*I$7</f>
        <v>4</v>
      </c>
      <c r="J35" s="56">
        <v>2</v>
      </c>
      <c r="K35" s="326">
        <v>38</v>
      </c>
      <c r="L35" s="58">
        <f t="shared" si="33"/>
        <v>28</v>
      </c>
      <c r="M35" s="59" t="s">
        <v>27</v>
      </c>
      <c r="N35" s="56">
        <f t="shared" ref="N35:T35" si="39">4*N$7</f>
        <v>4</v>
      </c>
      <c r="O35" s="56">
        <f t="shared" si="39"/>
        <v>4</v>
      </c>
      <c r="P35" s="56">
        <f t="shared" si="39"/>
        <v>4</v>
      </c>
      <c r="Q35" s="56">
        <f t="shared" si="39"/>
        <v>4</v>
      </c>
      <c r="R35" s="56">
        <f t="shared" si="39"/>
        <v>4</v>
      </c>
      <c r="S35" s="56">
        <f t="shared" si="39"/>
        <v>4</v>
      </c>
      <c r="T35" s="56">
        <f t="shared" si="39"/>
        <v>4</v>
      </c>
    </row>
    <row r="36" spans="1:20" ht="15.6" x14ac:dyDescent="0.3">
      <c r="A36" s="53">
        <v>1335</v>
      </c>
      <c r="B36" s="54"/>
      <c r="C36" s="55" t="s">
        <v>27</v>
      </c>
      <c r="D36" s="56">
        <v>1</v>
      </c>
      <c r="E36" s="56">
        <v>3</v>
      </c>
      <c r="F36" s="56">
        <v>3</v>
      </c>
      <c r="G36" s="56">
        <v>3</v>
      </c>
      <c r="H36" s="56">
        <v>3</v>
      </c>
      <c r="I36" s="56">
        <v>3</v>
      </c>
      <c r="J36" s="56">
        <v>1</v>
      </c>
      <c r="K36" s="326">
        <v>61</v>
      </c>
      <c r="L36" s="58">
        <f t="shared" si="33"/>
        <v>21</v>
      </c>
      <c r="M36" s="59" t="s">
        <v>27</v>
      </c>
      <c r="N36" s="56">
        <v>3</v>
      </c>
      <c r="O36" s="56">
        <v>3</v>
      </c>
      <c r="P36" s="56">
        <v>3</v>
      </c>
      <c r="Q36" s="56">
        <v>3</v>
      </c>
      <c r="R36" s="56">
        <v>3</v>
      </c>
      <c r="S36" s="56">
        <v>3</v>
      </c>
      <c r="T36" s="56">
        <v>3</v>
      </c>
    </row>
    <row r="37" spans="1:20" ht="15.6" x14ac:dyDescent="0.3">
      <c r="A37" s="53">
        <v>1103</v>
      </c>
      <c r="B37" s="54"/>
      <c r="C37" s="61" t="s">
        <v>27</v>
      </c>
      <c r="D37" s="56">
        <f>D$7</f>
        <v>1</v>
      </c>
      <c r="E37" s="56">
        <f t="shared" ref="E37:I38" si="40">E$7*2</f>
        <v>2</v>
      </c>
      <c r="F37" s="56">
        <f t="shared" si="40"/>
        <v>2</v>
      </c>
      <c r="G37" s="56">
        <f t="shared" si="40"/>
        <v>2</v>
      </c>
      <c r="H37" s="56">
        <f t="shared" si="40"/>
        <v>2</v>
      </c>
      <c r="I37" s="56">
        <f t="shared" si="40"/>
        <v>2</v>
      </c>
      <c r="J37" s="56">
        <f>J$7</f>
        <v>1</v>
      </c>
      <c r="K37" s="326">
        <v>44</v>
      </c>
      <c r="L37" s="58">
        <f t="shared" si="33"/>
        <v>14</v>
      </c>
      <c r="M37" s="7" t="s">
        <v>27</v>
      </c>
      <c r="N37" s="56">
        <f t="shared" ref="N37:T38" si="41">N$7*2</f>
        <v>2</v>
      </c>
      <c r="O37" s="56">
        <f t="shared" si="41"/>
        <v>2</v>
      </c>
      <c r="P37" s="56">
        <f t="shared" si="41"/>
        <v>2</v>
      </c>
      <c r="Q37" s="56">
        <f t="shared" si="41"/>
        <v>2</v>
      </c>
      <c r="R37" s="56">
        <f t="shared" si="41"/>
        <v>2</v>
      </c>
      <c r="S37" s="56">
        <f t="shared" si="41"/>
        <v>2</v>
      </c>
      <c r="T37" s="56">
        <f t="shared" si="41"/>
        <v>2</v>
      </c>
    </row>
    <row r="38" spans="1:20" ht="15.6" x14ac:dyDescent="0.3">
      <c r="A38" s="60">
        <v>1101</v>
      </c>
      <c r="B38" s="54"/>
      <c r="C38" s="61" t="s">
        <v>27</v>
      </c>
      <c r="D38" s="56">
        <f>D$7</f>
        <v>1</v>
      </c>
      <c r="E38" s="56">
        <f t="shared" si="40"/>
        <v>2</v>
      </c>
      <c r="F38" s="56">
        <f t="shared" si="40"/>
        <v>2</v>
      </c>
      <c r="G38" s="56">
        <f t="shared" si="40"/>
        <v>2</v>
      </c>
      <c r="H38" s="56">
        <f t="shared" si="40"/>
        <v>2</v>
      </c>
      <c r="I38" s="56">
        <f t="shared" si="40"/>
        <v>2</v>
      </c>
      <c r="J38" s="56">
        <f>J$7</f>
        <v>1</v>
      </c>
      <c r="K38" s="326">
        <v>43</v>
      </c>
      <c r="L38" s="58">
        <f t="shared" si="33"/>
        <v>14</v>
      </c>
      <c r="M38" s="7" t="s">
        <v>27</v>
      </c>
      <c r="N38" s="56">
        <f t="shared" si="41"/>
        <v>2</v>
      </c>
      <c r="O38" s="56">
        <f t="shared" si="41"/>
        <v>2</v>
      </c>
      <c r="P38" s="56">
        <f t="shared" si="41"/>
        <v>2</v>
      </c>
      <c r="Q38" s="56">
        <f t="shared" si="41"/>
        <v>2</v>
      </c>
      <c r="R38" s="56">
        <f t="shared" si="41"/>
        <v>2</v>
      </c>
      <c r="S38" s="56">
        <f t="shared" si="41"/>
        <v>2</v>
      </c>
      <c r="T38" s="56">
        <f t="shared" si="41"/>
        <v>2</v>
      </c>
    </row>
    <row r="39" spans="1:20" ht="15.6" x14ac:dyDescent="0.3">
      <c r="A39" s="60">
        <v>1636</v>
      </c>
      <c r="B39" s="54"/>
      <c r="C39" s="61" t="s">
        <v>27</v>
      </c>
      <c r="D39" s="56">
        <f>D$7*2</f>
        <v>2</v>
      </c>
      <c r="E39" s="56">
        <f>E$7*4</f>
        <v>4</v>
      </c>
      <c r="F39" s="56">
        <f>F$7*4</f>
        <v>4</v>
      </c>
      <c r="G39" s="56">
        <f>G$7*4</f>
        <v>4</v>
      </c>
      <c r="H39" s="56">
        <f>H$7*4</f>
        <v>4</v>
      </c>
      <c r="I39" s="56">
        <f>I$7*4</f>
        <v>4</v>
      </c>
      <c r="J39" s="56">
        <f>J$7*2</f>
        <v>2</v>
      </c>
      <c r="K39" s="326">
        <v>72</v>
      </c>
      <c r="L39" s="58">
        <f t="shared" si="33"/>
        <v>28</v>
      </c>
      <c r="M39" s="7" t="s">
        <v>27</v>
      </c>
      <c r="N39" s="56">
        <f t="shared" ref="N39:T39" si="42">N$7*4</f>
        <v>4</v>
      </c>
      <c r="O39" s="56">
        <f t="shared" si="42"/>
        <v>4</v>
      </c>
      <c r="P39" s="56">
        <f t="shared" si="42"/>
        <v>4</v>
      </c>
      <c r="Q39" s="56">
        <f t="shared" si="42"/>
        <v>4</v>
      </c>
      <c r="R39" s="56">
        <f t="shared" si="42"/>
        <v>4</v>
      </c>
      <c r="S39" s="56">
        <f t="shared" si="42"/>
        <v>4</v>
      </c>
      <c r="T39" s="56">
        <f t="shared" si="42"/>
        <v>4</v>
      </c>
    </row>
    <row r="40" spans="1:20" ht="15.6" x14ac:dyDescent="0.3">
      <c r="A40" s="53">
        <v>1520</v>
      </c>
      <c r="B40" s="6"/>
      <c r="C40" s="61" t="s">
        <v>27</v>
      </c>
      <c r="D40" s="56">
        <f t="shared" ref="D40:J40" si="43">D$7</f>
        <v>1</v>
      </c>
      <c r="E40" s="56">
        <f t="shared" si="43"/>
        <v>1</v>
      </c>
      <c r="F40" s="56">
        <f t="shared" si="43"/>
        <v>1</v>
      </c>
      <c r="G40" s="56">
        <f t="shared" si="43"/>
        <v>1</v>
      </c>
      <c r="H40" s="56">
        <f t="shared" si="43"/>
        <v>1</v>
      </c>
      <c r="I40" s="56">
        <f t="shared" si="43"/>
        <v>1</v>
      </c>
      <c r="J40" s="56">
        <f t="shared" si="43"/>
        <v>1</v>
      </c>
      <c r="K40" s="326">
        <v>67</v>
      </c>
      <c r="L40" s="58">
        <f t="shared" si="33"/>
        <v>7</v>
      </c>
      <c r="M40" s="7" t="s">
        <v>27</v>
      </c>
      <c r="N40" s="56">
        <f t="shared" ref="N40:T40" si="44">N$7</f>
        <v>1</v>
      </c>
      <c r="O40" s="56">
        <f t="shared" si="44"/>
        <v>1</v>
      </c>
      <c r="P40" s="56">
        <f t="shared" si="44"/>
        <v>1</v>
      </c>
      <c r="Q40" s="56">
        <f t="shared" si="44"/>
        <v>1</v>
      </c>
      <c r="R40" s="56">
        <f t="shared" si="44"/>
        <v>1</v>
      </c>
      <c r="S40" s="56">
        <f t="shared" si="44"/>
        <v>1</v>
      </c>
      <c r="T40" s="56">
        <f t="shared" si="44"/>
        <v>1</v>
      </c>
    </row>
    <row r="41" spans="1:20" ht="15.6" x14ac:dyDescent="0.3">
      <c r="A41" s="53">
        <v>1531</v>
      </c>
      <c r="B41" s="54"/>
      <c r="C41" s="55" t="s">
        <v>27</v>
      </c>
      <c r="D41" s="56"/>
      <c r="E41" s="56">
        <f>E$7</f>
        <v>1</v>
      </c>
      <c r="F41" s="56">
        <f>F$7</f>
        <v>1</v>
      </c>
      <c r="G41" s="56">
        <f>G$7</f>
        <v>1</v>
      </c>
      <c r="H41" s="56">
        <f>H$7</f>
        <v>1</v>
      </c>
      <c r="I41" s="56">
        <f>I$7</f>
        <v>1</v>
      </c>
      <c r="J41" s="56">
        <v>1</v>
      </c>
      <c r="K41" s="326">
        <v>69</v>
      </c>
      <c r="L41" s="58">
        <f t="shared" si="33"/>
        <v>7</v>
      </c>
      <c r="M41" s="59" t="s">
        <v>27</v>
      </c>
      <c r="N41" s="56">
        <f t="shared" ref="N41:T41" si="45">N$7</f>
        <v>1</v>
      </c>
      <c r="O41" s="56">
        <f t="shared" si="45"/>
        <v>1</v>
      </c>
      <c r="P41" s="56">
        <f t="shared" si="45"/>
        <v>1</v>
      </c>
      <c r="Q41" s="56">
        <f t="shared" si="45"/>
        <v>1</v>
      </c>
      <c r="R41" s="56">
        <f t="shared" si="45"/>
        <v>1</v>
      </c>
      <c r="S41" s="56">
        <f t="shared" si="45"/>
        <v>1</v>
      </c>
      <c r="T41" s="56">
        <f t="shared" si="45"/>
        <v>1</v>
      </c>
    </row>
    <row r="42" spans="1:20" ht="15.6" x14ac:dyDescent="0.3">
      <c r="A42" s="53">
        <v>1038</v>
      </c>
      <c r="B42" s="54"/>
      <c r="C42" s="55" t="s">
        <v>27</v>
      </c>
      <c r="D42" s="56">
        <v>2</v>
      </c>
      <c r="E42" s="56">
        <f>E$7*4</f>
        <v>4</v>
      </c>
      <c r="F42" s="56">
        <f>F$7*4</f>
        <v>4</v>
      </c>
      <c r="G42" s="56">
        <f>G$7*4</f>
        <v>4</v>
      </c>
      <c r="H42" s="56">
        <f>H$7*4</f>
        <v>4</v>
      </c>
      <c r="I42" s="56">
        <f>I$7*4</f>
        <v>4</v>
      </c>
      <c r="J42" s="56">
        <v>2</v>
      </c>
      <c r="K42" s="326">
        <v>41</v>
      </c>
      <c r="L42" s="58">
        <f t="shared" si="33"/>
        <v>28</v>
      </c>
      <c r="M42" s="59" t="s">
        <v>27</v>
      </c>
      <c r="N42" s="56">
        <f t="shared" ref="N42:T42" si="46">N$7*4</f>
        <v>4</v>
      </c>
      <c r="O42" s="56">
        <f t="shared" si="46"/>
        <v>4</v>
      </c>
      <c r="P42" s="56">
        <f t="shared" si="46"/>
        <v>4</v>
      </c>
      <c r="Q42" s="56">
        <f t="shared" si="46"/>
        <v>4</v>
      </c>
      <c r="R42" s="56">
        <f t="shared" si="46"/>
        <v>4</v>
      </c>
      <c r="S42" s="56">
        <f t="shared" si="46"/>
        <v>4</v>
      </c>
      <c r="T42" s="56">
        <f t="shared" si="46"/>
        <v>4</v>
      </c>
    </row>
    <row r="43" spans="1:20" ht="15.6" x14ac:dyDescent="0.3">
      <c r="A43" s="53">
        <v>1013</v>
      </c>
      <c r="B43" s="54"/>
      <c r="C43" s="55" t="s">
        <v>27</v>
      </c>
      <c r="D43" s="56">
        <f>D$7</f>
        <v>1</v>
      </c>
      <c r="E43" s="56">
        <f>E$7*2</f>
        <v>2</v>
      </c>
      <c r="F43" s="56">
        <f>F$7*2</f>
        <v>2</v>
      </c>
      <c r="G43" s="56">
        <f>G$7*2</f>
        <v>2</v>
      </c>
      <c r="H43" s="56">
        <f>H$7*2</f>
        <v>2</v>
      </c>
      <c r="I43" s="56">
        <f>I$7*2</f>
        <v>2</v>
      </c>
      <c r="J43" s="56">
        <f>J$7</f>
        <v>1</v>
      </c>
      <c r="K43" s="326">
        <v>40</v>
      </c>
      <c r="L43" s="58">
        <f t="shared" si="33"/>
        <v>14</v>
      </c>
      <c r="M43" s="59" t="s">
        <v>27</v>
      </c>
      <c r="N43" s="56">
        <f t="shared" ref="N43:T43" si="47">N$7*2</f>
        <v>2</v>
      </c>
      <c r="O43" s="56">
        <f t="shared" si="47"/>
        <v>2</v>
      </c>
      <c r="P43" s="56">
        <f t="shared" si="47"/>
        <v>2</v>
      </c>
      <c r="Q43" s="56">
        <f t="shared" si="47"/>
        <v>2</v>
      </c>
      <c r="R43" s="56">
        <f t="shared" si="47"/>
        <v>2</v>
      </c>
      <c r="S43" s="56">
        <f t="shared" si="47"/>
        <v>2</v>
      </c>
      <c r="T43" s="56">
        <f t="shared" si="47"/>
        <v>2</v>
      </c>
    </row>
    <row r="44" spans="1:20" s="62" customFormat="1" ht="15.6" x14ac:dyDescent="0.3">
      <c r="A44" s="53">
        <v>1201</v>
      </c>
      <c r="B44" s="54"/>
      <c r="C44" s="55" t="s">
        <v>27</v>
      </c>
      <c r="D44" s="56">
        <f>+D$7</f>
        <v>1</v>
      </c>
      <c r="E44" s="56">
        <v>3</v>
      </c>
      <c r="F44" s="56">
        <v>3</v>
      </c>
      <c r="G44" s="56"/>
      <c r="H44" s="56"/>
      <c r="I44" s="56"/>
      <c r="J44" s="56"/>
      <c r="K44" s="326">
        <v>51</v>
      </c>
      <c r="L44" s="58">
        <f t="shared" si="33"/>
        <v>0</v>
      </c>
      <c r="M44" s="59" t="s">
        <v>27</v>
      </c>
      <c r="N44" s="56"/>
      <c r="O44" s="56"/>
      <c r="P44" s="56"/>
      <c r="Q44" s="56"/>
      <c r="R44" s="56"/>
      <c r="S44" s="56"/>
      <c r="T44" s="56"/>
    </row>
    <row r="45" spans="1:20" ht="15.6" x14ac:dyDescent="0.3">
      <c r="A45" s="53" t="s">
        <v>183</v>
      </c>
      <c r="B45" s="54"/>
      <c r="C45" s="55" t="s">
        <v>27</v>
      </c>
      <c r="D45" s="56">
        <f>D$7</f>
        <v>1</v>
      </c>
      <c r="E45" s="56"/>
      <c r="F45" s="56"/>
      <c r="G45" s="56"/>
      <c r="H45" s="56"/>
      <c r="I45" s="56"/>
      <c r="J45" s="56"/>
      <c r="K45" s="326">
        <v>63</v>
      </c>
      <c r="L45" s="58">
        <f t="shared" si="33"/>
        <v>0</v>
      </c>
      <c r="M45" s="59" t="s">
        <v>27</v>
      </c>
      <c r="N45" s="56"/>
      <c r="O45" s="56"/>
      <c r="P45" s="56"/>
      <c r="Q45" s="56"/>
      <c r="R45" s="56"/>
      <c r="S45" s="56"/>
      <c r="T45" s="56"/>
    </row>
    <row r="46" spans="1:20" ht="15.6" x14ac:dyDescent="0.3">
      <c r="A46" s="53" t="s">
        <v>345</v>
      </c>
      <c r="B46" s="54"/>
      <c r="C46" s="55" t="s">
        <v>27</v>
      </c>
      <c r="D46" s="56"/>
      <c r="E46" s="56"/>
      <c r="F46" s="56"/>
      <c r="G46" s="56">
        <v>1</v>
      </c>
      <c r="H46" s="56">
        <v>1</v>
      </c>
      <c r="I46" s="56">
        <v>1</v>
      </c>
      <c r="J46" s="56">
        <v>1</v>
      </c>
      <c r="K46" s="326">
        <v>62</v>
      </c>
      <c r="L46" s="58">
        <f t="shared" si="33"/>
        <v>7</v>
      </c>
      <c r="M46" s="59" t="s">
        <v>27</v>
      </c>
      <c r="N46" s="56">
        <v>1</v>
      </c>
      <c r="O46" s="56">
        <v>1</v>
      </c>
      <c r="P46" s="56">
        <v>1</v>
      </c>
      <c r="Q46" s="56">
        <v>1</v>
      </c>
      <c r="R46" s="56">
        <v>1</v>
      </c>
      <c r="S46" s="56">
        <v>1</v>
      </c>
      <c r="T46" s="56">
        <v>1</v>
      </c>
    </row>
    <row r="47" spans="1:20" ht="15.6" x14ac:dyDescent="0.3">
      <c r="A47" s="53">
        <v>1203</v>
      </c>
      <c r="B47" s="54"/>
      <c r="C47" s="55" t="s">
        <v>27</v>
      </c>
      <c r="D47" s="56"/>
      <c r="E47" s="56"/>
      <c r="F47" s="56"/>
      <c r="G47" s="56">
        <v>2</v>
      </c>
      <c r="H47" s="56">
        <v>1</v>
      </c>
      <c r="I47" s="56"/>
      <c r="J47" s="56">
        <v>1</v>
      </c>
      <c r="K47" s="326">
        <v>52</v>
      </c>
      <c r="L47" s="58">
        <f t="shared" si="33"/>
        <v>8</v>
      </c>
      <c r="M47" s="59" t="s">
        <v>27</v>
      </c>
      <c r="N47" s="56">
        <v>1</v>
      </c>
      <c r="O47" s="56">
        <v>1</v>
      </c>
      <c r="P47" s="56">
        <v>1</v>
      </c>
      <c r="Q47" s="56">
        <v>1</v>
      </c>
      <c r="R47" s="56">
        <v>1</v>
      </c>
      <c r="S47" s="56">
        <v>1</v>
      </c>
      <c r="T47" s="56">
        <v>2</v>
      </c>
    </row>
    <row r="48" spans="1:20" ht="15.6" x14ac:dyDescent="0.3">
      <c r="A48" s="53">
        <v>1209</v>
      </c>
      <c r="B48" s="54"/>
      <c r="C48" s="55" t="s">
        <v>27</v>
      </c>
      <c r="D48" s="56"/>
      <c r="E48" s="56"/>
      <c r="F48" s="56"/>
      <c r="G48" s="56"/>
      <c r="H48" s="56">
        <v>1</v>
      </c>
      <c r="I48" s="56">
        <v>2</v>
      </c>
      <c r="J48" s="56"/>
      <c r="K48" s="326">
        <v>53</v>
      </c>
      <c r="L48" s="58">
        <f t="shared" si="33"/>
        <v>6</v>
      </c>
      <c r="M48" s="59" t="s">
        <v>27</v>
      </c>
      <c r="N48" s="56">
        <v>1</v>
      </c>
      <c r="O48" s="56">
        <v>1</v>
      </c>
      <c r="P48" s="56">
        <v>1</v>
      </c>
      <c r="Q48" s="56">
        <v>1</v>
      </c>
      <c r="R48" s="56">
        <v>1</v>
      </c>
      <c r="S48" s="56">
        <v>1</v>
      </c>
      <c r="T48" s="56"/>
    </row>
    <row r="49" spans="1:20" ht="15.6" x14ac:dyDescent="0.3">
      <c r="A49" s="53">
        <v>1310</v>
      </c>
      <c r="B49" s="54"/>
      <c r="C49" s="55" t="s">
        <v>27</v>
      </c>
      <c r="D49" s="56"/>
      <c r="E49" s="56"/>
      <c r="F49" s="56"/>
      <c r="G49" s="56"/>
      <c r="H49" s="56"/>
      <c r="I49" s="56"/>
      <c r="J49" s="56">
        <v>1</v>
      </c>
      <c r="K49" s="326">
        <v>57</v>
      </c>
      <c r="L49" s="58">
        <f t="shared" si="33"/>
        <v>0</v>
      </c>
      <c r="M49" s="59" t="s">
        <v>27</v>
      </c>
      <c r="N49" s="56"/>
      <c r="O49" s="56"/>
      <c r="P49" s="56"/>
      <c r="Q49" s="56"/>
      <c r="R49" s="56"/>
      <c r="S49" s="56"/>
      <c r="T49" s="56"/>
    </row>
    <row r="50" spans="1:20" ht="15.6" x14ac:dyDescent="0.3">
      <c r="A50" s="53">
        <v>1302</v>
      </c>
      <c r="B50" s="54"/>
      <c r="C50" s="55" t="s">
        <v>27</v>
      </c>
      <c r="D50" s="56"/>
      <c r="E50" s="56"/>
      <c r="F50" s="56"/>
      <c r="G50" s="56"/>
      <c r="H50" s="56">
        <v>1</v>
      </c>
      <c r="I50" s="56">
        <v>2</v>
      </c>
      <c r="J50" s="56">
        <v>1</v>
      </c>
      <c r="K50" s="326">
        <v>55</v>
      </c>
      <c r="L50" s="58">
        <f t="shared" si="33"/>
        <v>6</v>
      </c>
      <c r="M50" s="59" t="s">
        <v>27</v>
      </c>
      <c r="N50" s="56">
        <v>1</v>
      </c>
      <c r="O50" s="56">
        <v>1</v>
      </c>
      <c r="P50" s="56">
        <v>1</v>
      </c>
      <c r="Q50" s="56">
        <v>1</v>
      </c>
      <c r="R50" s="56">
        <v>1</v>
      </c>
      <c r="S50" s="56">
        <v>1</v>
      </c>
      <c r="T50" s="56"/>
    </row>
    <row r="51" spans="1:20" ht="15.6" x14ac:dyDescent="0.3">
      <c r="A51" s="53">
        <v>1329</v>
      </c>
      <c r="B51" s="54"/>
      <c r="C51" s="55" t="s">
        <v>27</v>
      </c>
      <c r="D51" s="56"/>
      <c r="E51" s="56"/>
      <c r="F51" s="56"/>
      <c r="G51" s="56"/>
      <c r="H51" s="56">
        <v>1</v>
      </c>
      <c r="I51" s="56">
        <v>2</v>
      </c>
      <c r="J51" s="56">
        <v>1</v>
      </c>
      <c r="K51" s="326">
        <v>60</v>
      </c>
      <c r="L51" s="58">
        <f t="shared" si="33"/>
        <v>6</v>
      </c>
      <c r="M51" s="59" t="s">
        <v>27</v>
      </c>
      <c r="N51" s="56">
        <v>1</v>
      </c>
      <c r="O51" s="56">
        <v>1</v>
      </c>
      <c r="P51" s="56">
        <v>1</v>
      </c>
      <c r="Q51" s="56">
        <v>1</v>
      </c>
      <c r="R51" s="56">
        <v>1</v>
      </c>
      <c r="S51" s="56">
        <v>1</v>
      </c>
      <c r="T51" s="56"/>
    </row>
    <row r="52" spans="1:20" x14ac:dyDescent="0.25">
      <c r="C52" s="63"/>
      <c r="D52" s="63"/>
      <c r="E52" s="63"/>
      <c r="F52" s="63"/>
      <c r="G52" s="63"/>
      <c r="H52" s="63"/>
      <c r="I52" s="63"/>
      <c r="J52" s="63"/>
      <c r="N52" s="63"/>
      <c r="O52" s="63"/>
      <c r="P52" s="63"/>
      <c r="Q52" s="63"/>
      <c r="R52" s="63"/>
      <c r="S52" s="63"/>
      <c r="T52" s="63"/>
    </row>
    <row r="53" spans="1:20" x14ac:dyDescent="0.25">
      <c r="C53" s="65"/>
      <c r="D53" s="65"/>
      <c r="E53" s="65"/>
      <c r="F53" s="65"/>
      <c r="G53" s="65"/>
      <c r="H53" s="65"/>
      <c r="I53" s="65"/>
      <c r="J53" s="65"/>
      <c r="N53" s="65"/>
      <c r="O53" s="65"/>
      <c r="P53" s="65"/>
      <c r="Q53" s="65"/>
      <c r="R53" s="65"/>
      <c r="S53" s="65"/>
      <c r="T53" s="65"/>
    </row>
    <row r="54" spans="1:20" ht="15.6" x14ac:dyDescent="0.3">
      <c r="A54" s="66" t="s">
        <v>188</v>
      </c>
      <c r="B54" s="67"/>
      <c r="C54" s="68"/>
      <c r="D54" s="68">
        <f t="shared" ref="D54:J54" si="48">SUM(D55:D82)</f>
        <v>154.92956000000001</v>
      </c>
      <c r="E54" s="68">
        <f t="shared" si="48"/>
        <v>491.23935</v>
      </c>
      <c r="F54" s="68">
        <f t="shared" si="48"/>
        <v>1069.6693483333336</v>
      </c>
      <c r="G54" s="68">
        <f t="shared" si="48"/>
        <v>604.12355333333335</v>
      </c>
      <c r="H54" s="68">
        <f t="shared" si="48"/>
        <v>918.40119799999991</v>
      </c>
      <c r="I54" s="68">
        <f t="shared" si="48"/>
        <v>1066.9152199999999</v>
      </c>
      <c r="J54" s="68">
        <f t="shared" si="48"/>
        <v>776.45500000000004</v>
      </c>
      <c r="L54" s="58">
        <f t="shared" ref="L54:L82" si="49">ROUNDUP(SUM(N54:IU54),1)</f>
        <v>5568.1</v>
      </c>
      <c r="M54" s="59" t="s">
        <v>347</v>
      </c>
      <c r="N54" s="68">
        <f t="shared" ref="N54:T54" si="50">SUM(N55:N82)</f>
        <v>797.86159799999973</v>
      </c>
      <c r="O54" s="68">
        <f t="shared" si="50"/>
        <v>945.91111799999999</v>
      </c>
      <c r="P54" s="68">
        <f t="shared" si="50"/>
        <v>947.20979799999986</v>
      </c>
      <c r="Q54" s="68">
        <f t="shared" si="50"/>
        <v>947.20979799999986</v>
      </c>
      <c r="R54" s="68">
        <f t="shared" si="50"/>
        <v>703.05795799999976</v>
      </c>
      <c r="S54" s="68">
        <f t="shared" si="50"/>
        <v>927.72959799999967</v>
      </c>
      <c r="T54" s="68">
        <f t="shared" si="50"/>
        <v>299.09083133333337</v>
      </c>
    </row>
    <row r="55" spans="1:20" ht="15.6" x14ac:dyDescent="0.3">
      <c r="A55" s="53" t="s">
        <v>33</v>
      </c>
      <c r="B55" s="114"/>
      <c r="C55" s="69">
        <f>+'Costo M.P.yMat.'!F24</f>
        <v>35.89</v>
      </c>
      <c r="D55" s="56">
        <f t="shared" ref="D55:J64" si="51">+D24*$C55</f>
        <v>63.309960000000004</v>
      </c>
      <c r="E55" s="56">
        <f t="shared" si="51"/>
        <v>152.5325</v>
      </c>
      <c r="F55" s="56">
        <f t="shared" si="51"/>
        <v>583.03305</v>
      </c>
      <c r="G55" s="56">
        <f t="shared" si="51"/>
        <v>215.34</v>
      </c>
      <c r="H55" s="56">
        <f t="shared" si="51"/>
        <v>436.06350000000003</v>
      </c>
      <c r="I55" s="56">
        <f t="shared" si="51"/>
        <v>538.35</v>
      </c>
      <c r="J55" s="56">
        <f t="shared" si="51"/>
        <v>436.06350000000003</v>
      </c>
      <c r="K55" s="326">
        <v>17</v>
      </c>
      <c r="L55" s="58">
        <f t="shared" si="49"/>
        <v>3257</v>
      </c>
      <c r="M55" s="59" t="s">
        <v>347</v>
      </c>
      <c r="N55" s="56">
        <f t="shared" ref="N55:T55" si="52">+N24*$C55</f>
        <v>465.13440000000003</v>
      </c>
      <c r="O55" s="56">
        <f t="shared" si="52"/>
        <v>575.60382000000016</v>
      </c>
      <c r="P55" s="56">
        <f t="shared" si="52"/>
        <v>576.57285000000002</v>
      </c>
      <c r="Q55" s="56">
        <f t="shared" si="52"/>
        <v>576.57285000000002</v>
      </c>
      <c r="R55" s="56">
        <f t="shared" si="52"/>
        <v>394.39521000000002</v>
      </c>
      <c r="S55" s="56">
        <f t="shared" si="52"/>
        <v>562.03740000000005</v>
      </c>
      <c r="T55" s="56">
        <f t="shared" si="52"/>
        <v>106.59330000000003</v>
      </c>
    </row>
    <row r="56" spans="1:20" ht="15.6" x14ac:dyDescent="0.3">
      <c r="A56" s="53" t="s">
        <v>40</v>
      </c>
      <c r="B56" s="114"/>
      <c r="C56" s="69">
        <f>+'Costo M.P.yMat.'!F29</f>
        <v>46.66</v>
      </c>
      <c r="D56" s="56">
        <f t="shared" si="51"/>
        <v>0</v>
      </c>
      <c r="E56" s="56">
        <f t="shared" si="51"/>
        <v>0</v>
      </c>
      <c r="F56" s="56">
        <f t="shared" si="51"/>
        <v>0</v>
      </c>
      <c r="G56" s="56">
        <f t="shared" si="51"/>
        <v>0</v>
      </c>
      <c r="H56" s="56">
        <f t="shared" si="51"/>
        <v>0</v>
      </c>
      <c r="I56" s="56">
        <f t="shared" si="51"/>
        <v>0</v>
      </c>
      <c r="J56" s="56">
        <f t="shared" si="51"/>
        <v>0</v>
      </c>
      <c r="K56" s="326">
        <v>22</v>
      </c>
      <c r="L56" s="58">
        <f t="shared" si="49"/>
        <v>0</v>
      </c>
      <c r="M56" s="59" t="s">
        <v>347</v>
      </c>
      <c r="N56" s="56">
        <f t="shared" ref="N56:T56" si="53">+N25*$C56</f>
        <v>0</v>
      </c>
      <c r="O56" s="56">
        <f t="shared" si="53"/>
        <v>0</v>
      </c>
      <c r="P56" s="56">
        <f t="shared" si="53"/>
        <v>0</v>
      </c>
      <c r="Q56" s="56">
        <f t="shared" si="53"/>
        <v>0</v>
      </c>
      <c r="R56" s="56">
        <f t="shared" si="53"/>
        <v>0</v>
      </c>
      <c r="S56" s="56">
        <f t="shared" si="53"/>
        <v>0</v>
      </c>
      <c r="T56" s="56">
        <f t="shared" si="53"/>
        <v>0</v>
      </c>
    </row>
    <row r="57" spans="1:20" ht="15.6" x14ac:dyDescent="0.3">
      <c r="A57" s="53" t="s">
        <v>182</v>
      </c>
      <c r="B57" s="114"/>
      <c r="C57" s="69">
        <f>+'Costo M.P.yMat.'!F82</f>
        <v>11.4</v>
      </c>
      <c r="D57" s="56">
        <f t="shared" si="51"/>
        <v>20.1096</v>
      </c>
      <c r="E57" s="56">
        <f t="shared" si="51"/>
        <v>48.45</v>
      </c>
      <c r="F57" s="56">
        <f t="shared" si="51"/>
        <v>185.19300000000001</v>
      </c>
      <c r="G57" s="56">
        <f t="shared" si="51"/>
        <v>68.400000000000006</v>
      </c>
      <c r="H57" s="56">
        <f t="shared" si="51"/>
        <v>138.51000000000002</v>
      </c>
      <c r="I57" s="56">
        <f t="shared" si="51"/>
        <v>171</v>
      </c>
      <c r="J57" s="56">
        <f t="shared" si="51"/>
        <v>138.51000000000002</v>
      </c>
      <c r="K57" s="326">
        <v>75</v>
      </c>
      <c r="L57" s="58">
        <f t="shared" si="49"/>
        <v>1034.5999999999999</v>
      </c>
      <c r="M57" s="59" t="s">
        <v>347</v>
      </c>
      <c r="N57" s="56">
        <f t="shared" ref="N57:T57" si="54">+N26*$C57</f>
        <v>147.74400000000003</v>
      </c>
      <c r="O57" s="56">
        <f t="shared" si="54"/>
        <v>182.83320000000006</v>
      </c>
      <c r="P57" s="56">
        <f t="shared" si="54"/>
        <v>183.14100000000002</v>
      </c>
      <c r="Q57" s="56">
        <f t="shared" si="54"/>
        <v>183.14100000000002</v>
      </c>
      <c r="R57" s="56">
        <f t="shared" si="54"/>
        <v>125.27460000000001</v>
      </c>
      <c r="S57" s="56">
        <f t="shared" si="54"/>
        <v>178.524</v>
      </c>
      <c r="T57" s="56">
        <f t="shared" si="54"/>
        <v>33.858000000000011</v>
      </c>
    </row>
    <row r="58" spans="1:20" ht="15.6" x14ac:dyDescent="0.3">
      <c r="A58" s="53" t="s">
        <v>190</v>
      </c>
      <c r="B58" s="114"/>
      <c r="C58" s="69">
        <f>+'Costo M.P.yMat.'!F7</f>
        <v>3.3099999999999996</v>
      </c>
      <c r="D58" s="56">
        <f t="shared" si="51"/>
        <v>0</v>
      </c>
      <c r="E58" s="56">
        <f t="shared" si="51"/>
        <v>0</v>
      </c>
      <c r="F58" s="56">
        <f t="shared" si="51"/>
        <v>6.4655333333333322</v>
      </c>
      <c r="G58" s="56">
        <f t="shared" si="51"/>
        <v>4.4133333333333322</v>
      </c>
      <c r="H58" s="56">
        <f t="shared" si="51"/>
        <v>16.384499999999999</v>
      </c>
      <c r="I58" s="56">
        <f t="shared" si="51"/>
        <v>18.204999999999998</v>
      </c>
      <c r="J58" s="56">
        <f t="shared" si="51"/>
        <v>16.384499999999999</v>
      </c>
      <c r="K58" s="326">
        <v>1</v>
      </c>
      <c r="L58" s="58">
        <f t="shared" si="49"/>
        <v>111.1</v>
      </c>
      <c r="M58" s="59" t="s">
        <v>347</v>
      </c>
      <c r="N58" s="56">
        <f t="shared" ref="N58:T58" si="55">+N27*$C58</f>
        <v>16.880999999999997</v>
      </c>
      <c r="O58" s="56">
        <f t="shared" si="55"/>
        <v>18.767699999999998</v>
      </c>
      <c r="P58" s="56">
        <f t="shared" si="55"/>
        <v>18.78425</v>
      </c>
      <c r="Q58" s="56">
        <f t="shared" si="55"/>
        <v>18.78425</v>
      </c>
      <c r="R58" s="56">
        <f t="shared" si="55"/>
        <v>15.672849999999999</v>
      </c>
      <c r="S58" s="56">
        <f t="shared" si="55"/>
        <v>18.535999999999998</v>
      </c>
      <c r="T58" s="56">
        <f t="shared" si="55"/>
        <v>3.5858333333333325</v>
      </c>
    </row>
    <row r="59" spans="1:20" ht="15.6" x14ac:dyDescent="0.3">
      <c r="A59" s="53" t="s">
        <v>15</v>
      </c>
      <c r="B59" s="114"/>
      <c r="C59" s="69">
        <f>+'Costo M.P.yMat.'!F9</f>
        <v>0.75</v>
      </c>
      <c r="D59" s="56">
        <f t="shared" si="51"/>
        <v>0</v>
      </c>
      <c r="E59" s="56">
        <f t="shared" si="51"/>
        <v>0</v>
      </c>
      <c r="F59" s="56">
        <f t="shared" si="51"/>
        <v>0.879</v>
      </c>
      <c r="G59" s="56">
        <f t="shared" si="51"/>
        <v>0.60000000000000009</v>
      </c>
      <c r="H59" s="56">
        <f t="shared" si="51"/>
        <v>1.4849999999999999</v>
      </c>
      <c r="I59" s="56">
        <f t="shared" si="51"/>
        <v>1.6500000000000001</v>
      </c>
      <c r="J59" s="56">
        <f t="shared" si="51"/>
        <v>1.4849999999999999</v>
      </c>
      <c r="K59" s="326">
        <v>3</v>
      </c>
      <c r="L59" s="58">
        <f t="shared" si="49"/>
        <v>10.299999999999999</v>
      </c>
      <c r="M59" s="59" t="s">
        <v>347</v>
      </c>
      <c r="N59" s="56">
        <f t="shared" ref="N59:T59" si="56">+N28*$C59</f>
        <v>1.53</v>
      </c>
      <c r="O59" s="56">
        <f t="shared" si="56"/>
        <v>1.7009999999999998</v>
      </c>
      <c r="P59" s="56">
        <f t="shared" si="56"/>
        <v>1.7025000000000003</v>
      </c>
      <c r="Q59" s="56">
        <f t="shared" si="56"/>
        <v>1.7025000000000003</v>
      </c>
      <c r="R59" s="56">
        <f t="shared" si="56"/>
        <v>1.4205000000000001</v>
      </c>
      <c r="S59" s="56">
        <f t="shared" si="56"/>
        <v>1.6799999999999997</v>
      </c>
      <c r="T59" s="56">
        <f t="shared" si="56"/>
        <v>0.48750000000000004</v>
      </c>
    </row>
    <row r="60" spans="1:20" ht="15.6" x14ac:dyDescent="0.3">
      <c r="A60" s="53" t="s">
        <v>295</v>
      </c>
      <c r="B60" s="54"/>
      <c r="C60" s="69">
        <f>+'Costo M.P.yMat.'!F10</f>
        <v>0.9</v>
      </c>
      <c r="D60" s="56">
        <f t="shared" si="51"/>
        <v>0</v>
      </c>
      <c r="E60" s="56">
        <f t="shared" si="51"/>
        <v>0</v>
      </c>
      <c r="F60" s="56">
        <f t="shared" si="51"/>
        <v>2.1095999999999999</v>
      </c>
      <c r="G60" s="56">
        <f t="shared" si="51"/>
        <v>1.4400000000000002</v>
      </c>
      <c r="H60" s="56">
        <f t="shared" si="51"/>
        <v>1.7820000000000003</v>
      </c>
      <c r="I60" s="56">
        <f t="shared" si="51"/>
        <v>1.9800000000000002</v>
      </c>
      <c r="J60" s="56">
        <f t="shared" si="51"/>
        <v>1.7820000000000003</v>
      </c>
      <c r="K60" s="326">
        <v>5</v>
      </c>
      <c r="L60" s="58">
        <f t="shared" si="49"/>
        <v>12.9</v>
      </c>
      <c r="M60" s="59" t="s">
        <v>347</v>
      </c>
      <c r="N60" s="56">
        <f t="shared" ref="N60:T60" si="57">+N29*$C60</f>
        <v>1.8360000000000001</v>
      </c>
      <c r="O60" s="56">
        <f t="shared" si="57"/>
        <v>2.0412000000000003</v>
      </c>
      <c r="P60" s="56">
        <f t="shared" si="57"/>
        <v>2.0430000000000006</v>
      </c>
      <c r="Q60" s="56">
        <f t="shared" si="57"/>
        <v>2.0430000000000006</v>
      </c>
      <c r="R60" s="56">
        <f t="shared" si="57"/>
        <v>1.7046000000000001</v>
      </c>
      <c r="S60" s="56">
        <f t="shared" si="57"/>
        <v>2.016</v>
      </c>
      <c r="T60" s="56">
        <f t="shared" si="57"/>
        <v>1.1700000000000002</v>
      </c>
    </row>
    <row r="61" spans="1:20" ht="15.6" x14ac:dyDescent="0.3">
      <c r="A61" s="53" t="s">
        <v>25</v>
      </c>
      <c r="B61" s="114"/>
      <c r="C61" s="69">
        <f>+'Costo M.P.yMat.'!F17</f>
        <v>0.18000000000000002</v>
      </c>
      <c r="D61" s="56">
        <f t="shared" si="51"/>
        <v>0</v>
      </c>
      <c r="E61" s="56">
        <f t="shared" si="51"/>
        <v>0.45000000000000007</v>
      </c>
      <c r="F61" s="56">
        <f t="shared" si="51"/>
        <v>0.40500000000000003</v>
      </c>
      <c r="G61" s="56">
        <f t="shared" si="51"/>
        <v>0.54</v>
      </c>
      <c r="H61" s="56">
        <f t="shared" si="51"/>
        <v>0.4860000000000001</v>
      </c>
      <c r="I61" s="56">
        <f t="shared" si="51"/>
        <v>0.54</v>
      </c>
      <c r="J61" s="56">
        <f t="shared" si="51"/>
        <v>0</v>
      </c>
      <c r="K61" s="326">
        <v>11</v>
      </c>
      <c r="L61" s="58">
        <f t="shared" si="49"/>
        <v>3.5</v>
      </c>
      <c r="M61" s="59" t="s">
        <v>347</v>
      </c>
      <c r="N61" s="56">
        <f t="shared" ref="N61:T61" si="58">+N30*$C61</f>
        <v>0.4860000000000001</v>
      </c>
      <c r="O61" s="56">
        <f t="shared" si="58"/>
        <v>0.4860000000000001</v>
      </c>
      <c r="P61" s="56">
        <f t="shared" si="58"/>
        <v>0.4860000000000001</v>
      </c>
      <c r="Q61" s="56">
        <f t="shared" si="58"/>
        <v>0.4860000000000001</v>
      </c>
      <c r="R61" s="56">
        <f t="shared" si="58"/>
        <v>0.4860000000000001</v>
      </c>
      <c r="S61" s="56">
        <f t="shared" si="58"/>
        <v>0.4860000000000001</v>
      </c>
      <c r="T61" s="56">
        <f t="shared" si="58"/>
        <v>0.4860000000000001</v>
      </c>
    </row>
    <row r="62" spans="1:20" ht="15.6" x14ac:dyDescent="0.3">
      <c r="A62" s="53" t="s">
        <v>29</v>
      </c>
      <c r="B62" s="114"/>
      <c r="C62" s="69">
        <f>+'Costo M.P.yMat.'!F19</f>
        <v>0.04</v>
      </c>
      <c r="D62" s="56">
        <f t="shared" si="51"/>
        <v>0</v>
      </c>
      <c r="E62" s="56">
        <f t="shared" si="51"/>
        <v>0</v>
      </c>
      <c r="F62" s="56">
        <f t="shared" si="51"/>
        <v>1.1719999999999999</v>
      </c>
      <c r="G62" s="56">
        <f t="shared" si="51"/>
        <v>0.8</v>
      </c>
      <c r="H62" s="56">
        <f t="shared" si="51"/>
        <v>0.99</v>
      </c>
      <c r="I62" s="56">
        <f t="shared" si="51"/>
        <v>1.1000000000000001</v>
      </c>
      <c r="J62" s="56">
        <f t="shared" si="51"/>
        <v>0.99</v>
      </c>
      <c r="K62" s="326">
        <v>13</v>
      </c>
      <c r="L62" s="58">
        <f t="shared" si="49"/>
        <v>7.1999999999999993</v>
      </c>
      <c r="M62" s="59" t="s">
        <v>347</v>
      </c>
      <c r="N62" s="56">
        <f t="shared" ref="N62:T62" si="59">+N31*$C62</f>
        <v>1.0199999999999998</v>
      </c>
      <c r="O62" s="56">
        <f t="shared" si="59"/>
        <v>1.1339999999999999</v>
      </c>
      <c r="P62" s="56">
        <f t="shared" si="59"/>
        <v>1.1350000000000002</v>
      </c>
      <c r="Q62" s="56">
        <f t="shared" si="59"/>
        <v>1.1350000000000002</v>
      </c>
      <c r="R62" s="56">
        <f t="shared" si="59"/>
        <v>0.94700000000000006</v>
      </c>
      <c r="S62" s="56">
        <f t="shared" si="59"/>
        <v>1.1199999999999999</v>
      </c>
      <c r="T62" s="56">
        <f t="shared" si="59"/>
        <v>0.65</v>
      </c>
    </row>
    <row r="63" spans="1:20" ht="15.6" x14ac:dyDescent="0.3">
      <c r="A63" s="53" t="s">
        <v>30</v>
      </c>
      <c r="B63" s="114"/>
      <c r="C63" s="69">
        <f>+'Costo M.P.yMat.'!F20</f>
        <v>0.04</v>
      </c>
      <c r="D63" s="56">
        <f t="shared" si="51"/>
        <v>0</v>
      </c>
      <c r="E63" s="56">
        <f t="shared" si="51"/>
        <v>0</v>
      </c>
      <c r="F63" s="56">
        <f t="shared" si="51"/>
        <v>1.1719999999999999</v>
      </c>
      <c r="G63" s="56">
        <f t="shared" si="51"/>
        <v>0.8</v>
      </c>
      <c r="H63" s="56">
        <f t="shared" si="51"/>
        <v>0.99</v>
      </c>
      <c r="I63" s="56">
        <f t="shared" si="51"/>
        <v>1.1000000000000001</v>
      </c>
      <c r="J63" s="56">
        <f t="shared" si="51"/>
        <v>0.99</v>
      </c>
      <c r="K63" s="326">
        <v>14</v>
      </c>
      <c r="L63" s="58">
        <f t="shared" si="49"/>
        <v>7.1999999999999993</v>
      </c>
      <c r="M63" s="59" t="s">
        <v>347</v>
      </c>
      <c r="N63" s="56">
        <f t="shared" ref="N63:T63" si="60">+N32*$C63</f>
        <v>1.0199999999999998</v>
      </c>
      <c r="O63" s="56">
        <f t="shared" si="60"/>
        <v>1.1339999999999999</v>
      </c>
      <c r="P63" s="56">
        <f t="shared" si="60"/>
        <v>1.1350000000000002</v>
      </c>
      <c r="Q63" s="56">
        <f t="shared" si="60"/>
        <v>1.1350000000000002</v>
      </c>
      <c r="R63" s="56">
        <f t="shared" si="60"/>
        <v>0.94700000000000006</v>
      </c>
      <c r="S63" s="56">
        <f t="shared" si="60"/>
        <v>1.1199999999999999</v>
      </c>
      <c r="T63" s="56">
        <f t="shared" si="60"/>
        <v>0.65</v>
      </c>
    </row>
    <row r="64" spans="1:20" ht="15.6" x14ac:dyDescent="0.3">
      <c r="A64" s="53" t="s">
        <v>261</v>
      </c>
      <c r="B64" s="54">
        <v>0.25700000000000001</v>
      </c>
      <c r="C64" s="69">
        <f>+'Costo M.P.yMat.'!F96</f>
        <v>8.82</v>
      </c>
      <c r="D64" s="56">
        <f t="shared" si="51"/>
        <v>0</v>
      </c>
      <c r="E64" s="56">
        <f t="shared" si="51"/>
        <v>5.6668500000000011</v>
      </c>
      <c r="F64" s="56">
        <f t="shared" si="51"/>
        <v>5.1001650000000005</v>
      </c>
      <c r="G64" s="56">
        <f t="shared" si="51"/>
        <v>6.8002200000000004</v>
      </c>
      <c r="H64" s="56">
        <f t="shared" si="51"/>
        <v>6.1201980000000011</v>
      </c>
      <c r="I64" s="56">
        <f t="shared" si="51"/>
        <v>6.8002200000000004</v>
      </c>
      <c r="J64" s="56">
        <f t="shared" si="51"/>
        <v>0</v>
      </c>
      <c r="K64" s="326">
        <v>31</v>
      </c>
      <c r="L64" s="58">
        <f t="shared" si="49"/>
        <v>42.9</v>
      </c>
      <c r="M64" s="59" t="s">
        <v>347</v>
      </c>
      <c r="N64" s="56">
        <f t="shared" ref="N64:T64" si="61">+N33*$C64</f>
        <v>6.1201980000000011</v>
      </c>
      <c r="O64" s="56">
        <f t="shared" si="61"/>
        <v>6.1201980000000011</v>
      </c>
      <c r="P64" s="56">
        <f t="shared" si="61"/>
        <v>6.1201980000000011</v>
      </c>
      <c r="Q64" s="56">
        <f t="shared" si="61"/>
        <v>6.1201980000000011</v>
      </c>
      <c r="R64" s="56">
        <f t="shared" si="61"/>
        <v>6.1201980000000011</v>
      </c>
      <c r="S64" s="56">
        <f t="shared" si="61"/>
        <v>6.1201980000000011</v>
      </c>
      <c r="T64" s="56">
        <f t="shared" si="61"/>
        <v>6.1201980000000011</v>
      </c>
    </row>
    <row r="65" spans="1:20" ht="15.6" x14ac:dyDescent="0.3">
      <c r="A65" s="53" t="s">
        <v>54</v>
      </c>
      <c r="B65" s="114"/>
      <c r="C65" s="69">
        <f>+'Costo M.P.yMat.'!F44</f>
        <v>79.75</v>
      </c>
      <c r="D65" s="56">
        <f t="shared" ref="D65:J74" si="62">+D34*$C65</f>
        <v>0</v>
      </c>
      <c r="E65" s="56">
        <f t="shared" si="62"/>
        <v>159.5</v>
      </c>
      <c r="F65" s="56">
        <f t="shared" si="62"/>
        <v>159.5</v>
      </c>
      <c r="G65" s="56">
        <f t="shared" si="62"/>
        <v>159.5</v>
      </c>
      <c r="H65" s="56">
        <f t="shared" si="62"/>
        <v>159.5</v>
      </c>
      <c r="I65" s="56">
        <f t="shared" si="62"/>
        <v>159.5</v>
      </c>
      <c r="J65" s="56">
        <f t="shared" si="62"/>
        <v>79.75</v>
      </c>
      <c r="K65" s="326">
        <v>37</v>
      </c>
      <c r="L65" s="58">
        <f t="shared" si="49"/>
        <v>0</v>
      </c>
      <c r="M65" s="59" t="s">
        <v>347</v>
      </c>
      <c r="N65" s="56">
        <f t="shared" ref="N65:T65" si="63">+N34*$C65</f>
        <v>0</v>
      </c>
      <c r="O65" s="56">
        <f t="shared" si="63"/>
        <v>0</v>
      </c>
      <c r="P65" s="56">
        <f t="shared" si="63"/>
        <v>0</v>
      </c>
      <c r="Q65" s="56">
        <f t="shared" si="63"/>
        <v>0</v>
      </c>
      <c r="R65" s="56">
        <f t="shared" si="63"/>
        <v>0</v>
      </c>
      <c r="S65" s="56">
        <f t="shared" si="63"/>
        <v>0</v>
      </c>
      <c r="T65" s="56">
        <f t="shared" si="63"/>
        <v>0</v>
      </c>
    </row>
    <row r="66" spans="1:20" ht="15.6" x14ac:dyDescent="0.3">
      <c r="A66" s="53" t="s">
        <v>56</v>
      </c>
      <c r="B66" s="114"/>
      <c r="C66" s="69">
        <f>+'Costo M.P.yMat.'!F45</f>
        <v>3.42</v>
      </c>
      <c r="D66" s="56">
        <f t="shared" si="62"/>
        <v>6.84</v>
      </c>
      <c r="E66" s="56">
        <f t="shared" si="62"/>
        <v>13.68</v>
      </c>
      <c r="F66" s="56">
        <f t="shared" si="62"/>
        <v>13.68</v>
      </c>
      <c r="G66" s="56">
        <f t="shared" si="62"/>
        <v>13.68</v>
      </c>
      <c r="H66" s="56">
        <f t="shared" si="62"/>
        <v>13.68</v>
      </c>
      <c r="I66" s="56">
        <f t="shared" si="62"/>
        <v>13.68</v>
      </c>
      <c r="J66" s="56">
        <f t="shared" si="62"/>
        <v>6.84</v>
      </c>
      <c r="K66" s="326">
        <v>38</v>
      </c>
      <c r="L66" s="58">
        <f t="shared" si="49"/>
        <v>95.8</v>
      </c>
      <c r="M66" s="59" t="s">
        <v>347</v>
      </c>
      <c r="N66" s="56">
        <f t="shared" ref="N66:T66" si="64">+N35*$C66</f>
        <v>13.68</v>
      </c>
      <c r="O66" s="56">
        <f t="shared" si="64"/>
        <v>13.68</v>
      </c>
      <c r="P66" s="56">
        <f t="shared" si="64"/>
        <v>13.68</v>
      </c>
      <c r="Q66" s="56">
        <f t="shared" si="64"/>
        <v>13.68</v>
      </c>
      <c r="R66" s="56">
        <f t="shared" si="64"/>
        <v>13.68</v>
      </c>
      <c r="S66" s="56">
        <f t="shared" si="64"/>
        <v>13.68</v>
      </c>
      <c r="T66" s="56">
        <f t="shared" si="64"/>
        <v>13.68</v>
      </c>
    </row>
    <row r="67" spans="1:20" ht="15.6" x14ac:dyDescent="0.3">
      <c r="A67" s="53">
        <v>1335</v>
      </c>
      <c r="B67" s="114"/>
      <c r="C67" s="69">
        <f>+'Costo M.P.yMat.'!F68</f>
        <v>5.87</v>
      </c>
      <c r="D67" s="56">
        <f t="shared" si="62"/>
        <v>5.87</v>
      </c>
      <c r="E67" s="56">
        <f t="shared" si="62"/>
        <v>17.61</v>
      </c>
      <c r="F67" s="56">
        <f t="shared" si="62"/>
        <v>17.61</v>
      </c>
      <c r="G67" s="56">
        <f t="shared" si="62"/>
        <v>17.61</v>
      </c>
      <c r="H67" s="56">
        <f t="shared" si="62"/>
        <v>17.61</v>
      </c>
      <c r="I67" s="56">
        <f t="shared" si="62"/>
        <v>17.61</v>
      </c>
      <c r="J67" s="56">
        <f t="shared" si="62"/>
        <v>5.87</v>
      </c>
      <c r="K67" s="326">
        <v>61</v>
      </c>
      <c r="L67" s="58">
        <f t="shared" si="49"/>
        <v>123.3</v>
      </c>
      <c r="M67" s="59" t="s">
        <v>347</v>
      </c>
      <c r="N67" s="56">
        <f t="shared" ref="N67:T67" si="65">+N36*$C67</f>
        <v>17.61</v>
      </c>
      <c r="O67" s="56">
        <f t="shared" si="65"/>
        <v>17.61</v>
      </c>
      <c r="P67" s="56">
        <f t="shared" si="65"/>
        <v>17.61</v>
      </c>
      <c r="Q67" s="56">
        <f t="shared" si="65"/>
        <v>17.61</v>
      </c>
      <c r="R67" s="56">
        <f t="shared" si="65"/>
        <v>17.61</v>
      </c>
      <c r="S67" s="56">
        <f t="shared" si="65"/>
        <v>17.61</v>
      </c>
      <c r="T67" s="56">
        <f t="shared" si="65"/>
        <v>17.61</v>
      </c>
    </row>
    <row r="68" spans="1:20" ht="15.6" x14ac:dyDescent="0.3">
      <c r="A68" s="53">
        <v>1103</v>
      </c>
      <c r="B68" s="114"/>
      <c r="C68" s="69">
        <f>+'Costo M.P.yMat.'!F51</f>
        <v>9.86</v>
      </c>
      <c r="D68" s="56">
        <f t="shared" si="62"/>
        <v>9.86</v>
      </c>
      <c r="E68" s="56">
        <f t="shared" si="62"/>
        <v>19.72</v>
      </c>
      <c r="F68" s="56">
        <f t="shared" si="62"/>
        <v>19.72</v>
      </c>
      <c r="G68" s="56">
        <f t="shared" si="62"/>
        <v>19.72</v>
      </c>
      <c r="H68" s="56">
        <f t="shared" si="62"/>
        <v>19.72</v>
      </c>
      <c r="I68" s="56">
        <f t="shared" si="62"/>
        <v>19.72</v>
      </c>
      <c r="J68" s="56">
        <f t="shared" si="62"/>
        <v>9.86</v>
      </c>
      <c r="K68" s="326">
        <v>44</v>
      </c>
      <c r="L68" s="58">
        <f t="shared" si="49"/>
        <v>138.1</v>
      </c>
      <c r="M68" s="59" t="s">
        <v>347</v>
      </c>
      <c r="N68" s="56">
        <f t="shared" ref="N68:T68" si="66">+N37*$C68</f>
        <v>19.72</v>
      </c>
      <c r="O68" s="56">
        <f t="shared" si="66"/>
        <v>19.72</v>
      </c>
      <c r="P68" s="56">
        <f t="shared" si="66"/>
        <v>19.72</v>
      </c>
      <c r="Q68" s="56">
        <f t="shared" si="66"/>
        <v>19.72</v>
      </c>
      <c r="R68" s="56">
        <f t="shared" si="66"/>
        <v>19.72</v>
      </c>
      <c r="S68" s="56">
        <f t="shared" si="66"/>
        <v>19.72</v>
      </c>
      <c r="T68" s="56">
        <f t="shared" si="66"/>
        <v>19.72</v>
      </c>
    </row>
    <row r="69" spans="1:20" ht="15.6" x14ac:dyDescent="0.3">
      <c r="A69" s="60">
        <v>1101</v>
      </c>
      <c r="B69" s="114"/>
      <c r="C69" s="69">
        <f>+'Costo M.P.yMat.'!F50</f>
        <v>8.7200000000000006</v>
      </c>
      <c r="D69" s="56">
        <f t="shared" si="62"/>
        <v>8.7200000000000006</v>
      </c>
      <c r="E69" s="56">
        <f t="shared" si="62"/>
        <v>17.440000000000001</v>
      </c>
      <c r="F69" s="56">
        <f t="shared" si="62"/>
        <v>17.440000000000001</v>
      </c>
      <c r="G69" s="56">
        <f t="shared" si="62"/>
        <v>17.440000000000001</v>
      </c>
      <c r="H69" s="56">
        <f t="shared" si="62"/>
        <v>17.440000000000001</v>
      </c>
      <c r="I69" s="56">
        <f t="shared" si="62"/>
        <v>17.440000000000001</v>
      </c>
      <c r="J69" s="56">
        <f t="shared" si="62"/>
        <v>8.7200000000000006</v>
      </c>
      <c r="K69" s="326">
        <v>43</v>
      </c>
      <c r="L69" s="58">
        <f t="shared" si="49"/>
        <v>122.1</v>
      </c>
      <c r="M69" s="59" t="s">
        <v>347</v>
      </c>
      <c r="N69" s="56">
        <f t="shared" ref="N69:T69" si="67">+N38*$C69</f>
        <v>17.440000000000001</v>
      </c>
      <c r="O69" s="56">
        <f t="shared" si="67"/>
        <v>17.440000000000001</v>
      </c>
      <c r="P69" s="56">
        <f t="shared" si="67"/>
        <v>17.440000000000001</v>
      </c>
      <c r="Q69" s="56">
        <f t="shared" si="67"/>
        <v>17.440000000000001</v>
      </c>
      <c r="R69" s="56">
        <f t="shared" si="67"/>
        <v>17.440000000000001</v>
      </c>
      <c r="S69" s="56">
        <f t="shared" si="67"/>
        <v>17.440000000000001</v>
      </c>
      <c r="T69" s="56">
        <f t="shared" si="67"/>
        <v>17.440000000000001</v>
      </c>
    </row>
    <row r="70" spans="1:20" ht="15.6" x14ac:dyDescent="0.3">
      <c r="A70" s="60">
        <v>1636</v>
      </c>
      <c r="B70" s="114"/>
      <c r="C70" s="69">
        <f>+'Costo M.P.yMat.'!F79</f>
        <v>3.82</v>
      </c>
      <c r="D70" s="56">
        <f t="shared" si="62"/>
        <v>7.64</v>
      </c>
      <c r="E70" s="56">
        <f t="shared" si="62"/>
        <v>15.28</v>
      </c>
      <c r="F70" s="56">
        <f t="shared" si="62"/>
        <v>15.28</v>
      </c>
      <c r="G70" s="56">
        <f t="shared" si="62"/>
        <v>15.28</v>
      </c>
      <c r="H70" s="56">
        <f t="shared" si="62"/>
        <v>15.28</v>
      </c>
      <c r="I70" s="56">
        <f t="shared" si="62"/>
        <v>15.28</v>
      </c>
      <c r="J70" s="56">
        <f t="shared" si="62"/>
        <v>7.64</v>
      </c>
      <c r="K70" s="326">
        <v>72</v>
      </c>
      <c r="L70" s="58">
        <f t="shared" si="49"/>
        <v>107</v>
      </c>
      <c r="M70" s="59" t="s">
        <v>347</v>
      </c>
      <c r="N70" s="56">
        <f t="shared" ref="N70:T70" si="68">+N39*$C70</f>
        <v>15.28</v>
      </c>
      <c r="O70" s="56">
        <f t="shared" si="68"/>
        <v>15.28</v>
      </c>
      <c r="P70" s="56">
        <f t="shared" si="68"/>
        <v>15.28</v>
      </c>
      <c r="Q70" s="56">
        <f t="shared" si="68"/>
        <v>15.28</v>
      </c>
      <c r="R70" s="56">
        <f t="shared" si="68"/>
        <v>15.28</v>
      </c>
      <c r="S70" s="56">
        <f t="shared" si="68"/>
        <v>15.28</v>
      </c>
      <c r="T70" s="56">
        <f t="shared" si="68"/>
        <v>15.28</v>
      </c>
    </row>
    <row r="71" spans="1:20" ht="15.6" x14ac:dyDescent="0.3">
      <c r="A71" s="53">
        <v>1520</v>
      </c>
      <c r="B71" s="114"/>
      <c r="C71" s="69">
        <f>+'Costo M.P.yMat.'!F74</f>
        <v>16.130000000000003</v>
      </c>
      <c r="D71" s="56">
        <f t="shared" si="62"/>
        <v>16.130000000000003</v>
      </c>
      <c r="E71" s="56">
        <f t="shared" si="62"/>
        <v>16.130000000000003</v>
      </c>
      <c r="F71" s="56">
        <f t="shared" si="62"/>
        <v>16.130000000000003</v>
      </c>
      <c r="G71" s="56">
        <f t="shared" si="62"/>
        <v>16.130000000000003</v>
      </c>
      <c r="H71" s="56">
        <f t="shared" si="62"/>
        <v>16.130000000000003</v>
      </c>
      <c r="I71" s="56">
        <f t="shared" si="62"/>
        <v>16.130000000000003</v>
      </c>
      <c r="J71" s="56">
        <f t="shared" si="62"/>
        <v>16.130000000000003</v>
      </c>
      <c r="K71" s="326">
        <v>67</v>
      </c>
      <c r="L71" s="58">
        <f t="shared" si="49"/>
        <v>113</v>
      </c>
      <c r="M71" s="59" t="s">
        <v>347</v>
      </c>
      <c r="N71" s="56">
        <f t="shared" ref="N71:T71" si="69">+N40*$C71</f>
        <v>16.130000000000003</v>
      </c>
      <c r="O71" s="56">
        <f t="shared" si="69"/>
        <v>16.130000000000003</v>
      </c>
      <c r="P71" s="56">
        <f t="shared" si="69"/>
        <v>16.130000000000003</v>
      </c>
      <c r="Q71" s="56">
        <f t="shared" si="69"/>
        <v>16.130000000000003</v>
      </c>
      <c r="R71" s="56">
        <f t="shared" si="69"/>
        <v>16.130000000000003</v>
      </c>
      <c r="S71" s="56">
        <f t="shared" si="69"/>
        <v>16.130000000000003</v>
      </c>
      <c r="T71" s="56">
        <f t="shared" si="69"/>
        <v>16.130000000000003</v>
      </c>
    </row>
    <row r="72" spans="1:20" ht="15.6" x14ac:dyDescent="0.3">
      <c r="A72" s="53">
        <v>1531</v>
      </c>
      <c r="B72" s="114"/>
      <c r="C72" s="69">
        <f>+'Costo M.P.yMat.'!F76</f>
        <v>7.01</v>
      </c>
      <c r="D72" s="56">
        <f t="shared" si="62"/>
        <v>0</v>
      </c>
      <c r="E72" s="56">
        <f t="shared" si="62"/>
        <v>7.01</v>
      </c>
      <c r="F72" s="56">
        <f t="shared" si="62"/>
        <v>7.01</v>
      </c>
      <c r="G72" s="56">
        <f t="shared" si="62"/>
        <v>7.01</v>
      </c>
      <c r="H72" s="56">
        <f t="shared" si="62"/>
        <v>7.01</v>
      </c>
      <c r="I72" s="56">
        <f t="shared" si="62"/>
        <v>7.01</v>
      </c>
      <c r="J72" s="56">
        <f t="shared" si="62"/>
        <v>7.01</v>
      </c>
      <c r="K72" s="326">
        <v>69</v>
      </c>
      <c r="L72" s="58">
        <f t="shared" si="49"/>
        <v>49.1</v>
      </c>
      <c r="M72" s="59" t="s">
        <v>347</v>
      </c>
      <c r="N72" s="56">
        <f t="shared" ref="N72:T72" si="70">+N41*$C72</f>
        <v>7.01</v>
      </c>
      <c r="O72" s="56">
        <f t="shared" si="70"/>
        <v>7.01</v>
      </c>
      <c r="P72" s="56">
        <f t="shared" si="70"/>
        <v>7.01</v>
      </c>
      <c r="Q72" s="56">
        <f t="shared" si="70"/>
        <v>7.01</v>
      </c>
      <c r="R72" s="56">
        <f t="shared" si="70"/>
        <v>7.01</v>
      </c>
      <c r="S72" s="56">
        <f t="shared" si="70"/>
        <v>7.01</v>
      </c>
      <c r="T72" s="56">
        <f t="shared" si="70"/>
        <v>7.01</v>
      </c>
    </row>
    <row r="73" spans="1:20" ht="15.6" x14ac:dyDescent="0.3">
      <c r="A73" s="53">
        <v>1038</v>
      </c>
      <c r="B73" s="114"/>
      <c r="C73" s="69">
        <f>+'Costo M.P.yMat.'!F48</f>
        <v>1.32</v>
      </c>
      <c r="D73" s="56">
        <f t="shared" si="62"/>
        <v>2.64</v>
      </c>
      <c r="E73" s="56">
        <f t="shared" si="62"/>
        <v>5.28</v>
      </c>
      <c r="F73" s="56">
        <f t="shared" si="62"/>
        <v>5.28</v>
      </c>
      <c r="G73" s="56">
        <f t="shared" si="62"/>
        <v>5.28</v>
      </c>
      <c r="H73" s="56">
        <f t="shared" si="62"/>
        <v>5.28</v>
      </c>
      <c r="I73" s="56">
        <f t="shared" si="62"/>
        <v>5.28</v>
      </c>
      <c r="J73" s="56">
        <f t="shared" si="62"/>
        <v>2.64</v>
      </c>
      <c r="K73" s="326">
        <v>41</v>
      </c>
      <c r="L73" s="58">
        <f t="shared" si="49"/>
        <v>37</v>
      </c>
      <c r="M73" s="59" t="s">
        <v>347</v>
      </c>
      <c r="N73" s="56">
        <f t="shared" ref="N73:T73" si="71">+N42*$C73</f>
        <v>5.28</v>
      </c>
      <c r="O73" s="56">
        <f t="shared" si="71"/>
        <v>5.28</v>
      </c>
      <c r="P73" s="56">
        <f t="shared" si="71"/>
        <v>5.28</v>
      </c>
      <c r="Q73" s="56">
        <f t="shared" si="71"/>
        <v>5.28</v>
      </c>
      <c r="R73" s="56">
        <f t="shared" si="71"/>
        <v>5.28</v>
      </c>
      <c r="S73" s="56">
        <f t="shared" si="71"/>
        <v>5.28</v>
      </c>
      <c r="T73" s="56">
        <f t="shared" si="71"/>
        <v>5.28</v>
      </c>
    </row>
    <row r="74" spans="1:20" ht="15.6" x14ac:dyDescent="0.3">
      <c r="A74" s="53">
        <v>1013</v>
      </c>
      <c r="B74" s="114"/>
      <c r="C74" s="69">
        <f>+'Costo M.P.yMat.'!F47</f>
        <v>3.59</v>
      </c>
      <c r="D74" s="56">
        <f t="shared" si="62"/>
        <v>3.59</v>
      </c>
      <c r="E74" s="56">
        <f t="shared" si="62"/>
        <v>7.18</v>
      </c>
      <c r="F74" s="56">
        <f t="shared" si="62"/>
        <v>7.18</v>
      </c>
      <c r="G74" s="56">
        <f t="shared" si="62"/>
        <v>7.18</v>
      </c>
      <c r="H74" s="56">
        <f t="shared" si="62"/>
        <v>7.18</v>
      </c>
      <c r="I74" s="56">
        <f t="shared" si="62"/>
        <v>7.18</v>
      </c>
      <c r="J74" s="56">
        <f t="shared" si="62"/>
        <v>3.59</v>
      </c>
      <c r="K74" s="326">
        <v>40</v>
      </c>
      <c r="L74" s="58">
        <f t="shared" si="49"/>
        <v>50.300000000000004</v>
      </c>
      <c r="M74" s="59" t="s">
        <v>347</v>
      </c>
      <c r="N74" s="56">
        <f t="shared" ref="N74:T74" si="72">+N43*$C74</f>
        <v>7.18</v>
      </c>
      <c r="O74" s="56">
        <f t="shared" si="72"/>
        <v>7.18</v>
      </c>
      <c r="P74" s="56">
        <f t="shared" si="72"/>
        <v>7.18</v>
      </c>
      <c r="Q74" s="56">
        <f t="shared" si="72"/>
        <v>7.18</v>
      </c>
      <c r="R74" s="56">
        <f t="shared" si="72"/>
        <v>7.18</v>
      </c>
      <c r="S74" s="56">
        <f t="shared" si="72"/>
        <v>7.18</v>
      </c>
      <c r="T74" s="56">
        <f t="shared" si="72"/>
        <v>7.18</v>
      </c>
    </row>
    <row r="75" spans="1:20" ht="15.6" x14ac:dyDescent="0.3">
      <c r="A75" s="53">
        <v>1201</v>
      </c>
      <c r="B75" s="114"/>
      <c r="C75" s="69">
        <f>+'Costo M.P.yMat.'!F58</f>
        <v>1.77</v>
      </c>
      <c r="D75" s="56">
        <f t="shared" ref="D75:J76" si="73">+D44*$C75</f>
        <v>1.77</v>
      </c>
      <c r="E75" s="56">
        <f t="shared" si="73"/>
        <v>5.3100000000000005</v>
      </c>
      <c r="F75" s="56">
        <f t="shared" si="73"/>
        <v>5.3100000000000005</v>
      </c>
      <c r="G75" s="56">
        <f t="shared" si="73"/>
        <v>0</v>
      </c>
      <c r="H75" s="56">
        <f t="shared" si="73"/>
        <v>0</v>
      </c>
      <c r="I75" s="56">
        <f t="shared" si="73"/>
        <v>0</v>
      </c>
      <c r="J75" s="56">
        <f t="shared" si="73"/>
        <v>0</v>
      </c>
      <c r="K75" s="326">
        <v>51</v>
      </c>
      <c r="L75" s="58">
        <f t="shared" si="49"/>
        <v>0</v>
      </c>
      <c r="M75" s="59" t="s">
        <v>347</v>
      </c>
      <c r="N75" s="56">
        <f t="shared" ref="N75:T75" si="74">+N44*$C75</f>
        <v>0</v>
      </c>
      <c r="O75" s="56">
        <f t="shared" si="74"/>
        <v>0</v>
      </c>
      <c r="P75" s="56">
        <f t="shared" si="74"/>
        <v>0</v>
      </c>
      <c r="Q75" s="56">
        <f t="shared" si="74"/>
        <v>0</v>
      </c>
      <c r="R75" s="56">
        <f t="shared" si="74"/>
        <v>0</v>
      </c>
      <c r="S75" s="56">
        <f t="shared" si="74"/>
        <v>0</v>
      </c>
      <c r="T75" s="56">
        <f t="shared" si="74"/>
        <v>0</v>
      </c>
    </row>
    <row r="76" spans="1:20" ht="15.6" x14ac:dyDescent="0.3">
      <c r="A76" s="53" t="s">
        <v>183</v>
      </c>
      <c r="B76" s="114"/>
      <c r="C76" s="69">
        <f>+'Costo M.P.yMat.'!F73</f>
        <v>2.4499999999999997</v>
      </c>
      <c r="D76" s="56">
        <f t="shared" si="73"/>
        <v>2.4499999999999997</v>
      </c>
      <c r="E76" s="56">
        <f t="shared" si="73"/>
        <v>0</v>
      </c>
      <c r="F76" s="56">
        <f t="shared" si="73"/>
        <v>0</v>
      </c>
      <c r="G76" s="56">
        <f t="shared" si="73"/>
        <v>0</v>
      </c>
      <c r="H76" s="56">
        <f t="shared" si="73"/>
        <v>0</v>
      </c>
      <c r="I76" s="56">
        <f t="shared" si="73"/>
        <v>0</v>
      </c>
      <c r="J76" s="56">
        <f t="shared" si="73"/>
        <v>0</v>
      </c>
      <c r="K76" s="326">
        <v>63</v>
      </c>
      <c r="L76" s="58">
        <f t="shared" si="49"/>
        <v>0</v>
      </c>
      <c r="M76" s="59" t="s">
        <v>347</v>
      </c>
      <c r="N76" s="56">
        <f t="shared" ref="N76:T76" si="75">+N45*$C76</f>
        <v>0</v>
      </c>
      <c r="O76" s="56">
        <f t="shared" si="75"/>
        <v>0</v>
      </c>
      <c r="P76" s="56">
        <f t="shared" si="75"/>
        <v>0</v>
      </c>
      <c r="Q76" s="56">
        <f t="shared" si="75"/>
        <v>0</v>
      </c>
      <c r="R76" s="56">
        <f t="shared" si="75"/>
        <v>0</v>
      </c>
      <c r="S76" s="56">
        <f t="shared" si="75"/>
        <v>0</v>
      </c>
      <c r="T76" s="56">
        <f t="shared" si="75"/>
        <v>0</v>
      </c>
    </row>
    <row r="77" spans="1:20" ht="15.6" x14ac:dyDescent="0.3">
      <c r="A77" s="53" t="s">
        <v>345</v>
      </c>
      <c r="B77" s="54"/>
      <c r="C77" s="69">
        <f>+'Costo M.P.yMat.'!F69</f>
        <v>5.3</v>
      </c>
      <c r="D77" s="56">
        <f t="shared" ref="D77:D82" si="76">D$7</f>
        <v>1</v>
      </c>
      <c r="E77" s="56">
        <f t="shared" ref="E77:J82" si="77">+E46*$C77</f>
        <v>0</v>
      </c>
      <c r="F77" s="56">
        <f t="shared" si="77"/>
        <v>0</v>
      </c>
      <c r="G77" s="56">
        <f t="shared" si="77"/>
        <v>5.3</v>
      </c>
      <c r="H77" s="56">
        <f t="shared" si="77"/>
        <v>5.3</v>
      </c>
      <c r="I77" s="56">
        <f t="shared" si="77"/>
        <v>5.3</v>
      </c>
      <c r="J77" s="56">
        <f t="shared" si="77"/>
        <v>5.3</v>
      </c>
      <c r="K77" s="326">
        <v>62</v>
      </c>
      <c r="L77" s="58">
        <f t="shared" si="49"/>
        <v>37.1</v>
      </c>
      <c r="M77" s="59" t="s">
        <v>347</v>
      </c>
      <c r="N77" s="56">
        <f t="shared" ref="N77:T77" si="78">+N46*$C77</f>
        <v>5.3</v>
      </c>
      <c r="O77" s="56">
        <f t="shared" si="78"/>
        <v>5.3</v>
      </c>
      <c r="P77" s="56">
        <f t="shared" si="78"/>
        <v>5.3</v>
      </c>
      <c r="Q77" s="56">
        <f t="shared" si="78"/>
        <v>5.3</v>
      </c>
      <c r="R77" s="56">
        <f t="shared" si="78"/>
        <v>5.3</v>
      </c>
      <c r="S77" s="56">
        <f t="shared" si="78"/>
        <v>5.3</v>
      </c>
      <c r="T77" s="56">
        <f t="shared" si="78"/>
        <v>5.3</v>
      </c>
    </row>
    <row r="78" spans="1:20" ht="15.6" x14ac:dyDescent="0.3">
      <c r="A78" s="53">
        <v>1203</v>
      </c>
      <c r="B78" s="54"/>
      <c r="C78" s="69">
        <f>+'Costo M.P.yMat.'!F59</f>
        <v>10.43</v>
      </c>
      <c r="D78" s="56">
        <f t="shared" si="76"/>
        <v>1</v>
      </c>
      <c r="E78" s="56">
        <f t="shared" si="77"/>
        <v>0</v>
      </c>
      <c r="F78" s="56">
        <f t="shared" si="77"/>
        <v>0</v>
      </c>
      <c r="G78" s="56">
        <f t="shared" si="77"/>
        <v>20.86</v>
      </c>
      <c r="H78" s="56">
        <f t="shared" si="77"/>
        <v>10.43</v>
      </c>
      <c r="I78" s="56">
        <f t="shared" si="77"/>
        <v>0</v>
      </c>
      <c r="J78" s="56">
        <f t="shared" si="77"/>
        <v>10.43</v>
      </c>
      <c r="K78" s="326">
        <v>52</v>
      </c>
      <c r="L78" s="58">
        <f t="shared" si="49"/>
        <v>83.5</v>
      </c>
      <c r="M78" s="59" t="s">
        <v>347</v>
      </c>
      <c r="N78" s="56">
        <f t="shared" ref="N78:T78" si="79">+N47*$C78</f>
        <v>10.43</v>
      </c>
      <c r="O78" s="56">
        <f t="shared" si="79"/>
        <v>10.43</v>
      </c>
      <c r="P78" s="56">
        <f t="shared" si="79"/>
        <v>10.43</v>
      </c>
      <c r="Q78" s="56">
        <f t="shared" si="79"/>
        <v>10.43</v>
      </c>
      <c r="R78" s="56">
        <f t="shared" si="79"/>
        <v>10.43</v>
      </c>
      <c r="S78" s="56">
        <f t="shared" si="79"/>
        <v>10.43</v>
      </c>
      <c r="T78" s="56">
        <f t="shared" si="79"/>
        <v>20.86</v>
      </c>
    </row>
    <row r="79" spans="1:20" ht="15.6" x14ac:dyDescent="0.3">
      <c r="A79" s="53">
        <v>1209</v>
      </c>
      <c r="B79" s="54"/>
      <c r="C79" s="69">
        <f>+'Costo M.P.yMat.'!F60</f>
        <v>12.709999999999999</v>
      </c>
      <c r="D79" s="56">
        <f t="shared" si="76"/>
        <v>1</v>
      </c>
      <c r="E79" s="56">
        <f t="shared" si="77"/>
        <v>0</v>
      </c>
      <c r="F79" s="56">
        <f t="shared" si="77"/>
        <v>0</v>
      </c>
      <c r="G79" s="56">
        <f t="shared" si="77"/>
        <v>0</v>
      </c>
      <c r="H79" s="56">
        <f t="shared" si="77"/>
        <v>12.709999999999999</v>
      </c>
      <c r="I79" s="56">
        <f t="shared" si="77"/>
        <v>25.419999999999998</v>
      </c>
      <c r="J79" s="56">
        <f t="shared" si="77"/>
        <v>0</v>
      </c>
      <c r="K79" s="326">
        <v>53</v>
      </c>
      <c r="L79" s="58">
        <f t="shared" si="49"/>
        <v>76.3</v>
      </c>
      <c r="M79" s="59" t="s">
        <v>347</v>
      </c>
      <c r="N79" s="56">
        <f t="shared" ref="N79:T79" si="80">+N48*$C79</f>
        <v>12.709999999999999</v>
      </c>
      <c r="O79" s="56">
        <f t="shared" si="80"/>
        <v>12.709999999999999</v>
      </c>
      <c r="P79" s="56">
        <f t="shared" si="80"/>
        <v>12.709999999999999</v>
      </c>
      <c r="Q79" s="56">
        <f t="shared" si="80"/>
        <v>12.709999999999999</v>
      </c>
      <c r="R79" s="56">
        <f t="shared" si="80"/>
        <v>12.709999999999999</v>
      </c>
      <c r="S79" s="56">
        <f t="shared" si="80"/>
        <v>12.709999999999999</v>
      </c>
      <c r="T79" s="56">
        <f t="shared" si="80"/>
        <v>0</v>
      </c>
    </row>
    <row r="80" spans="1:20" ht="15.6" x14ac:dyDescent="0.3">
      <c r="A80" s="53">
        <v>1310</v>
      </c>
      <c r="B80" s="54"/>
      <c r="C80" s="69">
        <f>+'Costo M.P.yMat.'!F64</f>
        <v>8.15</v>
      </c>
      <c r="D80" s="56">
        <f t="shared" si="76"/>
        <v>1</v>
      </c>
      <c r="E80" s="56">
        <f t="shared" si="77"/>
        <v>0</v>
      </c>
      <c r="F80" s="56">
        <f t="shared" si="77"/>
        <v>0</v>
      </c>
      <c r="G80" s="56">
        <f t="shared" si="77"/>
        <v>0</v>
      </c>
      <c r="H80" s="56">
        <f t="shared" si="77"/>
        <v>0</v>
      </c>
      <c r="I80" s="56">
        <f t="shared" si="77"/>
        <v>0</v>
      </c>
      <c r="J80" s="56">
        <f t="shared" si="77"/>
        <v>8.15</v>
      </c>
      <c r="K80" s="326">
        <v>57</v>
      </c>
      <c r="L80" s="58">
        <f t="shared" si="49"/>
        <v>0</v>
      </c>
      <c r="M80" s="59" t="s">
        <v>347</v>
      </c>
      <c r="N80" s="56">
        <f t="shared" ref="N80:T80" si="81">+N49*$C80</f>
        <v>0</v>
      </c>
      <c r="O80" s="56">
        <f t="shared" si="81"/>
        <v>0</v>
      </c>
      <c r="P80" s="56">
        <f t="shared" si="81"/>
        <v>0</v>
      </c>
      <c r="Q80" s="56">
        <f t="shared" si="81"/>
        <v>0</v>
      </c>
      <c r="R80" s="56">
        <f t="shared" si="81"/>
        <v>0</v>
      </c>
      <c r="S80" s="56">
        <f t="shared" si="81"/>
        <v>0</v>
      </c>
      <c r="T80" s="56">
        <f t="shared" si="81"/>
        <v>0</v>
      </c>
    </row>
    <row r="81" spans="1:20" ht="15.6" x14ac:dyDescent="0.3">
      <c r="A81" s="53">
        <v>1302</v>
      </c>
      <c r="B81" s="54"/>
      <c r="C81" s="69">
        <f>+'Costo M.P.yMat.'!F62</f>
        <v>4.16</v>
      </c>
      <c r="D81" s="56">
        <f t="shared" si="76"/>
        <v>1</v>
      </c>
      <c r="E81" s="56">
        <f t="shared" si="77"/>
        <v>0</v>
      </c>
      <c r="F81" s="56">
        <f t="shared" si="77"/>
        <v>0</v>
      </c>
      <c r="G81" s="56">
        <f t="shared" si="77"/>
        <v>0</v>
      </c>
      <c r="H81" s="56">
        <f t="shared" si="77"/>
        <v>4.16</v>
      </c>
      <c r="I81" s="56">
        <f t="shared" si="77"/>
        <v>8.32</v>
      </c>
      <c r="J81" s="56">
        <f t="shared" si="77"/>
        <v>4.16</v>
      </c>
      <c r="K81" s="326">
        <v>55</v>
      </c>
      <c r="L81" s="58">
        <f t="shared" si="49"/>
        <v>25</v>
      </c>
      <c r="M81" s="59" t="s">
        <v>347</v>
      </c>
      <c r="N81" s="56">
        <f t="shared" ref="N81:T81" si="82">+N50*$C81</f>
        <v>4.16</v>
      </c>
      <c r="O81" s="56">
        <f t="shared" si="82"/>
        <v>4.16</v>
      </c>
      <c r="P81" s="56">
        <f t="shared" si="82"/>
        <v>4.16</v>
      </c>
      <c r="Q81" s="56">
        <f t="shared" si="82"/>
        <v>4.16</v>
      </c>
      <c r="R81" s="56">
        <f t="shared" si="82"/>
        <v>4.16</v>
      </c>
      <c r="S81" s="56">
        <f t="shared" si="82"/>
        <v>4.16</v>
      </c>
      <c r="T81" s="56">
        <f t="shared" si="82"/>
        <v>0</v>
      </c>
    </row>
    <row r="82" spans="1:20" ht="15.6" x14ac:dyDescent="0.3">
      <c r="A82" s="53">
        <v>1329</v>
      </c>
      <c r="B82" s="54"/>
      <c r="C82" s="69">
        <f>+'Costo M.P.yMat.'!F67</f>
        <v>4.16</v>
      </c>
      <c r="D82" s="56">
        <f t="shared" si="76"/>
        <v>1</v>
      </c>
      <c r="E82" s="56">
        <f t="shared" si="77"/>
        <v>0</v>
      </c>
      <c r="F82" s="56">
        <f t="shared" si="77"/>
        <v>0</v>
      </c>
      <c r="G82" s="56">
        <f t="shared" si="77"/>
        <v>0</v>
      </c>
      <c r="H82" s="56">
        <f t="shared" si="77"/>
        <v>4.16</v>
      </c>
      <c r="I82" s="56">
        <f t="shared" si="77"/>
        <v>8.32</v>
      </c>
      <c r="J82" s="56">
        <f t="shared" si="77"/>
        <v>4.16</v>
      </c>
      <c r="K82" s="326">
        <v>60</v>
      </c>
      <c r="L82" s="58">
        <f t="shared" si="49"/>
        <v>25</v>
      </c>
      <c r="M82" s="59" t="s">
        <v>347</v>
      </c>
      <c r="N82" s="56">
        <f t="shared" ref="N82:T82" si="83">+N51*$C82</f>
        <v>4.16</v>
      </c>
      <c r="O82" s="56">
        <f t="shared" si="83"/>
        <v>4.16</v>
      </c>
      <c r="P82" s="56">
        <f t="shared" si="83"/>
        <v>4.16</v>
      </c>
      <c r="Q82" s="56">
        <f t="shared" si="83"/>
        <v>4.16</v>
      </c>
      <c r="R82" s="56">
        <f t="shared" si="83"/>
        <v>4.16</v>
      </c>
      <c r="S82" s="56">
        <f t="shared" si="83"/>
        <v>4.16</v>
      </c>
      <c r="T82" s="56">
        <f t="shared" si="83"/>
        <v>0</v>
      </c>
    </row>
    <row r="83" spans="1:20" x14ac:dyDescent="0.25">
      <c r="C83" s="70"/>
      <c r="D83" s="65"/>
      <c r="E83" s="65"/>
      <c r="F83" s="65"/>
      <c r="G83" s="65"/>
      <c r="H83" s="65"/>
      <c r="I83" s="65"/>
      <c r="J83" s="65"/>
      <c r="N83" s="65"/>
      <c r="O83" s="65"/>
      <c r="P83" s="65"/>
      <c r="Q83" s="65"/>
      <c r="R83" s="65"/>
      <c r="S83" s="65"/>
      <c r="T83" s="65"/>
    </row>
    <row r="84" spans="1:20" x14ac:dyDescent="0.25">
      <c r="C84" s="70"/>
      <c r="D84" s="65"/>
      <c r="E84" s="65"/>
      <c r="F84" s="65"/>
      <c r="G84" s="65"/>
      <c r="H84" s="65"/>
      <c r="I84" s="65"/>
      <c r="J84" s="65"/>
      <c r="N84" s="65"/>
      <c r="O84" s="65"/>
      <c r="P84" s="65"/>
      <c r="Q84" s="65"/>
      <c r="R84" s="65"/>
      <c r="S84" s="65"/>
      <c r="T84" s="65"/>
    </row>
    <row r="85" spans="1:20" s="72" customFormat="1" ht="15.6" x14ac:dyDescent="0.3">
      <c r="A85" s="66" t="s">
        <v>187</v>
      </c>
      <c r="B85" s="67"/>
      <c r="C85" s="68"/>
      <c r="D85" s="68">
        <f>SUM(D86:D113)</f>
        <v>143.7766</v>
      </c>
      <c r="E85" s="68">
        <f t="shared" ref="E85:J85" si="84">SUM(E86:E113)</f>
        <v>474.03314999999992</v>
      </c>
      <c r="F85" s="68">
        <f t="shared" si="84"/>
        <v>1032.4950883333338</v>
      </c>
      <c r="G85" s="68">
        <f t="shared" si="84"/>
        <v>583.00811333333343</v>
      </c>
      <c r="H85" s="68">
        <f t="shared" si="84"/>
        <v>886.41130200000021</v>
      </c>
      <c r="I85" s="68">
        <f t="shared" si="84"/>
        <v>1029.7597800000001</v>
      </c>
      <c r="J85" s="68">
        <f t="shared" si="84"/>
        <v>749.60620000000006</v>
      </c>
      <c r="K85" s="71"/>
      <c r="L85" s="58">
        <f t="shared" ref="L85:L113" si="85">ROUNDUP(SUM(N85:IU85),1)</f>
        <v>5373.8</v>
      </c>
      <c r="M85" s="59" t="s">
        <v>347</v>
      </c>
      <c r="N85" s="68">
        <f t="shared" ref="N85:T85" si="86">SUM(N86:N113)</f>
        <v>770.02170200000012</v>
      </c>
      <c r="O85" s="68">
        <f t="shared" si="86"/>
        <v>912.94122200000027</v>
      </c>
      <c r="P85" s="68">
        <f t="shared" si="86"/>
        <v>914.19490200000018</v>
      </c>
      <c r="Q85" s="68">
        <f t="shared" si="86"/>
        <v>914.19490200000018</v>
      </c>
      <c r="R85" s="68">
        <f t="shared" si="86"/>
        <v>678.50306200000023</v>
      </c>
      <c r="S85" s="68">
        <f t="shared" si="86"/>
        <v>895.38970200000017</v>
      </c>
      <c r="T85" s="68">
        <f t="shared" si="86"/>
        <v>288.54043533333333</v>
      </c>
    </row>
    <row r="86" spans="1:20" ht="15.6" x14ac:dyDescent="0.3">
      <c r="A86" s="53" t="s">
        <v>33</v>
      </c>
      <c r="B86" s="114"/>
      <c r="C86" s="69">
        <f>+'Costo M.P.yMat.'!G24</f>
        <v>34.65</v>
      </c>
      <c r="D86" s="56">
        <f t="shared" ref="D86:J95" si="87">+$C86*D24</f>
        <v>61.122599999999998</v>
      </c>
      <c r="E86" s="56">
        <f t="shared" si="87"/>
        <v>147.26249999999999</v>
      </c>
      <c r="F86" s="56">
        <f t="shared" si="87"/>
        <v>562.88925000000006</v>
      </c>
      <c r="G86" s="56">
        <f t="shared" si="87"/>
        <v>207.89999999999998</v>
      </c>
      <c r="H86" s="56">
        <f t="shared" si="87"/>
        <v>420.9975</v>
      </c>
      <c r="I86" s="56">
        <f t="shared" si="87"/>
        <v>519.75</v>
      </c>
      <c r="J86" s="56">
        <f t="shared" si="87"/>
        <v>420.9975</v>
      </c>
      <c r="K86" s="331">
        <v>17</v>
      </c>
      <c r="L86" s="58">
        <f t="shared" si="85"/>
        <v>3144.4</v>
      </c>
      <c r="M86" s="59" t="s">
        <v>347</v>
      </c>
      <c r="N86" s="56">
        <f t="shared" ref="N86:T86" si="88">+$C86*N24</f>
        <v>449.06400000000002</v>
      </c>
      <c r="O86" s="56">
        <f t="shared" si="88"/>
        <v>555.71670000000006</v>
      </c>
      <c r="P86" s="56">
        <f t="shared" si="88"/>
        <v>556.65224999999998</v>
      </c>
      <c r="Q86" s="56">
        <f t="shared" si="88"/>
        <v>556.65224999999998</v>
      </c>
      <c r="R86" s="56">
        <f t="shared" si="88"/>
        <v>380.76884999999999</v>
      </c>
      <c r="S86" s="56">
        <f t="shared" si="88"/>
        <v>542.61900000000003</v>
      </c>
      <c r="T86" s="56">
        <f t="shared" si="88"/>
        <v>102.91050000000001</v>
      </c>
    </row>
    <row r="87" spans="1:20" ht="15.6" x14ac:dyDescent="0.3">
      <c r="A87" s="53" t="s">
        <v>40</v>
      </c>
      <c r="B87" s="114"/>
      <c r="C87" s="69">
        <f>+'Costo M.P.yMat.'!G29</f>
        <v>45.05</v>
      </c>
      <c r="D87" s="56">
        <f t="shared" si="87"/>
        <v>0</v>
      </c>
      <c r="E87" s="56">
        <f t="shared" si="87"/>
        <v>0</v>
      </c>
      <c r="F87" s="56">
        <f t="shared" si="87"/>
        <v>0</v>
      </c>
      <c r="G87" s="56">
        <f t="shared" si="87"/>
        <v>0</v>
      </c>
      <c r="H87" s="56">
        <f t="shared" si="87"/>
        <v>0</v>
      </c>
      <c r="I87" s="56">
        <f t="shared" si="87"/>
        <v>0</v>
      </c>
      <c r="J87" s="56">
        <f t="shared" si="87"/>
        <v>0</v>
      </c>
      <c r="K87" s="331">
        <v>22</v>
      </c>
      <c r="L87" s="58">
        <f t="shared" si="85"/>
        <v>0</v>
      </c>
      <c r="M87" s="59" t="s">
        <v>347</v>
      </c>
      <c r="N87" s="56">
        <f t="shared" ref="N87:T87" si="89">+$C87*N25</f>
        <v>0</v>
      </c>
      <c r="O87" s="56">
        <f t="shared" si="89"/>
        <v>0</v>
      </c>
      <c r="P87" s="56">
        <f t="shared" si="89"/>
        <v>0</v>
      </c>
      <c r="Q87" s="56">
        <f t="shared" si="89"/>
        <v>0</v>
      </c>
      <c r="R87" s="56">
        <f t="shared" si="89"/>
        <v>0</v>
      </c>
      <c r="S87" s="56">
        <f t="shared" si="89"/>
        <v>0</v>
      </c>
      <c r="T87" s="56">
        <f t="shared" si="89"/>
        <v>0</v>
      </c>
    </row>
    <row r="88" spans="1:20" ht="15.6" x14ac:dyDescent="0.3">
      <c r="A88" s="53" t="s">
        <v>182</v>
      </c>
      <c r="B88" s="114"/>
      <c r="C88" s="69">
        <f>+'Costo M.P.yMat.'!G82</f>
        <v>11</v>
      </c>
      <c r="D88" s="56">
        <f t="shared" si="87"/>
        <v>19.404</v>
      </c>
      <c r="E88" s="56">
        <f t="shared" si="87"/>
        <v>46.75</v>
      </c>
      <c r="F88" s="56">
        <f t="shared" si="87"/>
        <v>178.69500000000002</v>
      </c>
      <c r="G88" s="56">
        <f t="shared" si="87"/>
        <v>66</v>
      </c>
      <c r="H88" s="56">
        <f t="shared" si="87"/>
        <v>133.65</v>
      </c>
      <c r="I88" s="56">
        <f t="shared" si="87"/>
        <v>165</v>
      </c>
      <c r="J88" s="56">
        <f t="shared" si="87"/>
        <v>133.65</v>
      </c>
      <c r="K88" s="331">
        <v>75</v>
      </c>
      <c r="L88" s="58">
        <f t="shared" si="85"/>
        <v>998.30000000000007</v>
      </c>
      <c r="M88" s="59" t="s">
        <v>347</v>
      </c>
      <c r="N88" s="56">
        <f t="shared" ref="N88:T88" si="90">+$C88*N26</f>
        <v>142.56</v>
      </c>
      <c r="O88" s="56">
        <f t="shared" si="90"/>
        <v>176.41800000000003</v>
      </c>
      <c r="P88" s="56">
        <f t="shared" si="90"/>
        <v>176.715</v>
      </c>
      <c r="Q88" s="56">
        <f t="shared" si="90"/>
        <v>176.715</v>
      </c>
      <c r="R88" s="56">
        <f t="shared" si="90"/>
        <v>120.879</v>
      </c>
      <c r="S88" s="56">
        <f t="shared" si="90"/>
        <v>172.26</v>
      </c>
      <c r="T88" s="56">
        <f t="shared" si="90"/>
        <v>32.670000000000009</v>
      </c>
    </row>
    <row r="89" spans="1:20" ht="15.6" x14ac:dyDescent="0.3">
      <c r="A89" s="53" t="s">
        <v>190</v>
      </c>
      <c r="B89" s="114"/>
      <c r="C89" s="69">
        <f>+'Costo M.P.yMat.'!G7</f>
        <v>3.19</v>
      </c>
      <c r="D89" s="56">
        <f t="shared" si="87"/>
        <v>0</v>
      </c>
      <c r="E89" s="56">
        <f t="shared" si="87"/>
        <v>0</v>
      </c>
      <c r="F89" s="56">
        <f t="shared" si="87"/>
        <v>6.2311333333333323</v>
      </c>
      <c r="G89" s="56">
        <f t="shared" si="87"/>
        <v>4.253333333333333</v>
      </c>
      <c r="H89" s="56">
        <f t="shared" si="87"/>
        <v>15.7905</v>
      </c>
      <c r="I89" s="56">
        <f t="shared" si="87"/>
        <v>17.544999999999998</v>
      </c>
      <c r="J89" s="56">
        <f t="shared" si="87"/>
        <v>15.7905</v>
      </c>
      <c r="K89" s="331">
        <v>1</v>
      </c>
      <c r="L89" s="58">
        <f t="shared" si="85"/>
        <v>107</v>
      </c>
      <c r="M89" s="59" t="s">
        <v>347</v>
      </c>
      <c r="N89" s="56">
        <f t="shared" ref="N89:T89" si="91">+$C89*N27</f>
        <v>16.268999999999998</v>
      </c>
      <c r="O89" s="56">
        <f t="shared" si="91"/>
        <v>18.087299999999999</v>
      </c>
      <c r="P89" s="56">
        <f t="shared" si="91"/>
        <v>18.103250000000003</v>
      </c>
      <c r="Q89" s="56">
        <f t="shared" si="91"/>
        <v>18.103250000000003</v>
      </c>
      <c r="R89" s="56">
        <f t="shared" si="91"/>
        <v>15.104650000000001</v>
      </c>
      <c r="S89" s="56">
        <f t="shared" si="91"/>
        <v>17.863999999999997</v>
      </c>
      <c r="T89" s="56">
        <f t="shared" si="91"/>
        <v>3.4558333333333331</v>
      </c>
    </row>
    <row r="90" spans="1:20" ht="15.6" x14ac:dyDescent="0.3">
      <c r="A90" s="53" t="s">
        <v>15</v>
      </c>
      <c r="B90" s="114"/>
      <c r="C90" s="69">
        <f>+'Costo M.P.yMat.'!G9</f>
        <v>0.72</v>
      </c>
      <c r="D90" s="56">
        <f t="shared" si="87"/>
        <v>0</v>
      </c>
      <c r="E90" s="56">
        <f t="shared" si="87"/>
        <v>0</v>
      </c>
      <c r="F90" s="56">
        <f t="shared" si="87"/>
        <v>0.84383999999999992</v>
      </c>
      <c r="G90" s="56">
        <f t="shared" si="87"/>
        <v>0.57599999999999996</v>
      </c>
      <c r="H90" s="56">
        <f t="shared" si="87"/>
        <v>1.4256</v>
      </c>
      <c r="I90" s="56">
        <f t="shared" si="87"/>
        <v>1.5840000000000001</v>
      </c>
      <c r="J90" s="56">
        <f t="shared" si="87"/>
        <v>1.4256</v>
      </c>
      <c r="K90" s="331">
        <v>3</v>
      </c>
      <c r="L90" s="58">
        <f t="shared" si="85"/>
        <v>9.9</v>
      </c>
      <c r="M90" s="59" t="s">
        <v>347</v>
      </c>
      <c r="N90" s="56">
        <f t="shared" ref="N90:T90" si="92">+$C90*N28</f>
        <v>1.4687999999999999</v>
      </c>
      <c r="O90" s="56">
        <f t="shared" si="92"/>
        <v>1.6329599999999997</v>
      </c>
      <c r="P90" s="56">
        <f t="shared" si="92"/>
        <v>1.6344000000000003</v>
      </c>
      <c r="Q90" s="56">
        <f t="shared" si="92"/>
        <v>1.6344000000000003</v>
      </c>
      <c r="R90" s="56">
        <f t="shared" si="92"/>
        <v>1.36368</v>
      </c>
      <c r="S90" s="56">
        <f t="shared" si="92"/>
        <v>1.6127999999999998</v>
      </c>
      <c r="T90" s="56">
        <f t="shared" si="92"/>
        <v>0.46799999999999997</v>
      </c>
    </row>
    <row r="91" spans="1:20" ht="15.6" x14ac:dyDescent="0.3">
      <c r="A91" s="53" t="s">
        <v>295</v>
      </c>
      <c r="B91" s="114"/>
      <c r="C91" s="69">
        <f>+'Costo M.P.yMat.'!G10</f>
        <v>0.87</v>
      </c>
      <c r="D91" s="56">
        <f t="shared" si="87"/>
        <v>0</v>
      </c>
      <c r="E91" s="56">
        <f t="shared" si="87"/>
        <v>0</v>
      </c>
      <c r="F91" s="56">
        <f t="shared" si="87"/>
        <v>2.0392799999999998</v>
      </c>
      <c r="G91" s="56">
        <f t="shared" si="87"/>
        <v>1.3920000000000001</v>
      </c>
      <c r="H91" s="56">
        <f t="shared" si="87"/>
        <v>1.7226000000000001</v>
      </c>
      <c r="I91" s="56">
        <f t="shared" si="87"/>
        <v>1.9140000000000001</v>
      </c>
      <c r="J91" s="56">
        <f t="shared" si="87"/>
        <v>1.7226000000000001</v>
      </c>
      <c r="K91" s="331">
        <v>5</v>
      </c>
      <c r="L91" s="58">
        <f t="shared" si="85"/>
        <v>12.5</v>
      </c>
      <c r="M91" s="59" t="s">
        <v>347</v>
      </c>
      <c r="N91" s="56">
        <f t="shared" ref="N91:T91" si="93">+$C91*N29</f>
        <v>1.7747999999999999</v>
      </c>
      <c r="O91" s="56">
        <f t="shared" si="93"/>
        <v>1.9731600000000002</v>
      </c>
      <c r="P91" s="56">
        <f t="shared" si="93"/>
        <v>1.9749000000000003</v>
      </c>
      <c r="Q91" s="56">
        <f t="shared" si="93"/>
        <v>1.9749000000000003</v>
      </c>
      <c r="R91" s="56">
        <f t="shared" si="93"/>
        <v>1.64778</v>
      </c>
      <c r="S91" s="56">
        <f t="shared" si="93"/>
        <v>1.9487999999999999</v>
      </c>
      <c r="T91" s="56">
        <f t="shared" si="93"/>
        <v>1.131</v>
      </c>
    </row>
    <row r="92" spans="1:20" ht="15.6" x14ac:dyDescent="0.3">
      <c r="A92" s="53" t="s">
        <v>25</v>
      </c>
      <c r="B92" s="114"/>
      <c r="C92" s="69">
        <f>+'Costo M.P.yMat.'!G17</f>
        <v>0.17</v>
      </c>
      <c r="D92" s="56">
        <f t="shared" si="87"/>
        <v>0</v>
      </c>
      <c r="E92" s="56">
        <f t="shared" si="87"/>
        <v>0.42500000000000004</v>
      </c>
      <c r="F92" s="56">
        <f t="shared" si="87"/>
        <v>0.38250000000000001</v>
      </c>
      <c r="G92" s="56">
        <f t="shared" si="87"/>
        <v>0.51</v>
      </c>
      <c r="H92" s="56">
        <f t="shared" si="87"/>
        <v>0.45900000000000007</v>
      </c>
      <c r="I92" s="56">
        <f t="shared" si="87"/>
        <v>0.51</v>
      </c>
      <c r="J92" s="56">
        <f t="shared" si="87"/>
        <v>0</v>
      </c>
      <c r="K92" s="331">
        <v>11</v>
      </c>
      <c r="L92" s="58">
        <f t="shared" si="85"/>
        <v>3.3000000000000003</v>
      </c>
      <c r="M92" s="59" t="s">
        <v>347</v>
      </c>
      <c r="N92" s="56">
        <f t="shared" ref="N92:T92" si="94">+$C92*N30</f>
        <v>0.45900000000000007</v>
      </c>
      <c r="O92" s="56">
        <f t="shared" si="94"/>
        <v>0.45900000000000007</v>
      </c>
      <c r="P92" s="56">
        <f t="shared" si="94"/>
        <v>0.45900000000000007</v>
      </c>
      <c r="Q92" s="56">
        <f t="shared" si="94"/>
        <v>0.45900000000000007</v>
      </c>
      <c r="R92" s="56">
        <f t="shared" si="94"/>
        <v>0.45900000000000007</v>
      </c>
      <c r="S92" s="56">
        <f t="shared" si="94"/>
        <v>0.45900000000000007</v>
      </c>
      <c r="T92" s="56">
        <f t="shared" si="94"/>
        <v>0.45900000000000007</v>
      </c>
    </row>
    <row r="93" spans="1:20" ht="15.6" x14ac:dyDescent="0.3">
      <c r="A93" s="53" t="s">
        <v>29</v>
      </c>
      <c r="B93" s="114"/>
      <c r="C93" s="69">
        <f>+'Costo M.P.yMat.'!G19</f>
        <v>0.04</v>
      </c>
      <c r="D93" s="56">
        <f t="shared" si="87"/>
        <v>0</v>
      </c>
      <c r="E93" s="56">
        <f t="shared" si="87"/>
        <v>0</v>
      </c>
      <c r="F93" s="56">
        <f t="shared" si="87"/>
        <v>1.1719999999999999</v>
      </c>
      <c r="G93" s="56">
        <f t="shared" si="87"/>
        <v>0.8</v>
      </c>
      <c r="H93" s="56">
        <f t="shared" si="87"/>
        <v>0.99</v>
      </c>
      <c r="I93" s="56">
        <f t="shared" si="87"/>
        <v>1.1000000000000001</v>
      </c>
      <c r="J93" s="56">
        <f t="shared" si="87"/>
        <v>0.99</v>
      </c>
      <c r="K93" s="331">
        <v>13</v>
      </c>
      <c r="L93" s="58">
        <f t="shared" si="85"/>
        <v>7.1999999999999993</v>
      </c>
      <c r="M93" s="59" t="s">
        <v>347</v>
      </c>
      <c r="N93" s="56">
        <f t="shared" ref="N93:T93" si="95">+$C93*N31</f>
        <v>1.0199999999999998</v>
      </c>
      <c r="O93" s="56">
        <f t="shared" si="95"/>
        <v>1.1339999999999999</v>
      </c>
      <c r="P93" s="56">
        <f t="shared" si="95"/>
        <v>1.1350000000000002</v>
      </c>
      <c r="Q93" s="56">
        <f t="shared" si="95"/>
        <v>1.1350000000000002</v>
      </c>
      <c r="R93" s="56">
        <f t="shared" si="95"/>
        <v>0.94700000000000006</v>
      </c>
      <c r="S93" s="56">
        <f t="shared" si="95"/>
        <v>1.1199999999999999</v>
      </c>
      <c r="T93" s="56">
        <f t="shared" si="95"/>
        <v>0.65</v>
      </c>
    </row>
    <row r="94" spans="1:20" ht="15.6" x14ac:dyDescent="0.3">
      <c r="A94" s="53" t="s">
        <v>30</v>
      </c>
      <c r="B94" s="114"/>
      <c r="C94" s="69">
        <f>+'Costo M.P.yMat.'!G20</f>
        <v>0.04</v>
      </c>
      <c r="D94" s="56">
        <f t="shared" si="87"/>
        <v>0</v>
      </c>
      <c r="E94" s="56">
        <f t="shared" si="87"/>
        <v>0</v>
      </c>
      <c r="F94" s="56">
        <f t="shared" si="87"/>
        <v>1.1719999999999999</v>
      </c>
      <c r="G94" s="56">
        <f t="shared" si="87"/>
        <v>0.8</v>
      </c>
      <c r="H94" s="56">
        <f t="shared" si="87"/>
        <v>0.99</v>
      </c>
      <c r="I94" s="56">
        <f t="shared" si="87"/>
        <v>1.1000000000000001</v>
      </c>
      <c r="J94" s="56">
        <f t="shared" si="87"/>
        <v>0.99</v>
      </c>
      <c r="K94" s="331">
        <v>14</v>
      </c>
      <c r="L94" s="58">
        <f t="shared" si="85"/>
        <v>7.1999999999999993</v>
      </c>
      <c r="M94" s="59" t="s">
        <v>347</v>
      </c>
      <c r="N94" s="56">
        <f t="shared" ref="N94:T94" si="96">+$C94*N32</f>
        <v>1.0199999999999998</v>
      </c>
      <c r="O94" s="56">
        <f t="shared" si="96"/>
        <v>1.1339999999999999</v>
      </c>
      <c r="P94" s="56">
        <f t="shared" si="96"/>
        <v>1.1350000000000002</v>
      </c>
      <c r="Q94" s="56">
        <f t="shared" si="96"/>
        <v>1.1350000000000002</v>
      </c>
      <c r="R94" s="56">
        <f t="shared" si="96"/>
        <v>0.94700000000000006</v>
      </c>
      <c r="S94" s="56">
        <f t="shared" si="96"/>
        <v>1.1199999999999999</v>
      </c>
      <c r="T94" s="56">
        <f t="shared" si="96"/>
        <v>0.65</v>
      </c>
    </row>
    <row r="95" spans="1:20" ht="15.6" x14ac:dyDescent="0.3">
      <c r="A95" s="53" t="s">
        <v>261</v>
      </c>
      <c r="B95" s="54">
        <v>0.25700000000000001</v>
      </c>
      <c r="C95" s="69">
        <f>+'Costo M.P.yMat.'!G96</f>
        <v>8.18</v>
      </c>
      <c r="D95" s="56">
        <f t="shared" si="87"/>
        <v>0</v>
      </c>
      <c r="E95" s="56">
        <f t="shared" si="87"/>
        <v>5.2556500000000002</v>
      </c>
      <c r="F95" s="56">
        <f t="shared" si="87"/>
        <v>4.7300849999999999</v>
      </c>
      <c r="G95" s="56">
        <f t="shared" si="87"/>
        <v>6.3067799999999998</v>
      </c>
      <c r="H95" s="56">
        <f t="shared" si="87"/>
        <v>5.6761020000000002</v>
      </c>
      <c r="I95" s="56">
        <f t="shared" si="87"/>
        <v>6.3067799999999998</v>
      </c>
      <c r="J95" s="56">
        <f t="shared" si="87"/>
        <v>0</v>
      </c>
      <c r="K95" s="331">
        <v>31</v>
      </c>
      <c r="L95" s="58">
        <f t="shared" si="85"/>
        <v>39.800000000000004</v>
      </c>
      <c r="M95" s="59" t="s">
        <v>347</v>
      </c>
      <c r="N95" s="56">
        <f t="shared" ref="N95:T95" si="97">+$C95*N33</f>
        <v>5.6761020000000002</v>
      </c>
      <c r="O95" s="56">
        <f t="shared" si="97"/>
        <v>5.6761020000000002</v>
      </c>
      <c r="P95" s="56">
        <f t="shared" si="97"/>
        <v>5.6761020000000002</v>
      </c>
      <c r="Q95" s="56">
        <f t="shared" si="97"/>
        <v>5.6761020000000002</v>
      </c>
      <c r="R95" s="56">
        <f t="shared" si="97"/>
        <v>5.6761020000000002</v>
      </c>
      <c r="S95" s="56">
        <f t="shared" si="97"/>
        <v>5.6761020000000002</v>
      </c>
      <c r="T95" s="56">
        <f t="shared" si="97"/>
        <v>5.6761020000000002</v>
      </c>
    </row>
    <row r="96" spans="1:20" ht="15.6" x14ac:dyDescent="0.3">
      <c r="A96" s="53" t="s">
        <v>54</v>
      </c>
      <c r="B96" s="114"/>
      <c r="C96" s="69">
        <f>+'Costo M.P.yMat.'!G44</f>
        <v>77</v>
      </c>
      <c r="D96" s="56">
        <f t="shared" ref="D96:J105" si="98">+$C96*D34</f>
        <v>0</v>
      </c>
      <c r="E96" s="56">
        <f t="shared" si="98"/>
        <v>154</v>
      </c>
      <c r="F96" s="56">
        <f t="shared" si="98"/>
        <v>154</v>
      </c>
      <c r="G96" s="56">
        <f t="shared" si="98"/>
        <v>154</v>
      </c>
      <c r="H96" s="56">
        <f t="shared" si="98"/>
        <v>154</v>
      </c>
      <c r="I96" s="56">
        <f t="shared" si="98"/>
        <v>154</v>
      </c>
      <c r="J96" s="56">
        <f t="shared" si="98"/>
        <v>77</v>
      </c>
      <c r="K96" s="331">
        <v>37</v>
      </c>
      <c r="L96" s="58">
        <f t="shared" si="85"/>
        <v>0</v>
      </c>
      <c r="M96" s="59" t="s">
        <v>347</v>
      </c>
      <c r="N96" s="56">
        <f t="shared" ref="N96:T96" si="99">+$C96*N34</f>
        <v>0</v>
      </c>
      <c r="O96" s="56">
        <f t="shared" si="99"/>
        <v>0</v>
      </c>
      <c r="P96" s="56">
        <f t="shared" si="99"/>
        <v>0</v>
      </c>
      <c r="Q96" s="56">
        <f t="shared" si="99"/>
        <v>0</v>
      </c>
      <c r="R96" s="56">
        <f t="shared" si="99"/>
        <v>0</v>
      </c>
      <c r="S96" s="56">
        <f t="shared" si="99"/>
        <v>0</v>
      </c>
      <c r="T96" s="56">
        <f t="shared" si="99"/>
        <v>0</v>
      </c>
    </row>
    <row r="97" spans="1:20" ht="15.6" x14ac:dyDescent="0.3">
      <c r="A97" s="53" t="s">
        <v>56</v>
      </c>
      <c r="B97" s="114"/>
      <c r="C97" s="69">
        <f>+'Costo M.P.yMat.'!G45</f>
        <v>3.3</v>
      </c>
      <c r="D97" s="56">
        <f t="shared" si="98"/>
        <v>6.6</v>
      </c>
      <c r="E97" s="56">
        <f t="shared" si="98"/>
        <v>13.2</v>
      </c>
      <c r="F97" s="56">
        <f t="shared" si="98"/>
        <v>13.2</v>
      </c>
      <c r="G97" s="56">
        <f t="shared" si="98"/>
        <v>13.2</v>
      </c>
      <c r="H97" s="56">
        <f t="shared" si="98"/>
        <v>13.2</v>
      </c>
      <c r="I97" s="56">
        <f t="shared" si="98"/>
        <v>13.2</v>
      </c>
      <c r="J97" s="56">
        <f t="shared" si="98"/>
        <v>6.6</v>
      </c>
      <c r="K97" s="331">
        <v>38</v>
      </c>
      <c r="L97" s="58">
        <f t="shared" si="85"/>
        <v>92.4</v>
      </c>
      <c r="M97" s="59" t="s">
        <v>347</v>
      </c>
      <c r="N97" s="56">
        <f t="shared" ref="N97:T97" si="100">+$C97*N35</f>
        <v>13.2</v>
      </c>
      <c r="O97" s="56">
        <f t="shared" si="100"/>
        <v>13.2</v>
      </c>
      <c r="P97" s="56">
        <f t="shared" si="100"/>
        <v>13.2</v>
      </c>
      <c r="Q97" s="56">
        <f t="shared" si="100"/>
        <v>13.2</v>
      </c>
      <c r="R97" s="56">
        <f t="shared" si="100"/>
        <v>13.2</v>
      </c>
      <c r="S97" s="56">
        <f t="shared" si="100"/>
        <v>13.2</v>
      </c>
      <c r="T97" s="56">
        <f t="shared" si="100"/>
        <v>13.2</v>
      </c>
    </row>
    <row r="98" spans="1:20" ht="15.6" x14ac:dyDescent="0.3">
      <c r="A98" s="53">
        <v>1335</v>
      </c>
      <c r="B98" s="114"/>
      <c r="C98" s="69">
        <f>+'Costo M.P.yMat.'!G68</f>
        <v>5.67</v>
      </c>
      <c r="D98" s="56">
        <f t="shared" si="98"/>
        <v>5.67</v>
      </c>
      <c r="E98" s="56">
        <f t="shared" si="98"/>
        <v>17.009999999999998</v>
      </c>
      <c r="F98" s="56">
        <f t="shared" si="98"/>
        <v>17.009999999999998</v>
      </c>
      <c r="G98" s="56">
        <f t="shared" si="98"/>
        <v>17.009999999999998</v>
      </c>
      <c r="H98" s="56">
        <f t="shared" si="98"/>
        <v>17.009999999999998</v>
      </c>
      <c r="I98" s="56">
        <f t="shared" si="98"/>
        <v>17.009999999999998</v>
      </c>
      <c r="J98" s="56">
        <f t="shared" si="98"/>
        <v>5.67</v>
      </c>
      <c r="K98" s="331">
        <v>61</v>
      </c>
      <c r="L98" s="58">
        <f t="shared" si="85"/>
        <v>119.1</v>
      </c>
      <c r="M98" s="59" t="s">
        <v>347</v>
      </c>
      <c r="N98" s="56">
        <f t="shared" ref="N98:T98" si="101">+$C98*N36</f>
        <v>17.009999999999998</v>
      </c>
      <c r="O98" s="56">
        <f t="shared" si="101"/>
        <v>17.009999999999998</v>
      </c>
      <c r="P98" s="56">
        <f t="shared" si="101"/>
        <v>17.009999999999998</v>
      </c>
      <c r="Q98" s="56">
        <f t="shared" si="101"/>
        <v>17.009999999999998</v>
      </c>
      <c r="R98" s="56">
        <f t="shared" si="101"/>
        <v>17.009999999999998</v>
      </c>
      <c r="S98" s="56">
        <f t="shared" si="101"/>
        <v>17.009999999999998</v>
      </c>
      <c r="T98" s="56">
        <f t="shared" si="101"/>
        <v>17.009999999999998</v>
      </c>
    </row>
    <row r="99" spans="1:20" ht="15.6" x14ac:dyDescent="0.3">
      <c r="A99" s="53">
        <v>1103</v>
      </c>
      <c r="B99" s="114"/>
      <c r="C99" s="69">
        <f>+'Costo M.P.yMat.'!G51</f>
        <v>9.52</v>
      </c>
      <c r="D99" s="56">
        <f t="shared" si="98"/>
        <v>9.52</v>
      </c>
      <c r="E99" s="56">
        <f t="shared" si="98"/>
        <v>19.04</v>
      </c>
      <c r="F99" s="56">
        <f t="shared" si="98"/>
        <v>19.04</v>
      </c>
      <c r="G99" s="56">
        <f t="shared" si="98"/>
        <v>19.04</v>
      </c>
      <c r="H99" s="56">
        <f t="shared" si="98"/>
        <v>19.04</v>
      </c>
      <c r="I99" s="56">
        <f t="shared" si="98"/>
        <v>19.04</v>
      </c>
      <c r="J99" s="56">
        <f t="shared" si="98"/>
        <v>9.52</v>
      </c>
      <c r="K99" s="331">
        <v>44</v>
      </c>
      <c r="L99" s="58">
        <f t="shared" si="85"/>
        <v>133.29999999999998</v>
      </c>
      <c r="M99" s="59" t="s">
        <v>347</v>
      </c>
      <c r="N99" s="56">
        <f t="shared" ref="N99:T99" si="102">+$C99*N37</f>
        <v>19.04</v>
      </c>
      <c r="O99" s="56">
        <f t="shared" si="102"/>
        <v>19.04</v>
      </c>
      <c r="P99" s="56">
        <f t="shared" si="102"/>
        <v>19.04</v>
      </c>
      <c r="Q99" s="56">
        <f t="shared" si="102"/>
        <v>19.04</v>
      </c>
      <c r="R99" s="56">
        <f t="shared" si="102"/>
        <v>19.04</v>
      </c>
      <c r="S99" s="56">
        <f t="shared" si="102"/>
        <v>19.04</v>
      </c>
      <c r="T99" s="56">
        <f t="shared" si="102"/>
        <v>19.04</v>
      </c>
    </row>
    <row r="100" spans="1:20" ht="15.6" x14ac:dyDescent="0.3">
      <c r="A100" s="60">
        <v>1101</v>
      </c>
      <c r="B100" s="114"/>
      <c r="C100" s="69">
        <f>+'Costo M.P.yMat.'!G50</f>
        <v>8.42</v>
      </c>
      <c r="D100" s="56">
        <f t="shared" si="98"/>
        <v>8.42</v>
      </c>
      <c r="E100" s="56">
        <f t="shared" si="98"/>
        <v>16.84</v>
      </c>
      <c r="F100" s="56">
        <f t="shared" si="98"/>
        <v>16.84</v>
      </c>
      <c r="G100" s="56">
        <f t="shared" si="98"/>
        <v>16.84</v>
      </c>
      <c r="H100" s="56">
        <f t="shared" si="98"/>
        <v>16.84</v>
      </c>
      <c r="I100" s="56">
        <f t="shared" si="98"/>
        <v>16.84</v>
      </c>
      <c r="J100" s="56">
        <f t="shared" si="98"/>
        <v>8.42</v>
      </c>
      <c r="K100" s="331">
        <v>43</v>
      </c>
      <c r="L100" s="58">
        <f t="shared" si="85"/>
        <v>117.89999999999999</v>
      </c>
      <c r="M100" s="59" t="s">
        <v>347</v>
      </c>
      <c r="N100" s="56">
        <f t="shared" ref="N100:T100" si="103">+$C100*N38</f>
        <v>16.84</v>
      </c>
      <c r="O100" s="56">
        <f t="shared" si="103"/>
        <v>16.84</v>
      </c>
      <c r="P100" s="56">
        <f t="shared" si="103"/>
        <v>16.84</v>
      </c>
      <c r="Q100" s="56">
        <f t="shared" si="103"/>
        <v>16.84</v>
      </c>
      <c r="R100" s="56">
        <f t="shared" si="103"/>
        <v>16.84</v>
      </c>
      <c r="S100" s="56">
        <f t="shared" si="103"/>
        <v>16.84</v>
      </c>
      <c r="T100" s="56">
        <f t="shared" si="103"/>
        <v>16.84</v>
      </c>
    </row>
    <row r="101" spans="1:20" ht="15.6" x14ac:dyDescent="0.3">
      <c r="A101" s="60">
        <v>1636</v>
      </c>
      <c r="B101" s="114"/>
      <c r="C101" s="69">
        <f>+'Costo M.P.yMat.'!G79</f>
        <v>3.69</v>
      </c>
      <c r="D101" s="56">
        <f t="shared" si="98"/>
        <v>7.38</v>
      </c>
      <c r="E101" s="56">
        <f t="shared" si="98"/>
        <v>14.76</v>
      </c>
      <c r="F101" s="56">
        <f t="shared" si="98"/>
        <v>14.76</v>
      </c>
      <c r="G101" s="56">
        <f t="shared" si="98"/>
        <v>14.76</v>
      </c>
      <c r="H101" s="56">
        <f t="shared" si="98"/>
        <v>14.76</v>
      </c>
      <c r="I101" s="56">
        <f t="shared" si="98"/>
        <v>14.76</v>
      </c>
      <c r="J101" s="56">
        <f t="shared" si="98"/>
        <v>7.38</v>
      </c>
      <c r="K101" s="331">
        <v>72</v>
      </c>
      <c r="L101" s="58">
        <f t="shared" si="85"/>
        <v>103.39999999999999</v>
      </c>
      <c r="M101" s="59" t="s">
        <v>347</v>
      </c>
      <c r="N101" s="56">
        <f t="shared" ref="N101:T101" si="104">+$C101*N39</f>
        <v>14.76</v>
      </c>
      <c r="O101" s="56">
        <f t="shared" si="104"/>
        <v>14.76</v>
      </c>
      <c r="P101" s="56">
        <f t="shared" si="104"/>
        <v>14.76</v>
      </c>
      <c r="Q101" s="56">
        <f t="shared" si="104"/>
        <v>14.76</v>
      </c>
      <c r="R101" s="56">
        <f t="shared" si="104"/>
        <v>14.76</v>
      </c>
      <c r="S101" s="56">
        <f t="shared" si="104"/>
        <v>14.76</v>
      </c>
      <c r="T101" s="56">
        <f t="shared" si="104"/>
        <v>14.76</v>
      </c>
    </row>
    <row r="102" spans="1:20" ht="15.6" x14ac:dyDescent="0.3">
      <c r="A102" s="53">
        <v>1520</v>
      </c>
      <c r="B102" s="114"/>
      <c r="C102" s="69">
        <f>+'Costo M.P.yMat.'!G74</f>
        <v>15.57</v>
      </c>
      <c r="D102" s="56">
        <f t="shared" si="98"/>
        <v>15.57</v>
      </c>
      <c r="E102" s="56">
        <f t="shared" si="98"/>
        <v>15.57</v>
      </c>
      <c r="F102" s="56">
        <f t="shared" si="98"/>
        <v>15.57</v>
      </c>
      <c r="G102" s="56">
        <f t="shared" si="98"/>
        <v>15.57</v>
      </c>
      <c r="H102" s="56">
        <f t="shared" si="98"/>
        <v>15.57</v>
      </c>
      <c r="I102" s="56">
        <f t="shared" si="98"/>
        <v>15.57</v>
      </c>
      <c r="J102" s="56">
        <f t="shared" si="98"/>
        <v>15.57</v>
      </c>
      <c r="K102" s="331">
        <v>67</v>
      </c>
      <c r="L102" s="58">
        <f t="shared" si="85"/>
        <v>109</v>
      </c>
      <c r="M102" s="59" t="s">
        <v>347</v>
      </c>
      <c r="N102" s="56">
        <f t="shared" ref="N102:T102" si="105">+$C102*N40</f>
        <v>15.57</v>
      </c>
      <c r="O102" s="56">
        <f t="shared" si="105"/>
        <v>15.57</v>
      </c>
      <c r="P102" s="56">
        <f t="shared" si="105"/>
        <v>15.57</v>
      </c>
      <c r="Q102" s="56">
        <f t="shared" si="105"/>
        <v>15.57</v>
      </c>
      <c r="R102" s="56">
        <f t="shared" si="105"/>
        <v>15.57</v>
      </c>
      <c r="S102" s="56">
        <f t="shared" si="105"/>
        <v>15.57</v>
      </c>
      <c r="T102" s="56">
        <f t="shared" si="105"/>
        <v>15.57</v>
      </c>
    </row>
    <row r="103" spans="1:20" ht="15.6" x14ac:dyDescent="0.3">
      <c r="A103" s="53">
        <v>1531</v>
      </c>
      <c r="B103" s="114"/>
      <c r="C103" s="69">
        <f>+'Costo M.P.yMat.'!G76</f>
        <v>6.77</v>
      </c>
      <c r="D103" s="56">
        <f t="shared" si="98"/>
        <v>0</v>
      </c>
      <c r="E103" s="56">
        <f t="shared" si="98"/>
        <v>6.77</v>
      </c>
      <c r="F103" s="56">
        <f t="shared" si="98"/>
        <v>6.77</v>
      </c>
      <c r="G103" s="56">
        <f t="shared" si="98"/>
        <v>6.77</v>
      </c>
      <c r="H103" s="56">
        <f t="shared" si="98"/>
        <v>6.77</v>
      </c>
      <c r="I103" s="56">
        <f t="shared" si="98"/>
        <v>6.77</v>
      </c>
      <c r="J103" s="56">
        <f t="shared" si="98"/>
        <v>6.77</v>
      </c>
      <c r="K103" s="331">
        <v>69</v>
      </c>
      <c r="L103" s="58">
        <f t="shared" si="85"/>
        <v>47.4</v>
      </c>
      <c r="M103" s="59" t="s">
        <v>347</v>
      </c>
      <c r="N103" s="56">
        <f t="shared" ref="N103:T103" si="106">+$C103*N41</f>
        <v>6.77</v>
      </c>
      <c r="O103" s="56">
        <f t="shared" si="106"/>
        <v>6.77</v>
      </c>
      <c r="P103" s="56">
        <f t="shared" si="106"/>
        <v>6.77</v>
      </c>
      <c r="Q103" s="56">
        <f t="shared" si="106"/>
        <v>6.77</v>
      </c>
      <c r="R103" s="56">
        <f t="shared" si="106"/>
        <v>6.77</v>
      </c>
      <c r="S103" s="56">
        <f t="shared" si="106"/>
        <v>6.77</v>
      </c>
      <c r="T103" s="56">
        <f t="shared" si="106"/>
        <v>6.77</v>
      </c>
    </row>
    <row r="104" spans="1:20" ht="15.6" x14ac:dyDescent="0.3">
      <c r="A104" s="53">
        <v>1038</v>
      </c>
      <c r="B104" s="114"/>
      <c r="C104" s="69">
        <f>+'Costo M.P.yMat.'!G48</f>
        <v>1.27</v>
      </c>
      <c r="D104" s="56">
        <f t="shared" si="98"/>
        <v>2.54</v>
      </c>
      <c r="E104" s="56">
        <f t="shared" si="98"/>
        <v>5.08</v>
      </c>
      <c r="F104" s="56">
        <f t="shared" si="98"/>
        <v>5.08</v>
      </c>
      <c r="G104" s="56">
        <f t="shared" si="98"/>
        <v>5.08</v>
      </c>
      <c r="H104" s="56">
        <f t="shared" si="98"/>
        <v>5.08</v>
      </c>
      <c r="I104" s="56">
        <f t="shared" si="98"/>
        <v>5.08</v>
      </c>
      <c r="J104" s="56">
        <f t="shared" si="98"/>
        <v>2.54</v>
      </c>
      <c r="K104" s="331">
        <v>41</v>
      </c>
      <c r="L104" s="58">
        <f t="shared" si="85"/>
        <v>35.6</v>
      </c>
      <c r="M104" s="59" t="s">
        <v>347</v>
      </c>
      <c r="N104" s="56">
        <f t="shared" ref="N104:T104" si="107">+$C104*N42</f>
        <v>5.08</v>
      </c>
      <c r="O104" s="56">
        <f t="shared" si="107"/>
        <v>5.08</v>
      </c>
      <c r="P104" s="56">
        <f t="shared" si="107"/>
        <v>5.08</v>
      </c>
      <c r="Q104" s="56">
        <f t="shared" si="107"/>
        <v>5.08</v>
      </c>
      <c r="R104" s="56">
        <f t="shared" si="107"/>
        <v>5.08</v>
      </c>
      <c r="S104" s="56">
        <f t="shared" si="107"/>
        <v>5.08</v>
      </c>
      <c r="T104" s="56">
        <f t="shared" si="107"/>
        <v>5.08</v>
      </c>
    </row>
    <row r="105" spans="1:20" ht="15.6" x14ac:dyDescent="0.3">
      <c r="A105" s="53">
        <v>1013</v>
      </c>
      <c r="B105" s="114"/>
      <c r="C105" s="69">
        <f>+'Costo M.P.yMat.'!G47</f>
        <v>3.4699999999999998</v>
      </c>
      <c r="D105" s="56">
        <f t="shared" si="98"/>
        <v>3.4699999999999998</v>
      </c>
      <c r="E105" s="56">
        <f t="shared" si="98"/>
        <v>6.9399999999999995</v>
      </c>
      <c r="F105" s="56">
        <f t="shared" si="98"/>
        <v>6.9399999999999995</v>
      </c>
      <c r="G105" s="56">
        <f t="shared" si="98"/>
        <v>6.9399999999999995</v>
      </c>
      <c r="H105" s="56">
        <f t="shared" si="98"/>
        <v>6.9399999999999995</v>
      </c>
      <c r="I105" s="56">
        <f t="shared" si="98"/>
        <v>6.9399999999999995</v>
      </c>
      <c r="J105" s="56">
        <f t="shared" si="98"/>
        <v>3.4699999999999998</v>
      </c>
      <c r="K105" s="331">
        <v>40</v>
      </c>
      <c r="L105" s="58">
        <f t="shared" si="85"/>
        <v>48.6</v>
      </c>
      <c r="M105" s="59" t="s">
        <v>347</v>
      </c>
      <c r="N105" s="56">
        <f t="shared" ref="N105:T105" si="108">+$C105*N43</f>
        <v>6.9399999999999995</v>
      </c>
      <c r="O105" s="56">
        <f t="shared" si="108"/>
        <v>6.9399999999999995</v>
      </c>
      <c r="P105" s="56">
        <f t="shared" si="108"/>
        <v>6.9399999999999995</v>
      </c>
      <c r="Q105" s="56">
        <f t="shared" si="108"/>
        <v>6.9399999999999995</v>
      </c>
      <c r="R105" s="56">
        <f t="shared" si="108"/>
        <v>6.9399999999999995</v>
      </c>
      <c r="S105" s="56">
        <f t="shared" si="108"/>
        <v>6.9399999999999995</v>
      </c>
      <c r="T105" s="56">
        <f t="shared" si="108"/>
        <v>6.9399999999999995</v>
      </c>
    </row>
    <row r="106" spans="1:20" ht="15.6" x14ac:dyDescent="0.3">
      <c r="A106" s="53">
        <v>1201</v>
      </c>
      <c r="B106" s="114"/>
      <c r="C106" s="69">
        <f>+'Costo M.P.yMat.'!G58</f>
        <v>1.71</v>
      </c>
      <c r="D106" s="56">
        <f t="shared" ref="D106:J113" si="109">+$C106*D44</f>
        <v>1.71</v>
      </c>
      <c r="E106" s="56">
        <f t="shared" si="109"/>
        <v>5.13</v>
      </c>
      <c r="F106" s="56">
        <f t="shared" si="109"/>
        <v>5.13</v>
      </c>
      <c r="G106" s="56">
        <f t="shared" si="109"/>
        <v>0</v>
      </c>
      <c r="H106" s="56">
        <f t="shared" si="109"/>
        <v>0</v>
      </c>
      <c r="I106" s="56">
        <f t="shared" si="109"/>
        <v>0</v>
      </c>
      <c r="J106" s="56">
        <f t="shared" si="109"/>
        <v>0</v>
      </c>
      <c r="K106" s="331">
        <v>51</v>
      </c>
      <c r="L106" s="58">
        <f t="shared" si="85"/>
        <v>0</v>
      </c>
      <c r="M106" s="59" t="s">
        <v>347</v>
      </c>
      <c r="N106" s="56">
        <f t="shared" ref="N106:T106" si="110">+$C106*N44</f>
        <v>0</v>
      </c>
      <c r="O106" s="56">
        <f t="shared" si="110"/>
        <v>0</v>
      </c>
      <c r="P106" s="56">
        <f t="shared" si="110"/>
        <v>0</v>
      </c>
      <c r="Q106" s="56">
        <f t="shared" si="110"/>
        <v>0</v>
      </c>
      <c r="R106" s="56">
        <f t="shared" si="110"/>
        <v>0</v>
      </c>
      <c r="S106" s="56">
        <f t="shared" si="110"/>
        <v>0</v>
      </c>
      <c r="T106" s="56">
        <f t="shared" si="110"/>
        <v>0</v>
      </c>
    </row>
    <row r="107" spans="1:20" ht="15.6" x14ac:dyDescent="0.3">
      <c r="A107" s="53" t="s">
        <v>183</v>
      </c>
      <c r="B107" s="114"/>
      <c r="C107" s="69">
        <f>+'Costo M.P.yMat.'!G73</f>
        <v>2.3699999999999997</v>
      </c>
      <c r="D107" s="56">
        <f t="shared" si="109"/>
        <v>2.3699999999999997</v>
      </c>
      <c r="E107" s="56">
        <f t="shared" si="109"/>
        <v>0</v>
      </c>
      <c r="F107" s="56">
        <f t="shared" si="109"/>
        <v>0</v>
      </c>
      <c r="G107" s="56">
        <f t="shared" si="109"/>
        <v>0</v>
      </c>
      <c r="H107" s="56">
        <f t="shared" si="109"/>
        <v>0</v>
      </c>
      <c r="I107" s="56">
        <f t="shared" si="109"/>
        <v>0</v>
      </c>
      <c r="J107" s="56">
        <f t="shared" si="109"/>
        <v>0</v>
      </c>
      <c r="K107" s="331">
        <v>63</v>
      </c>
      <c r="L107" s="58">
        <f t="shared" si="85"/>
        <v>0</v>
      </c>
      <c r="M107" s="59" t="s">
        <v>347</v>
      </c>
      <c r="N107" s="56">
        <f t="shared" ref="N107:T107" si="111">+$C107*N45</f>
        <v>0</v>
      </c>
      <c r="O107" s="56">
        <f t="shared" si="111"/>
        <v>0</v>
      </c>
      <c r="P107" s="56">
        <f t="shared" si="111"/>
        <v>0</v>
      </c>
      <c r="Q107" s="56">
        <f t="shared" si="111"/>
        <v>0</v>
      </c>
      <c r="R107" s="56">
        <f t="shared" si="111"/>
        <v>0</v>
      </c>
      <c r="S107" s="56">
        <f t="shared" si="111"/>
        <v>0</v>
      </c>
      <c r="T107" s="56">
        <f t="shared" si="111"/>
        <v>0</v>
      </c>
    </row>
    <row r="108" spans="1:20" ht="15.6" x14ac:dyDescent="0.3">
      <c r="A108" s="53" t="s">
        <v>345</v>
      </c>
      <c r="B108" s="54"/>
      <c r="C108" s="69">
        <f>+'Costo M.P.yMat.'!G69</f>
        <v>5.12</v>
      </c>
      <c r="D108" s="56">
        <f t="shared" si="109"/>
        <v>0</v>
      </c>
      <c r="E108" s="56">
        <f t="shared" si="109"/>
        <v>0</v>
      </c>
      <c r="F108" s="56">
        <f t="shared" si="109"/>
        <v>0</v>
      </c>
      <c r="G108" s="56">
        <f t="shared" si="109"/>
        <v>5.12</v>
      </c>
      <c r="H108" s="56">
        <f t="shared" si="109"/>
        <v>5.12</v>
      </c>
      <c r="I108" s="56">
        <f t="shared" si="109"/>
        <v>5.12</v>
      </c>
      <c r="J108" s="56">
        <f t="shared" si="109"/>
        <v>5.12</v>
      </c>
      <c r="K108" s="331">
        <v>62</v>
      </c>
      <c r="L108" s="58">
        <f t="shared" si="85"/>
        <v>35.9</v>
      </c>
      <c r="M108" s="59" t="s">
        <v>347</v>
      </c>
      <c r="N108" s="56">
        <f t="shared" ref="N108:T108" si="112">+$C108*N46</f>
        <v>5.12</v>
      </c>
      <c r="O108" s="56">
        <f t="shared" si="112"/>
        <v>5.12</v>
      </c>
      <c r="P108" s="56">
        <f t="shared" si="112"/>
        <v>5.12</v>
      </c>
      <c r="Q108" s="56">
        <f t="shared" si="112"/>
        <v>5.12</v>
      </c>
      <c r="R108" s="56">
        <f t="shared" si="112"/>
        <v>5.12</v>
      </c>
      <c r="S108" s="56">
        <f t="shared" si="112"/>
        <v>5.12</v>
      </c>
      <c r="T108" s="56">
        <f t="shared" si="112"/>
        <v>5.12</v>
      </c>
    </row>
    <row r="109" spans="1:20" ht="15.6" x14ac:dyDescent="0.3">
      <c r="A109" s="53">
        <v>1203</v>
      </c>
      <c r="B109" s="54"/>
      <c r="C109" s="69">
        <f>+'Costo M.P.yMat.'!G59</f>
        <v>10.07</v>
      </c>
      <c r="D109" s="56">
        <f t="shared" si="109"/>
        <v>0</v>
      </c>
      <c r="E109" s="56">
        <f t="shared" si="109"/>
        <v>0</v>
      </c>
      <c r="F109" s="56">
        <f t="shared" si="109"/>
        <v>0</v>
      </c>
      <c r="G109" s="56">
        <f t="shared" si="109"/>
        <v>20.14</v>
      </c>
      <c r="H109" s="56">
        <f t="shared" si="109"/>
        <v>10.07</v>
      </c>
      <c r="I109" s="56">
        <f t="shared" si="109"/>
        <v>0</v>
      </c>
      <c r="J109" s="56">
        <f t="shared" si="109"/>
        <v>10.07</v>
      </c>
      <c r="K109" s="331">
        <v>52</v>
      </c>
      <c r="L109" s="58">
        <f t="shared" si="85"/>
        <v>80.599999999999994</v>
      </c>
      <c r="M109" s="59" t="s">
        <v>347</v>
      </c>
      <c r="N109" s="56">
        <f t="shared" ref="N109:T109" si="113">+$C109*N47</f>
        <v>10.07</v>
      </c>
      <c r="O109" s="56">
        <f t="shared" si="113"/>
        <v>10.07</v>
      </c>
      <c r="P109" s="56">
        <f t="shared" si="113"/>
        <v>10.07</v>
      </c>
      <c r="Q109" s="56">
        <f t="shared" si="113"/>
        <v>10.07</v>
      </c>
      <c r="R109" s="56">
        <f t="shared" si="113"/>
        <v>10.07</v>
      </c>
      <c r="S109" s="56">
        <f t="shared" si="113"/>
        <v>10.07</v>
      </c>
      <c r="T109" s="56">
        <f t="shared" si="113"/>
        <v>20.14</v>
      </c>
    </row>
    <row r="110" spans="1:20" ht="15.6" x14ac:dyDescent="0.3">
      <c r="A110" s="53">
        <v>1209</v>
      </c>
      <c r="B110" s="54"/>
      <c r="C110" s="69">
        <f>+'Costo M.P.yMat.'!G60</f>
        <v>12.27</v>
      </c>
      <c r="D110" s="56">
        <f t="shared" si="109"/>
        <v>0</v>
      </c>
      <c r="E110" s="56">
        <f t="shared" si="109"/>
        <v>0</v>
      </c>
      <c r="F110" s="56">
        <f t="shared" si="109"/>
        <v>0</v>
      </c>
      <c r="G110" s="56">
        <f t="shared" si="109"/>
        <v>0</v>
      </c>
      <c r="H110" s="56">
        <f t="shared" si="109"/>
        <v>12.27</v>
      </c>
      <c r="I110" s="56">
        <f t="shared" si="109"/>
        <v>24.54</v>
      </c>
      <c r="J110" s="56">
        <f t="shared" si="109"/>
        <v>0</v>
      </c>
      <c r="K110" s="331">
        <v>53</v>
      </c>
      <c r="L110" s="58">
        <f t="shared" si="85"/>
        <v>73.699999999999989</v>
      </c>
      <c r="M110" s="59" t="s">
        <v>347</v>
      </c>
      <c r="N110" s="56">
        <f t="shared" ref="N110:T110" si="114">+$C110*N48</f>
        <v>12.27</v>
      </c>
      <c r="O110" s="56">
        <f t="shared" si="114"/>
        <v>12.27</v>
      </c>
      <c r="P110" s="56">
        <f t="shared" si="114"/>
        <v>12.27</v>
      </c>
      <c r="Q110" s="56">
        <f t="shared" si="114"/>
        <v>12.27</v>
      </c>
      <c r="R110" s="56">
        <f t="shared" si="114"/>
        <v>12.27</v>
      </c>
      <c r="S110" s="56">
        <f t="shared" si="114"/>
        <v>12.27</v>
      </c>
      <c r="T110" s="56">
        <f t="shared" si="114"/>
        <v>0</v>
      </c>
    </row>
    <row r="111" spans="1:20" ht="15.6" x14ac:dyDescent="0.3">
      <c r="A111" s="53">
        <v>1310</v>
      </c>
      <c r="B111" s="54"/>
      <c r="C111" s="69">
        <f>+'Costo M.P.yMat.'!G64</f>
        <v>7.87</v>
      </c>
      <c r="D111" s="56">
        <f t="shared" si="109"/>
        <v>0</v>
      </c>
      <c r="E111" s="56">
        <f t="shared" si="109"/>
        <v>0</v>
      </c>
      <c r="F111" s="56">
        <f t="shared" si="109"/>
        <v>0</v>
      </c>
      <c r="G111" s="56">
        <f t="shared" si="109"/>
        <v>0</v>
      </c>
      <c r="H111" s="56">
        <f t="shared" si="109"/>
        <v>0</v>
      </c>
      <c r="I111" s="56">
        <f t="shared" si="109"/>
        <v>0</v>
      </c>
      <c r="J111" s="56">
        <f t="shared" si="109"/>
        <v>7.87</v>
      </c>
      <c r="K111" s="331">
        <v>57</v>
      </c>
      <c r="L111" s="58">
        <f t="shared" si="85"/>
        <v>0</v>
      </c>
      <c r="M111" s="59" t="s">
        <v>347</v>
      </c>
      <c r="N111" s="56">
        <f t="shared" ref="N111:T111" si="115">+$C111*N49</f>
        <v>0</v>
      </c>
      <c r="O111" s="56">
        <f t="shared" si="115"/>
        <v>0</v>
      </c>
      <c r="P111" s="56">
        <f t="shared" si="115"/>
        <v>0</v>
      </c>
      <c r="Q111" s="56">
        <f t="shared" si="115"/>
        <v>0</v>
      </c>
      <c r="R111" s="56">
        <f t="shared" si="115"/>
        <v>0</v>
      </c>
      <c r="S111" s="56">
        <f t="shared" si="115"/>
        <v>0</v>
      </c>
      <c r="T111" s="56">
        <f t="shared" si="115"/>
        <v>0</v>
      </c>
    </row>
    <row r="112" spans="1:20" ht="15.6" x14ac:dyDescent="0.3">
      <c r="A112" s="53">
        <v>1302</v>
      </c>
      <c r="B112" s="54"/>
      <c r="C112" s="69">
        <f>+'Costo M.P.yMat.'!G62</f>
        <v>4.0199999999999996</v>
      </c>
      <c r="D112" s="56">
        <f t="shared" si="109"/>
        <v>0</v>
      </c>
      <c r="E112" s="56">
        <f t="shared" si="109"/>
        <v>0</v>
      </c>
      <c r="F112" s="56">
        <f t="shared" si="109"/>
        <v>0</v>
      </c>
      <c r="G112" s="56">
        <f t="shared" si="109"/>
        <v>0</v>
      </c>
      <c r="H112" s="56">
        <f t="shared" si="109"/>
        <v>4.0199999999999996</v>
      </c>
      <c r="I112" s="56">
        <f t="shared" si="109"/>
        <v>8.0399999999999991</v>
      </c>
      <c r="J112" s="56">
        <f t="shared" si="109"/>
        <v>4.0199999999999996</v>
      </c>
      <c r="K112" s="331">
        <v>55</v>
      </c>
      <c r="L112" s="58">
        <f t="shared" si="85"/>
        <v>24.200000000000003</v>
      </c>
      <c r="M112" s="59" t="s">
        <v>347</v>
      </c>
      <c r="N112" s="56">
        <f t="shared" ref="N112:T112" si="116">+$C112*N50</f>
        <v>4.0199999999999996</v>
      </c>
      <c r="O112" s="56">
        <f t="shared" si="116"/>
        <v>4.0199999999999996</v>
      </c>
      <c r="P112" s="56">
        <f t="shared" si="116"/>
        <v>4.0199999999999996</v>
      </c>
      <c r="Q112" s="56">
        <f t="shared" si="116"/>
        <v>4.0199999999999996</v>
      </c>
      <c r="R112" s="56">
        <f t="shared" si="116"/>
        <v>4.0199999999999996</v>
      </c>
      <c r="S112" s="56">
        <f t="shared" si="116"/>
        <v>4.0199999999999996</v>
      </c>
      <c r="T112" s="56">
        <f t="shared" si="116"/>
        <v>0</v>
      </c>
    </row>
    <row r="113" spans="1:20" ht="15.6" x14ac:dyDescent="0.3">
      <c r="A113" s="53">
        <v>1329</v>
      </c>
      <c r="B113" s="54"/>
      <c r="C113" s="69">
        <f>+'Costo M.P.yMat.'!G67</f>
        <v>4.0199999999999996</v>
      </c>
      <c r="D113" s="56">
        <f t="shared" si="109"/>
        <v>0</v>
      </c>
      <c r="E113" s="56">
        <f t="shared" si="109"/>
        <v>0</v>
      </c>
      <c r="F113" s="56">
        <f t="shared" si="109"/>
        <v>0</v>
      </c>
      <c r="G113" s="56">
        <f t="shared" si="109"/>
        <v>0</v>
      </c>
      <c r="H113" s="56">
        <f t="shared" si="109"/>
        <v>4.0199999999999996</v>
      </c>
      <c r="I113" s="56">
        <f t="shared" si="109"/>
        <v>8.0399999999999991</v>
      </c>
      <c r="J113" s="56">
        <f t="shared" si="109"/>
        <v>4.0199999999999996</v>
      </c>
      <c r="K113" s="331">
        <v>60</v>
      </c>
      <c r="L113" s="58">
        <f t="shared" si="85"/>
        <v>24.200000000000003</v>
      </c>
      <c r="M113" s="59" t="s">
        <v>347</v>
      </c>
      <c r="N113" s="56">
        <f t="shared" ref="N113:T113" si="117">+$C113*N51</f>
        <v>4.0199999999999996</v>
      </c>
      <c r="O113" s="56">
        <f t="shared" si="117"/>
        <v>4.0199999999999996</v>
      </c>
      <c r="P113" s="56">
        <f t="shared" si="117"/>
        <v>4.0199999999999996</v>
      </c>
      <c r="Q113" s="56">
        <f t="shared" si="117"/>
        <v>4.0199999999999996</v>
      </c>
      <c r="R113" s="56">
        <f t="shared" si="117"/>
        <v>4.0199999999999996</v>
      </c>
      <c r="S113" s="56">
        <f t="shared" si="117"/>
        <v>4.0199999999999996</v>
      </c>
      <c r="T113" s="56">
        <f t="shared" si="117"/>
        <v>0</v>
      </c>
    </row>
    <row r="114" spans="1:20" x14ac:dyDescent="0.25">
      <c r="C114" s="73"/>
      <c r="D114" s="63"/>
      <c r="E114" s="63"/>
      <c r="F114" s="63"/>
      <c r="G114" s="63"/>
      <c r="H114" s="63"/>
      <c r="I114" s="63"/>
      <c r="J114" s="63"/>
      <c r="N114" s="63"/>
      <c r="O114" s="63"/>
      <c r="P114" s="63"/>
      <c r="Q114" s="63"/>
      <c r="R114" s="63"/>
      <c r="S114" s="63"/>
      <c r="T114" s="63"/>
    </row>
  </sheetData>
  <mergeCells count="3">
    <mergeCell ref="L2:M2"/>
    <mergeCell ref="A3:C3"/>
    <mergeCell ref="A2:C2"/>
  </mergeCells>
  <phoneticPr fontId="0" type="noConversion"/>
  <pageMargins left="0.34" right="0.75" top="0.44" bottom="0.41" header="0" footer="0"/>
  <pageSetup scale="70" orientation="landscape" horizontalDpi="180" verticalDpi="144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35"/>
  <sheetViews>
    <sheetView workbookViewId="0">
      <selection activeCell="C5" sqref="C5"/>
    </sheetView>
  </sheetViews>
  <sheetFormatPr baseColWidth="10" defaultRowHeight="13.2" x14ac:dyDescent="0.25"/>
  <cols>
    <col min="1" max="1" width="42.44140625" bestFit="1" customWidth="1"/>
  </cols>
  <sheetData>
    <row r="1" spans="1:7" ht="17.399999999999999" x14ac:dyDescent="0.3">
      <c r="A1" s="403" t="s">
        <v>172</v>
      </c>
      <c r="B1" s="404"/>
      <c r="C1" s="258" t="s">
        <v>349</v>
      </c>
      <c r="D1" s="258" t="s">
        <v>348</v>
      </c>
      <c r="E1" s="258" t="s">
        <v>350</v>
      </c>
      <c r="F1" s="403" t="s">
        <v>351</v>
      </c>
      <c r="G1" s="404"/>
    </row>
    <row r="2" spans="1:7" ht="15.6" x14ac:dyDescent="0.3">
      <c r="A2" s="256" t="s">
        <v>33</v>
      </c>
      <c r="B2" s="255" t="s">
        <v>34</v>
      </c>
      <c r="C2" s="255">
        <v>2429.6</v>
      </c>
      <c r="D2" s="255">
        <v>544.80000000000007</v>
      </c>
      <c r="E2" s="255">
        <v>78.5</v>
      </c>
      <c r="F2" s="256">
        <f>+E2+D2+C2</f>
        <v>3052.9</v>
      </c>
      <c r="G2" s="256" t="s">
        <v>34</v>
      </c>
    </row>
    <row r="3" spans="1:7" ht="15.6" x14ac:dyDescent="0.3">
      <c r="A3" s="256" t="s">
        <v>182</v>
      </c>
      <c r="B3" s="255" t="s">
        <v>34</v>
      </c>
      <c r="C3" s="255">
        <v>2429.6</v>
      </c>
      <c r="D3" s="255">
        <v>541.1</v>
      </c>
      <c r="E3" s="255">
        <v>77.599999999999994</v>
      </c>
      <c r="F3" s="256">
        <f t="shared" ref="F3:F35" si="0">+E3+D3+C3</f>
        <v>3048.3</v>
      </c>
      <c r="G3" s="256" t="s">
        <v>34</v>
      </c>
    </row>
    <row r="4" spans="1:7" ht="15.6" x14ac:dyDescent="0.3">
      <c r="A4" s="256" t="s">
        <v>12</v>
      </c>
      <c r="B4" s="255" t="s">
        <v>13</v>
      </c>
      <c r="C4" s="255">
        <v>683.9</v>
      </c>
      <c r="D4" s="255">
        <v>218.29999999999998</v>
      </c>
      <c r="E4" s="255">
        <v>22.5</v>
      </c>
      <c r="F4" s="256">
        <v>925</v>
      </c>
      <c r="G4" s="256" t="s">
        <v>13</v>
      </c>
    </row>
    <row r="5" spans="1:7" ht="15.6" x14ac:dyDescent="0.3">
      <c r="A5" s="256" t="s">
        <v>15</v>
      </c>
      <c r="B5" s="255" t="s">
        <v>16</v>
      </c>
      <c r="C5" s="255">
        <v>274.40000000000003</v>
      </c>
      <c r="D5" s="255">
        <v>131</v>
      </c>
      <c r="E5" s="255">
        <v>13.5</v>
      </c>
      <c r="F5" s="256">
        <v>419</v>
      </c>
      <c r="G5" s="256" t="s">
        <v>16</v>
      </c>
    </row>
    <row r="6" spans="1:7" ht="15.6" x14ac:dyDescent="0.3">
      <c r="A6" s="256" t="s">
        <v>295</v>
      </c>
      <c r="B6" s="255" t="s">
        <v>189</v>
      </c>
      <c r="C6" s="255">
        <v>230.9</v>
      </c>
      <c r="D6" s="255">
        <v>82.6</v>
      </c>
      <c r="E6" s="255">
        <v>6.5</v>
      </c>
      <c r="F6" s="256">
        <f t="shared" si="0"/>
        <v>320</v>
      </c>
      <c r="G6" s="256" t="s">
        <v>189</v>
      </c>
    </row>
    <row r="7" spans="1:7" ht="15.6" x14ac:dyDescent="0.3">
      <c r="A7" s="256" t="s">
        <v>260</v>
      </c>
      <c r="B7" s="255" t="s">
        <v>214</v>
      </c>
      <c r="C7" s="255"/>
      <c r="D7" s="255"/>
      <c r="E7" s="255">
        <v>6.5</v>
      </c>
      <c r="F7" s="256">
        <v>7</v>
      </c>
      <c r="G7" s="256" t="s">
        <v>214</v>
      </c>
    </row>
    <row r="8" spans="1:7" ht="15.6" x14ac:dyDescent="0.3">
      <c r="A8" s="256" t="s">
        <v>261</v>
      </c>
      <c r="B8" s="255" t="s">
        <v>214</v>
      </c>
      <c r="C8" s="255">
        <v>79.8</v>
      </c>
      <c r="D8" s="255"/>
      <c r="E8" s="255">
        <v>3.3000000000000003</v>
      </c>
      <c r="F8" s="256">
        <v>84</v>
      </c>
      <c r="G8" s="256" t="s">
        <v>214</v>
      </c>
    </row>
    <row r="9" spans="1:7" ht="15.6" x14ac:dyDescent="0.3">
      <c r="A9" s="256" t="s">
        <v>203</v>
      </c>
      <c r="B9" s="255" t="s">
        <v>214</v>
      </c>
      <c r="C9" s="255"/>
      <c r="D9" s="255"/>
      <c r="E9" s="255">
        <v>4</v>
      </c>
      <c r="F9" s="256">
        <f t="shared" si="0"/>
        <v>4</v>
      </c>
      <c r="G9" s="256" t="s">
        <v>214</v>
      </c>
    </row>
    <row r="10" spans="1:7" ht="15.6" x14ac:dyDescent="0.3">
      <c r="A10" s="256" t="s">
        <v>204</v>
      </c>
      <c r="B10" s="255" t="s">
        <v>214</v>
      </c>
      <c r="C10" s="255"/>
      <c r="D10" s="255"/>
      <c r="E10" s="255">
        <v>4</v>
      </c>
      <c r="F10" s="256">
        <f t="shared" si="0"/>
        <v>4</v>
      </c>
      <c r="G10" s="256" t="s">
        <v>214</v>
      </c>
    </row>
    <row r="11" spans="1:7" ht="15.6" x14ac:dyDescent="0.3">
      <c r="A11" s="256" t="s">
        <v>205</v>
      </c>
      <c r="B11" s="255" t="s">
        <v>214</v>
      </c>
      <c r="C11" s="255"/>
      <c r="D11" s="255"/>
      <c r="E11" s="255">
        <v>4</v>
      </c>
      <c r="F11" s="256">
        <f t="shared" si="0"/>
        <v>4</v>
      </c>
      <c r="G11" s="256" t="s">
        <v>214</v>
      </c>
    </row>
    <row r="12" spans="1:7" ht="15.6" x14ac:dyDescent="0.3">
      <c r="A12" s="256" t="s">
        <v>206</v>
      </c>
      <c r="B12" s="255" t="s">
        <v>214</v>
      </c>
      <c r="C12" s="255"/>
      <c r="D12" s="255"/>
      <c r="E12" s="255">
        <v>4</v>
      </c>
      <c r="F12" s="256">
        <f t="shared" si="0"/>
        <v>4</v>
      </c>
      <c r="G12" s="256" t="s">
        <v>214</v>
      </c>
    </row>
    <row r="13" spans="1:7" ht="15.6" x14ac:dyDescent="0.3">
      <c r="A13" s="256" t="s">
        <v>25</v>
      </c>
      <c r="B13" s="255" t="s">
        <v>19</v>
      </c>
      <c r="C13" s="255">
        <v>306.40000000000003</v>
      </c>
      <c r="D13" s="255"/>
      <c r="E13" s="255">
        <v>91.399999999999991</v>
      </c>
      <c r="F13" s="256">
        <v>398</v>
      </c>
      <c r="G13" s="256" t="s">
        <v>19</v>
      </c>
    </row>
    <row r="14" spans="1:7" ht="15.6" x14ac:dyDescent="0.3">
      <c r="A14" s="256" t="s">
        <v>29</v>
      </c>
      <c r="B14" s="255" t="s">
        <v>27</v>
      </c>
      <c r="C14" s="255">
        <v>3462.2999999999997</v>
      </c>
      <c r="D14" s="255">
        <v>1238.1999999999998</v>
      </c>
      <c r="E14" s="255">
        <v>216.9</v>
      </c>
      <c r="F14" s="256">
        <v>4918</v>
      </c>
      <c r="G14" s="256" t="s">
        <v>27</v>
      </c>
    </row>
    <row r="15" spans="1:7" ht="15.6" x14ac:dyDescent="0.3">
      <c r="A15" s="256" t="s">
        <v>30</v>
      </c>
      <c r="B15" s="255" t="s">
        <v>27</v>
      </c>
      <c r="C15" s="255">
        <v>3462.2999999999997</v>
      </c>
      <c r="D15" s="255">
        <v>1238.1999999999998</v>
      </c>
      <c r="E15" s="255">
        <v>216.9</v>
      </c>
      <c r="F15" s="256">
        <v>4918</v>
      </c>
      <c r="G15" s="256" t="s">
        <v>27</v>
      </c>
    </row>
    <row r="16" spans="1:7" ht="15.6" x14ac:dyDescent="0.3">
      <c r="A16" s="256" t="s">
        <v>352</v>
      </c>
      <c r="B16" s="255" t="s">
        <v>27</v>
      </c>
      <c r="C16" s="255">
        <v>386</v>
      </c>
      <c r="D16" s="255"/>
      <c r="E16" s="255"/>
      <c r="F16" s="256">
        <f t="shared" si="0"/>
        <v>386</v>
      </c>
      <c r="G16" s="256" t="s">
        <v>27</v>
      </c>
    </row>
    <row r="17" spans="1:7" ht="15.6" x14ac:dyDescent="0.3">
      <c r="A17" s="257">
        <v>1335</v>
      </c>
      <c r="B17" s="255" t="s">
        <v>27</v>
      </c>
      <c r="C17" s="255">
        <v>288</v>
      </c>
      <c r="D17" s="255"/>
      <c r="E17" s="255"/>
      <c r="F17" s="256">
        <f t="shared" si="0"/>
        <v>288</v>
      </c>
      <c r="G17" s="256" t="s">
        <v>27</v>
      </c>
    </row>
    <row r="18" spans="1:7" ht="15.6" x14ac:dyDescent="0.3">
      <c r="A18" s="257">
        <v>1103</v>
      </c>
      <c r="B18" s="255" t="s">
        <v>27</v>
      </c>
      <c r="C18" s="255">
        <v>193</v>
      </c>
      <c r="D18" s="255"/>
      <c r="E18" s="255"/>
      <c r="F18" s="256">
        <f t="shared" si="0"/>
        <v>193</v>
      </c>
      <c r="G18" s="256" t="s">
        <v>27</v>
      </c>
    </row>
    <row r="19" spans="1:7" ht="15.6" x14ac:dyDescent="0.3">
      <c r="A19" s="257">
        <v>1101</v>
      </c>
      <c r="B19" s="255" t="s">
        <v>27</v>
      </c>
      <c r="C19" s="255">
        <v>193</v>
      </c>
      <c r="D19" s="255"/>
      <c r="E19" s="255"/>
      <c r="F19" s="256">
        <f t="shared" si="0"/>
        <v>193</v>
      </c>
      <c r="G19" s="256" t="s">
        <v>27</v>
      </c>
    </row>
    <row r="20" spans="1:7" ht="15.6" x14ac:dyDescent="0.3">
      <c r="A20" s="257" t="s">
        <v>208</v>
      </c>
      <c r="B20" s="255" t="s">
        <v>27</v>
      </c>
      <c r="C20" s="255"/>
      <c r="D20" s="255"/>
      <c r="E20" s="255">
        <v>24</v>
      </c>
      <c r="F20" s="256">
        <f t="shared" si="0"/>
        <v>24</v>
      </c>
      <c r="G20" s="256" t="s">
        <v>27</v>
      </c>
    </row>
    <row r="21" spans="1:7" ht="15.6" x14ac:dyDescent="0.3">
      <c r="A21" s="257">
        <v>1636</v>
      </c>
      <c r="B21" s="255" t="s">
        <v>27</v>
      </c>
      <c r="C21" s="255">
        <v>386</v>
      </c>
      <c r="D21" s="255"/>
      <c r="E21" s="255"/>
      <c r="F21" s="256">
        <f t="shared" si="0"/>
        <v>386</v>
      </c>
      <c r="G21" s="256" t="s">
        <v>27</v>
      </c>
    </row>
    <row r="22" spans="1:7" ht="15.6" x14ac:dyDescent="0.3">
      <c r="A22" s="257">
        <v>1510</v>
      </c>
      <c r="B22" s="255" t="s">
        <v>27</v>
      </c>
      <c r="C22" s="255"/>
      <c r="D22" s="255"/>
      <c r="E22" s="255">
        <v>6</v>
      </c>
      <c r="F22" s="256">
        <f t="shared" si="0"/>
        <v>6</v>
      </c>
      <c r="G22" s="256" t="s">
        <v>27</v>
      </c>
    </row>
    <row r="23" spans="1:7" ht="15.6" x14ac:dyDescent="0.3">
      <c r="A23" s="257">
        <v>1511</v>
      </c>
      <c r="B23" s="255" t="s">
        <v>27</v>
      </c>
      <c r="C23" s="255"/>
      <c r="D23" s="255"/>
      <c r="E23" s="255">
        <v>6</v>
      </c>
      <c r="F23" s="256">
        <f t="shared" si="0"/>
        <v>6</v>
      </c>
      <c r="G23" s="256" t="s">
        <v>27</v>
      </c>
    </row>
    <row r="24" spans="1:7" ht="15.6" x14ac:dyDescent="0.3">
      <c r="A24" s="257">
        <v>1520</v>
      </c>
      <c r="B24" s="255" t="s">
        <v>27</v>
      </c>
      <c r="C24" s="255">
        <v>98</v>
      </c>
      <c r="D24" s="255"/>
      <c r="E24" s="255"/>
      <c r="F24" s="256">
        <f t="shared" si="0"/>
        <v>98</v>
      </c>
      <c r="G24" s="256" t="s">
        <v>27</v>
      </c>
    </row>
    <row r="25" spans="1:7" ht="15.6" x14ac:dyDescent="0.3">
      <c r="A25" s="257">
        <v>1531</v>
      </c>
      <c r="B25" s="255" t="s">
        <v>27</v>
      </c>
      <c r="C25" s="255">
        <v>98</v>
      </c>
      <c r="D25" s="255"/>
      <c r="E25" s="255"/>
      <c r="F25" s="256">
        <v>98</v>
      </c>
      <c r="G25" s="256" t="s">
        <v>27</v>
      </c>
    </row>
    <row r="26" spans="1:7" ht="15.6" x14ac:dyDescent="0.3">
      <c r="A26" s="257">
        <v>1038</v>
      </c>
      <c r="B26" s="255" t="s">
        <v>27</v>
      </c>
      <c r="C26" s="255">
        <v>386</v>
      </c>
      <c r="D26" s="255"/>
      <c r="E26" s="255"/>
      <c r="F26" s="256">
        <f t="shared" si="0"/>
        <v>386</v>
      </c>
      <c r="G26" s="256" t="s">
        <v>27</v>
      </c>
    </row>
    <row r="27" spans="1:7" ht="15.6" x14ac:dyDescent="0.3">
      <c r="A27" s="257">
        <v>1013</v>
      </c>
      <c r="B27" s="255" t="s">
        <v>27</v>
      </c>
      <c r="C27" s="255">
        <v>193</v>
      </c>
      <c r="D27" s="255"/>
      <c r="E27" s="255"/>
      <c r="F27" s="256">
        <f t="shared" si="0"/>
        <v>193</v>
      </c>
      <c r="G27" s="256" t="s">
        <v>27</v>
      </c>
    </row>
    <row r="28" spans="1:7" ht="15.6" x14ac:dyDescent="0.3">
      <c r="A28" s="257">
        <v>1201</v>
      </c>
      <c r="B28" s="255" t="s">
        <v>27</v>
      </c>
      <c r="C28" s="255">
        <v>3</v>
      </c>
      <c r="D28" s="255"/>
      <c r="E28" s="255"/>
      <c r="F28" s="256">
        <f t="shared" si="0"/>
        <v>3</v>
      </c>
      <c r="G28" s="256" t="s">
        <v>27</v>
      </c>
    </row>
    <row r="29" spans="1:7" ht="15.6" x14ac:dyDescent="0.3">
      <c r="A29" s="257" t="s">
        <v>183</v>
      </c>
      <c r="B29" s="255" t="s">
        <v>27</v>
      </c>
      <c r="C29" s="255">
        <v>3</v>
      </c>
      <c r="D29" s="255"/>
      <c r="E29" s="255"/>
      <c r="F29" s="256">
        <v>0</v>
      </c>
      <c r="G29" s="256" t="s">
        <v>27</v>
      </c>
    </row>
    <row r="30" spans="1:7" ht="15.6" x14ac:dyDescent="0.3">
      <c r="A30" s="257" t="s">
        <v>345</v>
      </c>
      <c r="B30" s="255" t="s">
        <v>27</v>
      </c>
      <c r="C30" s="255">
        <v>97</v>
      </c>
      <c r="D30" s="255"/>
      <c r="E30" s="255"/>
      <c r="F30" s="256">
        <f t="shared" si="0"/>
        <v>97</v>
      </c>
      <c r="G30" s="256" t="s">
        <v>27</v>
      </c>
    </row>
    <row r="31" spans="1:7" ht="15.6" x14ac:dyDescent="0.3">
      <c r="A31" s="257">
        <v>1203</v>
      </c>
      <c r="B31" s="255" t="s">
        <v>27</v>
      </c>
      <c r="C31" s="255">
        <v>68</v>
      </c>
      <c r="D31" s="255"/>
      <c r="E31" s="255"/>
      <c r="F31" s="256">
        <f t="shared" si="0"/>
        <v>68</v>
      </c>
      <c r="G31" s="256" t="s">
        <v>27</v>
      </c>
    </row>
    <row r="32" spans="1:7" ht="15.6" x14ac:dyDescent="0.3">
      <c r="A32" s="257">
        <v>1209</v>
      </c>
      <c r="B32" s="255" t="s">
        <v>27</v>
      </c>
      <c r="C32" s="255">
        <v>123</v>
      </c>
      <c r="D32" s="255"/>
      <c r="E32" s="255"/>
      <c r="F32" s="256">
        <f t="shared" si="0"/>
        <v>123</v>
      </c>
      <c r="G32" s="256" t="s">
        <v>27</v>
      </c>
    </row>
    <row r="33" spans="1:7" ht="15.6" x14ac:dyDescent="0.3">
      <c r="A33" s="257">
        <v>1310</v>
      </c>
      <c r="B33" s="255" t="s">
        <v>27</v>
      </c>
      <c r="C33" s="255">
        <v>3</v>
      </c>
      <c r="D33" s="255"/>
      <c r="E33" s="255"/>
      <c r="F33" s="256">
        <f t="shared" si="0"/>
        <v>3</v>
      </c>
      <c r="G33" s="256" t="s">
        <v>27</v>
      </c>
    </row>
    <row r="34" spans="1:7" ht="15.6" x14ac:dyDescent="0.3">
      <c r="A34" s="257">
        <v>1302</v>
      </c>
      <c r="B34" s="255" t="s">
        <v>27</v>
      </c>
      <c r="C34" s="255">
        <v>126</v>
      </c>
      <c r="D34" s="255"/>
      <c r="E34" s="255"/>
      <c r="F34" s="256">
        <f t="shared" si="0"/>
        <v>126</v>
      </c>
      <c r="G34" s="256" t="s">
        <v>27</v>
      </c>
    </row>
    <row r="35" spans="1:7" ht="15.6" x14ac:dyDescent="0.3">
      <c r="A35" s="257">
        <v>1329</v>
      </c>
      <c r="B35" s="255" t="s">
        <v>27</v>
      </c>
      <c r="C35" s="255">
        <v>126</v>
      </c>
      <c r="D35" s="255"/>
      <c r="E35" s="255"/>
      <c r="F35" s="256">
        <f t="shared" si="0"/>
        <v>126</v>
      </c>
      <c r="G35" s="256" t="s">
        <v>27</v>
      </c>
    </row>
  </sheetData>
  <mergeCells count="2">
    <mergeCell ref="F1:G1"/>
    <mergeCell ref="A1:B1"/>
  </mergeCells>
  <phoneticPr fontId="0" type="noConversion"/>
  <pageMargins left="0.75" right="0.75" top="1" bottom="1" header="0" footer="0"/>
  <pageSetup scale="81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9</vt:i4>
      </vt:variant>
    </vt:vector>
  </HeadingPairs>
  <TitlesOfParts>
    <vt:vector size="16" baseType="lpstr">
      <vt:lpstr>proforma</vt:lpstr>
      <vt:lpstr>Costo M.P.yMat.</vt:lpstr>
      <vt:lpstr>Fachada tub.herr.</vt:lpstr>
      <vt:lpstr>Pano Fijo</vt:lpstr>
      <vt:lpstr>P-V.Corrediza</vt:lpstr>
      <vt:lpstr>P.Batiente</vt:lpstr>
      <vt:lpstr>resumen</vt:lpstr>
      <vt:lpstr>'Costo M.P.yMat.'!Área_de_impresión</vt:lpstr>
      <vt:lpstr>'Fachada tub.herr.'!Área_de_impresión</vt:lpstr>
      <vt:lpstr>P.Batiente!Área_de_impresión</vt:lpstr>
      <vt:lpstr>'Pano Fijo'!Área_de_impresión</vt:lpstr>
      <vt:lpstr>'P-V.Corrediza'!Área_de_impresión</vt:lpstr>
      <vt:lpstr>'Fachada tub.herr.'!Títulos_a_imprimir</vt:lpstr>
      <vt:lpstr>P.Batiente!Títulos_a_imprimir</vt:lpstr>
      <vt:lpstr>'Pano Fijo'!Títulos_a_imprimir</vt:lpstr>
      <vt:lpstr>'P-V.Corrediza'!Títulos_a_imprimir</vt:lpstr>
    </vt:vector>
  </TitlesOfParts>
  <Company>Cw 04331002-3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Hoffman Lijerón R.</dc:creator>
  <cp:lastModifiedBy>Rafael Antequera Caballero</cp:lastModifiedBy>
  <cp:lastPrinted>2024-04-23T15:40:21Z</cp:lastPrinted>
  <dcterms:created xsi:type="dcterms:W3CDTF">1999-11-30T09:46:06Z</dcterms:created>
  <dcterms:modified xsi:type="dcterms:W3CDTF">2024-05-02T21:55:17Z</dcterms:modified>
</cp:coreProperties>
</file>