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PcAsusZenbookRafita\Desktop\EVOLUTECH_Peque\RAFAEL ANTEQUERA\PROGRAMAS\COTIZA_ALU_TEM\"/>
    </mc:Choice>
  </mc:AlternateContent>
  <xr:revisionPtr revIDLastSave="0" documentId="13_ncr:40009_{83A85927-7E17-4573-AD4F-1D8EEA8077B2}" xr6:coauthVersionLast="47" xr6:coauthVersionMax="47" xr10:uidLastSave="{00000000-0000-0000-0000-000000000000}"/>
  <bookViews>
    <workbookView xWindow="-108" yWindow="-108" windowWidth="23256" windowHeight="12456" activeTab="2"/>
  </bookViews>
  <sheets>
    <sheet name="Costo M.P.yMat." sheetId="9" r:id="rId1"/>
    <sheet name="FORMULAS" sheetId="15" r:id="rId2"/>
    <sheet name="Fachada tub.herr." sheetId="14" r:id="rId3"/>
    <sheet name="P-V.Corrediza" sheetId="11" r:id="rId4"/>
    <sheet name="P.Batiente" sheetId="10" r:id="rId5"/>
    <sheet name="Pano Fijo" sheetId="12" r:id="rId6"/>
    <sheet name="Hoja3" sheetId="3" r:id="rId7"/>
  </sheets>
  <definedNames>
    <definedName name="_xlnm.Print_Area" localSheetId="2">'Fachada tub.herr.'!$I$1:$J$43</definedName>
    <definedName name="_xlnm.Print_Area" localSheetId="4">P.Batiente!$H$1:$I$42</definedName>
    <definedName name="_xlnm.Print_Area" localSheetId="5">'Pano Fijo'!$F$1:$H$47</definedName>
    <definedName name="_xlnm.Print_Area" localSheetId="3">'P-V.Corrediza'!$G$1:$H$46</definedName>
    <definedName name="_xlnm.Print_Titles" localSheetId="2">'Fachada tub.herr.'!$A:$B</definedName>
    <definedName name="_xlnm.Print_Titles" localSheetId="4">P.Batiente!$A:$B</definedName>
    <definedName name="_xlnm.Print_Titles" localSheetId="5">'Pano Fijo'!$A:$B</definedName>
    <definedName name="_xlnm.Print_Titles" localSheetId="3">'P-V.Corrediza'!$A:$B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14" l="1"/>
  <c r="G147" i="14"/>
  <c r="F147" i="14"/>
  <c r="G96" i="14"/>
  <c r="F96" i="14"/>
  <c r="F77" i="14"/>
  <c r="G43" i="14"/>
  <c r="F43" i="14"/>
  <c r="F85" i="14" s="1"/>
  <c r="G42" i="14"/>
  <c r="F42" i="14"/>
  <c r="G41" i="14"/>
  <c r="F41" i="14"/>
  <c r="F63" i="14" s="1"/>
  <c r="G40" i="14"/>
  <c r="F40" i="14"/>
  <c r="F62" i="14" s="1"/>
  <c r="G38" i="14"/>
  <c r="G39" i="14" s="1"/>
  <c r="F38" i="14"/>
  <c r="F59" i="14" s="1"/>
  <c r="G37" i="14"/>
  <c r="F37" i="14"/>
  <c r="F58" i="14" s="1"/>
  <c r="G36" i="14"/>
  <c r="F36" i="14"/>
  <c r="G35" i="14"/>
  <c r="F35" i="14"/>
  <c r="G34" i="14"/>
  <c r="F34" i="14"/>
  <c r="F76" i="14" s="1"/>
  <c r="G33" i="14"/>
  <c r="F33" i="14"/>
  <c r="F32" i="14"/>
  <c r="G31" i="14"/>
  <c r="G32" i="14" s="1"/>
  <c r="F31" i="14"/>
  <c r="G29" i="14"/>
  <c r="F29" i="14"/>
  <c r="F50" i="14" s="1"/>
  <c r="G28" i="14"/>
  <c r="F28" i="14"/>
  <c r="G27" i="14"/>
  <c r="F27" i="14"/>
  <c r="G26" i="14"/>
  <c r="F26" i="14"/>
  <c r="F68" i="14" s="1"/>
  <c r="G25" i="14"/>
  <c r="F25" i="14"/>
  <c r="G18" i="14"/>
  <c r="G30" i="14" s="1"/>
  <c r="F18" i="14"/>
  <c r="F30" i="14" s="1"/>
  <c r="G16" i="14"/>
  <c r="F16" i="14"/>
  <c r="G15" i="14"/>
  <c r="F15" i="14"/>
  <c r="G4" i="14"/>
  <c r="F4" i="14"/>
  <c r="G3" i="14"/>
  <c r="F3" i="14"/>
  <c r="D147" i="14"/>
  <c r="D96" i="14"/>
  <c r="D43" i="14"/>
  <c r="D42" i="14"/>
  <c r="D41" i="14"/>
  <c r="D40" i="14"/>
  <c r="D38" i="14"/>
  <c r="D39" i="14" s="1"/>
  <c r="D37" i="14"/>
  <c r="D36" i="14"/>
  <c r="D35" i="14"/>
  <c r="D34" i="14"/>
  <c r="D33" i="14"/>
  <c r="D32" i="14"/>
  <c r="D29" i="14"/>
  <c r="D50" i="14" s="1"/>
  <c r="D28" i="14"/>
  <c r="D27" i="14"/>
  <c r="D26" i="14"/>
  <c r="D25" i="14"/>
  <c r="D18" i="14"/>
  <c r="D30" i="14" s="1"/>
  <c r="D16" i="14"/>
  <c r="D15" i="14"/>
  <c r="D4" i="14"/>
  <c r="D3" i="14"/>
  <c r="C12" i="9"/>
  <c r="L43" i="14"/>
  <c r="K43" i="14"/>
  <c r="L42" i="14"/>
  <c r="K42" i="14"/>
  <c r="I42" i="14" s="1"/>
  <c r="L41" i="14"/>
  <c r="K41" i="14"/>
  <c r="I41" i="14" s="1"/>
  <c r="L40" i="14"/>
  <c r="I40" i="14" s="1"/>
  <c r="K40" i="14"/>
  <c r="L38" i="14"/>
  <c r="L39" i="14" s="1"/>
  <c r="K38" i="14"/>
  <c r="K39" i="14" s="1"/>
  <c r="L37" i="14"/>
  <c r="K37" i="14"/>
  <c r="L36" i="14"/>
  <c r="K36" i="14"/>
  <c r="I36" i="14" s="1"/>
  <c r="L35" i="14"/>
  <c r="K35" i="14"/>
  <c r="L34" i="14"/>
  <c r="K34" i="14"/>
  <c r="L33" i="14"/>
  <c r="K33" i="14"/>
  <c r="I33" i="14" s="1"/>
  <c r="L31" i="14"/>
  <c r="L32" i="14" s="1"/>
  <c r="K31" i="14"/>
  <c r="K32" i="14" s="1"/>
  <c r="L29" i="14"/>
  <c r="K29" i="14"/>
  <c r="L28" i="14"/>
  <c r="K28" i="14"/>
  <c r="L27" i="14"/>
  <c r="K27" i="14"/>
  <c r="L26" i="14"/>
  <c r="K26" i="14"/>
  <c r="I26" i="14" s="1"/>
  <c r="E34" i="14"/>
  <c r="L147" i="14"/>
  <c r="L96" i="14"/>
  <c r="L25" i="14"/>
  <c r="L18" i="14"/>
  <c r="L30" i="14" s="1"/>
  <c r="L16" i="14"/>
  <c r="L15" i="14"/>
  <c r="L4" i="14"/>
  <c r="L3" i="14"/>
  <c r="K18" i="14"/>
  <c r="K30" i="14" s="1"/>
  <c r="E18" i="14"/>
  <c r="E30" i="14" s="1"/>
  <c r="E29" i="14"/>
  <c r="E28" i="14"/>
  <c r="E27" i="14"/>
  <c r="E48" i="14" s="1"/>
  <c r="E26" i="14"/>
  <c r="E42" i="14"/>
  <c r="K147" i="14"/>
  <c r="K96" i="14"/>
  <c r="K25" i="14"/>
  <c r="K16" i="14"/>
  <c r="K15" i="14"/>
  <c r="K4" i="14"/>
  <c r="K3" i="14"/>
  <c r="E43" i="14"/>
  <c r="E41" i="14"/>
  <c r="E40" i="14"/>
  <c r="E38" i="14"/>
  <c r="E39" i="14" s="1"/>
  <c r="E37" i="14"/>
  <c r="E171" i="9"/>
  <c r="C171" i="9"/>
  <c r="D171" i="9"/>
  <c r="H171" i="9" s="1"/>
  <c r="F170" i="9"/>
  <c r="D170" i="9" s="1"/>
  <c r="E170" i="9"/>
  <c r="C170" i="9"/>
  <c r="F169" i="9"/>
  <c r="D169" i="9"/>
  <c r="H169" i="9" s="1"/>
  <c r="E169" i="9"/>
  <c r="C169" i="9"/>
  <c r="F168" i="9"/>
  <c r="D168" i="9"/>
  <c r="H168" i="9" s="1"/>
  <c r="E168" i="9"/>
  <c r="C168" i="9"/>
  <c r="F167" i="9"/>
  <c r="E167" i="9"/>
  <c r="D167" i="9"/>
  <c r="H167" i="9" s="1"/>
  <c r="C167" i="9"/>
  <c r="E166" i="9"/>
  <c r="D166" i="9"/>
  <c r="C166" i="9"/>
  <c r="H166" i="9" s="1"/>
  <c r="E165" i="9"/>
  <c r="C165" i="9"/>
  <c r="D165" i="9"/>
  <c r="E164" i="9"/>
  <c r="C164" i="9" s="1"/>
  <c r="D164" i="9"/>
  <c r="E163" i="9"/>
  <c r="C163" i="9" s="1"/>
  <c r="D163" i="9"/>
  <c r="E162" i="9"/>
  <c r="C162" i="9" s="1"/>
  <c r="H162" i="9" s="1"/>
  <c r="D162" i="9"/>
  <c r="E161" i="9"/>
  <c r="C161" i="9"/>
  <c r="D161" i="9"/>
  <c r="D160" i="9"/>
  <c r="H160" i="9"/>
  <c r="C160" i="9"/>
  <c r="D159" i="9"/>
  <c r="H159" i="9" s="1"/>
  <c r="C159" i="9"/>
  <c r="D158" i="9"/>
  <c r="H158" i="9"/>
  <c r="C158" i="9"/>
  <c r="H157" i="9"/>
  <c r="D157" i="9"/>
  <c r="C157" i="9"/>
  <c r="E156" i="9"/>
  <c r="D156" i="9"/>
  <c r="C156" i="9"/>
  <c r="H156" i="9" s="1"/>
  <c r="D155" i="9"/>
  <c r="H155" i="9"/>
  <c r="C155" i="9"/>
  <c r="H154" i="9"/>
  <c r="D154" i="9"/>
  <c r="C154" i="9"/>
  <c r="E153" i="9"/>
  <c r="C153" i="9" s="1"/>
  <c r="E152" i="9"/>
  <c r="D151" i="9"/>
  <c r="C151" i="9"/>
  <c r="H151" i="9" s="1"/>
  <c r="D150" i="9"/>
  <c r="C150" i="9"/>
  <c r="H150" i="9"/>
  <c r="F149" i="9"/>
  <c r="D149" i="9"/>
  <c r="C149" i="9"/>
  <c r="D148" i="9"/>
  <c r="C148" i="9"/>
  <c r="H148" i="9" s="1"/>
  <c r="E147" i="9"/>
  <c r="C147" i="9"/>
  <c r="D147" i="9"/>
  <c r="E146" i="9"/>
  <c r="C146" i="9"/>
  <c r="D146" i="9"/>
  <c r="H146" i="9" s="1"/>
  <c r="E145" i="9"/>
  <c r="C145" i="9" s="1"/>
  <c r="H145" i="9" s="1"/>
  <c r="D145" i="9"/>
  <c r="E144" i="9"/>
  <c r="C144" i="9"/>
  <c r="D144" i="9"/>
  <c r="H144" i="9" s="1"/>
  <c r="D143" i="9"/>
  <c r="C143" i="9"/>
  <c r="H143" i="9"/>
  <c r="E142" i="9"/>
  <c r="C142" i="9" s="1"/>
  <c r="D142" i="9"/>
  <c r="E141" i="9"/>
  <c r="C141" i="9"/>
  <c r="D141" i="9"/>
  <c r="F140" i="9"/>
  <c r="D140" i="9"/>
  <c r="H140" i="9" s="1"/>
  <c r="C140" i="9"/>
  <c r="F139" i="9"/>
  <c r="D139" i="9"/>
  <c r="C139" i="9"/>
  <c r="H139" i="9" s="1"/>
  <c r="F138" i="9"/>
  <c r="D138" i="9"/>
  <c r="H138" i="9" s="1"/>
  <c r="C138" i="9"/>
  <c r="F137" i="9"/>
  <c r="D137" i="9"/>
  <c r="C137" i="9"/>
  <c r="H137" i="9" s="1"/>
  <c r="F136" i="9"/>
  <c r="D136" i="9"/>
  <c r="H136" i="9" s="1"/>
  <c r="C136" i="9"/>
  <c r="F135" i="9"/>
  <c r="D135" i="9"/>
  <c r="C135" i="9"/>
  <c r="H135" i="9" s="1"/>
  <c r="F134" i="9"/>
  <c r="D134" i="9"/>
  <c r="H134" i="9" s="1"/>
  <c r="C134" i="9"/>
  <c r="F133" i="9"/>
  <c r="D133" i="9"/>
  <c r="H133" i="9" s="1"/>
  <c r="C133" i="9"/>
  <c r="F132" i="9"/>
  <c r="D132" i="9"/>
  <c r="H132" i="9" s="1"/>
  <c r="C132" i="9"/>
  <c r="F131" i="9"/>
  <c r="D131" i="9"/>
  <c r="H131" i="9" s="1"/>
  <c r="C131" i="9"/>
  <c r="E130" i="9"/>
  <c r="D130" i="9"/>
  <c r="C130" i="9"/>
  <c r="E129" i="9"/>
  <c r="C129" i="9" s="1"/>
  <c r="H129" i="9" s="1"/>
  <c r="D129" i="9"/>
  <c r="E128" i="9"/>
  <c r="C128" i="9" s="1"/>
  <c r="D128" i="9"/>
  <c r="E127" i="9"/>
  <c r="C127" i="9"/>
  <c r="D127" i="9"/>
  <c r="E126" i="9"/>
  <c r="C126" i="9" s="1"/>
  <c r="D126" i="9"/>
  <c r="E125" i="9"/>
  <c r="D125" i="9"/>
  <c r="H125" i="9" s="1"/>
  <c r="C125" i="9"/>
  <c r="E124" i="9"/>
  <c r="D124" i="9"/>
  <c r="C124" i="9"/>
  <c r="E123" i="9"/>
  <c r="C123" i="9" s="1"/>
  <c r="D123" i="9"/>
  <c r="F122" i="9"/>
  <c r="D122" i="9" s="1"/>
  <c r="H122" i="9" s="1"/>
  <c r="C122" i="9"/>
  <c r="F121" i="9"/>
  <c r="D121" i="9" s="1"/>
  <c r="H121" i="9" s="1"/>
  <c r="C121" i="9"/>
  <c r="F120" i="9"/>
  <c r="D120" i="9" s="1"/>
  <c r="H120" i="9" s="1"/>
  <c r="C120" i="9"/>
  <c r="F119" i="9"/>
  <c r="D119" i="9" s="1"/>
  <c r="H119" i="9" s="1"/>
  <c r="C119" i="9"/>
  <c r="F118" i="9"/>
  <c r="D118" i="9" s="1"/>
  <c r="H118" i="9" s="1"/>
  <c r="C118" i="9"/>
  <c r="F117" i="9"/>
  <c r="D117" i="9" s="1"/>
  <c r="H117" i="9" s="1"/>
  <c r="C117" i="9"/>
  <c r="F116" i="9"/>
  <c r="D116" i="9" s="1"/>
  <c r="H116" i="9" s="1"/>
  <c r="C116" i="9"/>
  <c r="F115" i="9"/>
  <c r="D115" i="9" s="1"/>
  <c r="H115" i="9" s="1"/>
  <c r="C115" i="9"/>
  <c r="F114" i="9"/>
  <c r="D114" i="9" s="1"/>
  <c r="C114" i="9"/>
  <c r="F113" i="9"/>
  <c r="D113" i="9" s="1"/>
  <c r="H113" i="9" s="1"/>
  <c r="C113" i="9"/>
  <c r="F112" i="9"/>
  <c r="D112" i="9" s="1"/>
  <c r="H112" i="9" s="1"/>
  <c r="C112" i="9"/>
  <c r="F111" i="9"/>
  <c r="D111" i="9" s="1"/>
  <c r="H111" i="9" s="1"/>
  <c r="C111" i="9"/>
  <c r="F110" i="9"/>
  <c r="D110" i="9" s="1"/>
  <c r="C110" i="9"/>
  <c r="F109" i="9"/>
  <c r="D109" i="9" s="1"/>
  <c r="H109" i="9" s="1"/>
  <c r="C109" i="9"/>
  <c r="F108" i="9"/>
  <c r="D108" i="9" s="1"/>
  <c r="H108" i="9" s="1"/>
  <c r="C108" i="9"/>
  <c r="F107" i="9"/>
  <c r="D107" i="9" s="1"/>
  <c r="H107" i="9" s="1"/>
  <c r="C107" i="9"/>
  <c r="E106" i="9"/>
  <c r="D105" i="9"/>
  <c r="C105" i="9"/>
  <c r="D104" i="9"/>
  <c r="C104" i="9"/>
  <c r="D103" i="9"/>
  <c r="C103" i="9"/>
  <c r="E102" i="9"/>
  <c r="F101" i="9"/>
  <c r="E101" i="9"/>
  <c r="C101" i="9"/>
  <c r="D101" i="9"/>
  <c r="H101" i="9" s="1"/>
  <c r="E100" i="9"/>
  <c r="C100" i="9" s="1"/>
  <c r="F99" i="9"/>
  <c r="D99" i="9" s="1"/>
  <c r="H99" i="9" s="1"/>
  <c r="E99" i="9"/>
  <c r="C99" i="9"/>
  <c r="F98" i="9"/>
  <c r="D98" i="9" s="1"/>
  <c r="H98" i="9" s="1"/>
  <c r="E98" i="9"/>
  <c r="C98" i="9"/>
  <c r="F97" i="9"/>
  <c r="D97" i="9" s="1"/>
  <c r="H97" i="9" s="1"/>
  <c r="E97" i="9"/>
  <c r="C97" i="9" s="1"/>
  <c r="F96" i="9"/>
  <c r="D96" i="9" s="1"/>
  <c r="H96" i="9" s="1"/>
  <c r="E96" i="9"/>
  <c r="C96" i="9" s="1"/>
  <c r="F95" i="9"/>
  <c r="D95" i="9"/>
  <c r="H95" i="9" s="1"/>
  <c r="E95" i="9"/>
  <c r="C95" i="9"/>
  <c r="I94" i="9"/>
  <c r="F94" i="9"/>
  <c r="D94" i="9" s="1"/>
  <c r="E94" i="9"/>
  <c r="C94" i="9" s="1"/>
  <c r="I93" i="9"/>
  <c r="F93" i="9"/>
  <c r="D93" i="9" s="1"/>
  <c r="E93" i="9"/>
  <c r="C93" i="9" s="1"/>
  <c r="I92" i="9"/>
  <c r="F92" i="9"/>
  <c r="E92" i="9"/>
  <c r="C92" i="9"/>
  <c r="D92" i="9"/>
  <c r="H92" i="9" s="1"/>
  <c r="F91" i="9"/>
  <c r="D91" i="9"/>
  <c r="E91" i="9"/>
  <c r="C91" i="9" s="1"/>
  <c r="H91" i="9" s="1"/>
  <c r="F90" i="9"/>
  <c r="D90" i="9" s="1"/>
  <c r="H90" i="9" s="1"/>
  <c r="E90" i="9"/>
  <c r="C90" i="9"/>
  <c r="E89" i="9"/>
  <c r="F89" i="9" s="1"/>
  <c r="D89" i="9" s="1"/>
  <c r="C79" i="10" s="1"/>
  <c r="F86" i="9"/>
  <c r="D86" i="9" s="1"/>
  <c r="C86" i="9"/>
  <c r="C60" i="14"/>
  <c r="B102" i="14" s="1"/>
  <c r="B153" i="14" s="1"/>
  <c r="F85" i="9"/>
  <c r="D85" i="9" s="1"/>
  <c r="C85" i="9"/>
  <c r="E84" i="9"/>
  <c r="C84" i="9"/>
  <c r="C54" i="12" s="1"/>
  <c r="D84" i="9"/>
  <c r="E83" i="9"/>
  <c r="C83" i="9"/>
  <c r="D83" i="9"/>
  <c r="H83" i="9" s="1"/>
  <c r="E82" i="9"/>
  <c r="C82" i="9"/>
  <c r="D82" i="9"/>
  <c r="E81" i="9"/>
  <c r="D81" i="9"/>
  <c r="H81" i="9"/>
  <c r="C81" i="9"/>
  <c r="E80" i="9"/>
  <c r="D80" i="9"/>
  <c r="C80" i="9"/>
  <c r="E79" i="9"/>
  <c r="C79" i="9" s="1"/>
  <c r="C71" i="12" s="1"/>
  <c r="D79" i="9"/>
  <c r="E78" i="9"/>
  <c r="D78" i="9"/>
  <c r="C78" i="9"/>
  <c r="C62" i="10"/>
  <c r="D62" i="10" s="1"/>
  <c r="E77" i="9"/>
  <c r="D77" i="9"/>
  <c r="H77" i="9"/>
  <c r="C77" i="9"/>
  <c r="E76" i="9"/>
  <c r="C76" i="9"/>
  <c r="C61" i="10"/>
  <c r="D76" i="9"/>
  <c r="E75" i="9"/>
  <c r="C75" i="9" s="1"/>
  <c r="D75" i="9"/>
  <c r="E74" i="9"/>
  <c r="D74" i="9"/>
  <c r="C74" i="9"/>
  <c r="E73" i="9"/>
  <c r="C73" i="9" s="1"/>
  <c r="D73" i="9"/>
  <c r="E72" i="9"/>
  <c r="C72" i="9"/>
  <c r="D72" i="9"/>
  <c r="E71" i="9"/>
  <c r="D71" i="9"/>
  <c r="C71" i="9"/>
  <c r="H71" i="9" s="1"/>
  <c r="E70" i="9"/>
  <c r="D70" i="9"/>
  <c r="C70" i="9"/>
  <c r="E69" i="9"/>
  <c r="C69" i="9" s="1"/>
  <c r="D69" i="9"/>
  <c r="E68" i="9"/>
  <c r="C68" i="9" s="1"/>
  <c r="C62" i="14" s="1"/>
  <c r="G62" i="14" s="1"/>
  <c r="D68" i="9"/>
  <c r="E67" i="9"/>
  <c r="C67" i="9" s="1"/>
  <c r="D67" i="9"/>
  <c r="E66" i="9"/>
  <c r="C66" i="9" s="1"/>
  <c r="H66" i="9" s="1"/>
  <c r="D66" i="9"/>
  <c r="E65" i="9"/>
  <c r="C65" i="9" s="1"/>
  <c r="D65" i="9"/>
  <c r="C85" i="14" s="1"/>
  <c r="K85" i="14" s="1"/>
  <c r="E64" i="9"/>
  <c r="C64" i="9" s="1"/>
  <c r="C63" i="14" s="1"/>
  <c r="L63" i="14" s="1"/>
  <c r="D64" i="9"/>
  <c r="E63" i="9"/>
  <c r="C63" i="9" s="1"/>
  <c r="D63" i="9"/>
  <c r="E62" i="9"/>
  <c r="C62" i="9" s="1"/>
  <c r="H62" i="9" s="1"/>
  <c r="D62" i="9"/>
  <c r="E61" i="9"/>
  <c r="C61" i="9" s="1"/>
  <c r="H61" i="9" s="1"/>
  <c r="D61" i="9"/>
  <c r="E60" i="9"/>
  <c r="C60" i="9" s="1"/>
  <c r="D60" i="9"/>
  <c r="E59" i="9"/>
  <c r="C59" i="9" s="1"/>
  <c r="H59" i="9" s="1"/>
  <c r="D59" i="9"/>
  <c r="E58" i="9"/>
  <c r="C58" i="9" s="1"/>
  <c r="H58" i="9" s="1"/>
  <c r="D58" i="9"/>
  <c r="E57" i="9"/>
  <c r="C57" i="9" s="1"/>
  <c r="D57" i="9"/>
  <c r="E56" i="9"/>
  <c r="C56" i="9" s="1"/>
  <c r="D56" i="9"/>
  <c r="E55" i="9"/>
  <c r="C55" i="9" s="1"/>
  <c r="H55" i="9" s="1"/>
  <c r="D55" i="9"/>
  <c r="E54" i="9"/>
  <c r="C54" i="9" s="1"/>
  <c r="H54" i="9" s="1"/>
  <c r="D54" i="9"/>
  <c r="E53" i="9"/>
  <c r="C53" i="9" s="1"/>
  <c r="H53" i="9" s="1"/>
  <c r="D53" i="9"/>
  <c r="E52" i="9"/>
  <c r="C52" i="9" s="1"/>
  <c r="D52" i="9"/>
  <c r="E51" i="9"/>
  <c r="C51" i="9"/>
  <c r="D51" i="9"/>
  <c r="E50" i="9"/>
  <c r="D50" i="9"/>
  <c r="C50" i="9"/>
  <c r="E49" i="9"/>
  <c r="C49" i="9" s="1"/>
  <c r="D49" i="9"/>
  <c r="E48" i="9"/>
  <c r="C48" i="9"/>
  <c r="H48" i="9" s="1"/>
  <c r="D48" i="9"/>
  <c r="D47" i="9"/>
  <c r="H47" i="9" s="1"/>
  <c r="C47" i="9"/>
  <c r="D46" i="9"/>
  <c r="C46" i="9"/>
  <c r="H46" i="9"/>
  <c r="E45" i="9"/>
  <c r="C45" i="9" s="1"/>
  <c r="D45" i="9"/>
  <c r="E44" i="9"/>
  <c r="C44" i="9" s="1"/>
  <c r="D44" i="9"/>
  <c r="E43" i="9"/>
  <c r="C43" i="9" s="1"/>
  <c r="D43" i="9"/>
  <c r="E42" i="9"/>
  <c r="C42" i="9" s="1"/>
  <c r="D42" i="9"/>
  <c r="E41" i="9"/>
  <c r="C41" i="9"/>
  <c r="D41" i="9"/>
  <c r="H41" i="9" s="1"/>
  <c r="I40" i="9"/>
  <c r="K40" i="9" s="1"/>
  <c r="M40" i="9" s="1"/>
  <c r="E40" i="9"/>
  <c r="D40" i="9"/>
  <c r="H40" i="9" s="1"/>
  <c r="C40" i="9"/>
  <c r="I39" i="9"/>
  <c r="K39" i="9"/>
  <c r="M39" i="9" s="1"/>
  <c r="E39" i="9"/>
  <c r="C39" i="9" s="1"/>
  <c r="D39" i="9"/>
  <c r="I38" i="9"/>
  <c r="K38" i="9"/>
  <c r="E38" i="9" s="1"/>
  <c r="D37" i="9"/>
  <c r="H37" i="9" s="1"/>
  <c r="C37" i="9"/>
  <c r="D36" i="9"/>
  <c r="H36" i="9" s="1"/>
  <c r="C36" i="9"/>
  <c r="D35" i="9"/>
  <c r="H35" i="9" s="1"/>
  <c r="C35" i="9"/>
  <c r="D34" i="9"/>
  <c r="H34" i="9"/>
  <c r="C34" i="9"/>
  <c r="D33" i="9"/>
  <c r="H33" i="9" s="1"/>
  <c r="C33" i="9"/>
  <c r="D32" i="9"/>
  <c r="H32" i="9" s="1"/>
  <c r="C32" i="9"/>
  <c r="H31" i="9"/>
  <c r="D31" i="9"/>
  <c r="C31" i="9"/>
  <c r="D30" i="9"/>
  <c r="H30" i="9" s="1"/>
  <c r="C30" i="9"/>
  <c r="D29" i="9"/>
  <c r="C29" i="9"/>
  <c r="H29" i="9"/>
  <c r="D28" i="9"/>
  <c r="H28" i="9" s="1"/>
  <c r="C28" i="9"/>
  <c r="D27" i="9"/>
  <c r="C27" i="9"/>
  <c r="C49" i="14" s="1"/>
  <c r="D26" i="9"/>
  <c r="C26" i="9"/>
  <c r="F22" i="9"/>
  <c r="D22" i="9" s="1"/>
  <c r="E22" i="9"/>
  <c r="C22" i="9" s="1"/>
  <c r="D21" i="9"/>
  <c r="H21" i="9" s="1"/>
  <c r="C21" i="9"/>
  <c r="D20" i="9"/>
  <c r="C20" i="9"/>
  <c r="D19" i="9"/>
  <c r="C77" i="10" s="1"/>
  <c r="C19" i="9"/>
  <c r="D18" i="9"/>
  <c r="H18" i="9"/>
  <c r="C18" i="9"/>
  <c r="D17" i="9"/>
  <c r="H17" i="9" s="1"/>
  <c r="C17" i="9"/>
  <c r="I16" i="9"/>
  <c r="K16" i="9" s="1"/>
  <c r="E16" i="9" s="1"/>
  <c r="I15" i="9"/>
  <c r="K15" i="9" s="1"/>
  <c r="E15" i="9" s="1"/>
  <c r="I14" i="9"/>
  <c r="K14" i="9"/>
  <c r="E14" i="9" s="1"/>
  <c r="I13" i="9"/>
  <c r="K13" i="9" s="1"/>
  <c r="E13" i="9"/>
  <c r="C13" i="9" s="1"/>
  <c r="I12" i="9"/>
  <c r="K12" i="9"/>
  <c r="E12" i="9" s="1"/>
  <c r="I11" i="9"/>
  <c r="K11" i="9" s="1"/>
  <c r="E11" i="9" s="1"/>
  <c r="C11" i="9" s="1"/>
  <c r="I10" i="9"/>
  <c r="K10" i="9" s="1"/>
  <c r="E10" i="9" s="1"/>
  <c r="H9" i="9"/>
  <c r="D9" i="9"/>
  <c r="C9" i="9"/>
  <c r="F8" i="9"/>
  <c r="D8" i="9"/>
  <c r="H8" i="9" s="1"/>
  <c r="C8" i="9"/>
  <c r="D7" i="9"/>
  <c r="C7" i="9"/>
  <c r="I32" i="12"/>
  <c r="I31" i="12"/>
  <c r="F31" i="12" s="1"/>
  <c r="I30" i="12"/>
  <c r="I29" i="12"/>
  <c r="I27" i="12"/>
  <c r="I25" i="12"/>
  <c r="I24" i="12"/>
  <c r="I23" i="12"/>
  <c r="I22" i="12"/>
  <c r="I21" i="12"/>
  <c r="I13" i="12"/>
  <c r="I26" i="12"/>
  <c r="I4" i="12"/>
  <c r="I3" i="12"/>
  <c r="I1" i="12"/>
  <c r="Q211" i="11"/>
  <c r="Q177" i="11"/>
  <c r="Q143" i="11"/>
  <c r="Q109" i="11"/>
  <c r="Q44" i="11"/>
  <c r="Q43" i="11"/>
  <c r="Q42" i="11"/>
  <c r="Q41" i="11"/>
  <c r="Q40" i="11"/>
  <c r="Q38" i="11"/>
  <c r="Q37" i="11"/>
  <c r="Q36" i="11"/>
  <c r="Q35" i="11"/>
  <c r="Q34" i="11"/>
  <c r="Q32" i="11"/>
  <c r="Q31" i="11"/>
  <c r="Q30" i="11"/>
  <c r="Q29" i="11"/>
  <c r="Q28" i="11"/>
  <c r="Q26" i="11"/>
  <c r="Q27" i="11" s="1"/>
  <c r="Q24" i="11"/>
  <c r="Q23" i="11"/>
  <c r="Q22" i="11"/>
  <c r="Q21" i="11"/>
  <c r="Q12" i="11"/>
  <c r="Q25" i="11" s="1"/>
  <c r="Q4" i="11"/>
  <c r="Q3" i="11"/>
  <c r="Q2" i="11"/>
  <c r="Q20" i="11" s="1"/>
  <c r="P211" i="11"/>
  <c r="O211" i="11"/>
  <c r="N211" i="11"/>
  <c r="M211" i="11"/>
  <c r="L211" i="11"/>
  <c r="K211" i="11"/>
  <c r="J211" i="11"/>
  <c r="P177" i="11"/>
  <c r="O177" i="11"/>
  <c r="N177" i="11"/>
  <c r="M177" i="11"/>
  <c r="L177" i="11"/>
  <c r="K177" i="11"/>
  <c r="J177" i="11"/>
  <c r="P143" i="11"/>
  <c r="O143" i="11"/>
  <c r="N143" i="11"/>
  <c r="M143" i="11"/>
  <c r="L143" i="11"/>
  <c r="K143" i="11"/>
  <c r="J143" i="11"/>
  <c r="P109" i="11"/>
  <c r="O109" i="11"/>
  <c r="N109" i="11"/>
  <c r="M109" i="11"/>
  <c r="L109" i="11"/>
  <c r="K109" i="11"/>
  <c r="J109" i="11"/>
  <c r="P44" i="11"/>
  <c r="O44" i="11"/>
  <c r="N44" i="11"/>
  <c r="M44" i="11"/>
  <c r="L44" i="11"/>
  <c r="G44" i="11" s="1"/>
  <c r="K44" i="11"/>
  <c r="J44" i="11"/>
  <c r="P43" i="11"/>
  <c r="O43" i="11"/>
  <c r="N43" i="11"/>
  <c r="M43" i="11"/>
  <c r="L43" i="11"/>
  <c r="K43" i="11"/>
  <c r="G43" i="11" s="1"/>
  <c r="J43" i="11"/>
  <c r="P42" i="11"/>
  <c r="O42" i="11"/>
  <c r="N42" i="11"/>
  <c r="M42" i="11"/>
  <c r="L42" i="11"/>
  <c r="K42" i="11"/>
  <c r="J42" i="11"/>
  <c r="G42" i="11" s="1"/>
  <c r="P41" i="11"/>
  <c r="O41" i="11"/>
  <c r="N41" i="11"/>
  <c r="G41" i="11" s="1"/>
  <c r="M41" i="11"/>
  <c r="L41" i="11"/>
  <c r="K41" i="11"/>
  <c r="J41" i="11"/>
  <c r="P40" i="11"/>
  <c r="O40" i="11"/>
  <c r="N40" i="11"/>
  <c r="M40" i="11"/>
  <c r="L40" i="11"/>
  <c r="K40" i="11"/>
  <c r="J40" i="11"/>
  <c r="P38" i="11"/>
  <c r="O38" i="11"/>
  <c r="N38" i="11"/>
  <c r="M38" i="11"/>
  <c r="L38" i="11"/>
  <c r="K38" i="11"/>
  <c r="K93" i="11"/>
  <c r="J38" i="11"/>
  <c r="P37" i="11"/>
  <c r="O37" i="11"/>
  <c r="N37" i="11"/>
  <c r="M37" i="11"/>
  <c r="L37" i="11"/>
  <c r="K37" i="11"/>
  <c r="J37" i="11"/>
  <c r="G37" i="11" s="1"/>
  <c r="P36" i="11"/>
  <c r="O36" i="11"/>
  <c r="N36" i="11"/>
  <c r="M36" i="11"/>
  <c r="L36" i="11"/>
  <c r="K36" i="11"/>
  <c r="J36" i="11"/>
  <c r="P35" i="11"/>
  <c r="O35" i="11"/>
  <c r="N35" i="11"/>
  <c r="M35" i="11"/>
  <c r="L35" i="11"/>
  <c r="K35" i="11"/>
  <c r="J35" i="11"/>
  <c r="P34" i="11"/>
  <c r="O34" i="11"/>
  <c r="N34" i="11"/>
  <c r="M34" i="11"/>
  <c r="L34" i="11"/>
  <c r="K34" i="11"/>
  <c r="J34" i="11"/>
  <c r="P32" i="11"/>
  <c r="O32" i="11"/>
  <c r="N32" i="11"/>
  <c r="M32" i="11"/>
  <c r="L32" i="11"/>
  <c r="K32" i="11"/>
  <c r="J32" i="11"/>
  <c r="P31" i="11"/>
  <c r="O31" i="11"/>
  <c r="N31" i="11"/>
  <c r="N59" i="11" s="1"/>
  <c r="M31" i="11"/>
  <c r="L31" i="11"/>
  <c r="K31" i="11"/>
  <c r="J31" i="11"/>
  <c r="P30" i="11"/>
  <c r="O30" i="11"/>
  <c r="N30" i="11"/>
  <c r="G30" i="11" s="1"/>
  <c r="M30" i="11"/>
  <c r="L30" i="11"/>
  <c r="K30" i="11"/>
  <c r="J30" i="11"/>
  <c r="P29" i="11"/>
  <c r="O29" i="11"/>
  <c r="N29" i="11"/>
  <c r="M29" i="11"/>
  <c r="L29" i="11"/>
  <c r="K29" i="11"/>
  <c r="J29" i="11"/>
  <c r="P28" i="11"/>
  <c r="O28" i="11"/>
  <c r="N28" i="11"/>
  <c r="M28" i="11"/>
  <c r="L28" i="11"/>
  <c r="K28" i="11"/>
  <c r="J28" i="11"/>
  <c r="P26" i="11"/>
  <c r="O26" i="11"/>
  <c r="N26" i="11"/>
  <c r="M26" i="11"/>
  <c r="M27" i="11"/>
  <c r="L26" i="11"/>
  <c r="K26" i="11"/>
  <c r="J26" i="11"/>
  <c r="P24" i="11"/>
  <c r="O24" i="11"/>
  <c r="N24" i="11"/>
  <c r="M24" i="11"/>
  <c r="L24" i="11"/>
  <c r="K24" i="11"/>
  <c r="J24" i="11"/>
  <c r="P23" i="11"/>
  <c r="O23" i="11"/>
  <c r="N23" i="11"/>
  <c r="M23" i="11"/>
  <c r="L23" i="11"/>
  <c r="K23" i="11"/>
  <c r="J23" i="11"/>
  <c r="P22" i="11"/>
  <c r="O22" i="11"/>
  <c r="N22" i="11"/>
  <c r="M22" i="11"/>
  <c r="G22" i="11" s="1"/>
  <c r="L22" i="11"/>
  <c r="K22" i="11"/>
  <c r="J22" i="11"/>
  <c r="P21" i="11"/>
  <c r="O21" i="11"/>
  <c r="N21" i="11"/>
  <c r="M21" i="11"/>
  <c r="L21" i="11"/>
  <c r="K21" i="11"/>
  <c r="J21" i="11"/>
  <c r="P12" i="11"/>
  <c r="P25" i="11" s="1"/>
  <c r="O12" i="11"/>
  <c r="O25" i="11"/>
  <c r="N12" i="11"/>
  <c r="N25" i="11" s="1"/>
  <c r="M12" i="11"/>
  <c r="M25" i="11"/>
  <c r="L12" i="11"/>
  <c r="L25" i="11" s="1"/>
  <c r="G25" i="11" s="1"/>
  <c r="K12" i="11"/>
  <c r="K25" i="11"/>
  <c r="J12" i="11"/>
  <c r="J25" i="11" s="1"/>
  <c r="P4" i="11"/>
  <c r="O4" i="11"/>
  <c r="N4" i="11"/>
  <c r="M4" i="11"/>
  <c r="L4" i="11"/>
  <c r="K4" i="11"/>
  <c r="J4" i="11"/>
  <c r="P3" i="11"/>
  <c r="O3" i="11"/>
  <c r="N3" i="11"/>
  <c r="M3" i="11"/>
  <c r="L3" i="11"/>
  <c r="K3" i="11"/>
  <c r="J3" i="11"/>
  <c r="P2" i="11"/>
  <c r="P20" i="11" s="1"/>
  <c r="O2" i="11"/>
  <c r="O20" i="11" s="1"/>
  <c r="N2" i="11"/>
  <c r="N20" i="11"/>
  <c r="M2" i="11"/>
  <c r="M20" i="11" s="1"/>
  <c r="L2" i="11"/>
  <c r="L20" i="11" s="1"/>
  <c r="K2" i="11"/>
  <c r="K20" i="11" s="1"/>
  <c r="J2" i="11"/>
  <c r="J20" i="11"/>
  <c r="I211" i="11"/>
  <c r="I177" i="11"/>
  <c r="I143" i="11"/>
  <c r="I109" i="11"/>
  <c r="I44" i="11"/>
  <c r="I43" i="11"/>
  <c r="I42" i="11"/>
  <c r="I41" i="11"/>
  <c r="I40" i="11"/>
  <c r="I38" i="11"/>
  <c r="I37" i="11"/>
  <c r="I36" i="11"/>
  <c r="I35" i="11"/>
  <c r="I34" i="11"/>
  <c r="I32" i="11"/>
  <c r="I31" i="11"/>
  <c r="I30" i="11"/>
  <c r="I29" i="11"/>
  <c r="I28" i="11"/>
  <c r="I26" i="11"/>
  <c r="I24" i="11"/>
  <c r="I23" i="11"/>
  <c r="I22" i="11"/>
  <c r="I77" i="11" s="1"/>
  <c r="I21" i="11"/>
  <c r="I12" i="11"/>
  <c r="I25" i="11"/>
  <c r="I4" i="11"/>
  <c r="I3" i="11"/>
  <c r="I2" i="11"/>
  <c r="I20" i="11"/>
  <c r="D109" i="11"/>
  <c r="C109" i="11"/>
  <c r="E147" i="14"/>
  <c r="C147" i="14"/>
  <c r="E96" i="14"/>
  <c r="C96" i="14"/>
  <c r="E30" i="10"/>
  <c r="F30" i="10"/>
  <c r="E99" i="10"/>
  <c r="D99" i="10"/>
  <c r="H29" i="10"/>
  <c r="E29" i="10"/>
  <c r="F29" i="10"/>
  <c r="F25" i="10"/>
  <c r="D211" i="11"/>
  <c r="C211" i="11"/>
  <c r="D177" i="11"/>
  <c r="C177" i="11"/>
  <c r="G33" i="11"/>
  <c r="E33" i="11"/>
  <c r="E32" i="11"/>
  <c r="D32" i="11"/>
  <c r="D34" i="11"/>
  <c r="D143" i="11"/>
  <c r="C143" i="11"/>
  <c r="G39" i="11"/>
  <c r="H37" i="10"/>
  <c r="H32" i="10"/>
  <c r="H26" i="10"/>
  <c r="H31" i="12"/>
  <c r="H30" i="12"/>
  <c r="C81" i="14"/>
  <c r="E4" i="14"/>
  <c r="E31" i="14"/>
  <c r="E32" i="14" s="1"/>
  <c r="E16" i="14"/>
  <c r="E15" i="14"/>
  <c r="E36" i="14"/>
  <c r="E57" i="14" s="1"/>
  <c r="E35" i="14"/>
  <c r="E33" i="14"/>
  <c r="E75" i="14" s="1"/>
  <c r="E25" i="14"/>
  <c r="I7" i="14"/>
  <c r="E3" i="14"/>
  <c r="C59" i="14"/>
  <c r="C55" i="14"/>
  <c r="B97" i="14" s="1"/>
  <c r="B148" i="14" s="1"/>
  <c r="C72" i="14"/>
  <c r="C60" i="10"/>
  <c r="C110" i="10"/>
  <c r="C132" i="10" s="1"/>
  <c r="C151" i="10" s="1"/>
  <c r="C83" i="14"/>
  <c r="E83" i="14" s="1"/>
  <c r="C84" i="14"/>
  <c r="C55" i="10"/>
  <c r="J55" i="10"/>
  <c r="E55" i="10"/>
  <c r="C61" i="12"/>
  <c r="C50" i="14"/>
  <c r="G50" i="14" s="1"/>
  <c r="C69" i="14"/>
  <c r="L69" i="14" s="1"/>
  <c r="C78" i="12"/>
  <c r="I78" i="12" s="1"/>
  <c r="C48" i="14"/>
  <c r="D48" i="14" s="1"/>
  <c r="C57" i="14"/>
  <c r="B99" i="14" s="1"/>
  <c r="B150" i="14" s="1"/>
  <c r="C53" i="14"/>
  <c r="B95" i="14" s="1"/>
  <c r="B146" i="14" s="1"/>
  <c r="C55" i="11"/>
  <c r="J41" i="10"/>
  <c r="J40" i="10"/>
  <c r="J39" i="10"/>
  <c r="J36" i="10"/>
  <c r="J35" i="10"/>
  <c r="H35" i="10" s="1"/>
  <c r="C85" i="10"/>
  <c r="E85" i="10" s="1"/>
  <c r="J34" i="10"/>
  <c r="J33" i="10"/>
  <c r="J31" i="10"/>
  <c r="H31" i="10" s="1"/>
  <c r="J30" i="10"/>
  <c r="J11" i="10"/>
  <c r="J22" i="10" s="1"/>
  <c r="J21" i="10"/>
  <c r="C71" i="10"/>
  <c r="J20" i="10"/>
  <c r="J4" i="10"/>
  <c r="C81" i="12"/>
  <c r="I81" i="12"/>
  <c r="C80" i="12"/>
  <c r="H80" i="12"/>
  <c r="H25" i="12"/>
  <c r="H24" i="12"/>
  <c r="H23" i="12"/>
  <c r="C55" i="12"/>
  <c r="C50" i="12"/>
  <c r="H21" i="12"/>
  <c r="H4" i="12"/>
  <c r="H3" i="12"/>
  <c r="H1" i="12"/>
  <c r="D13" i="12"/>
  <c r="D26" i="12"/>
  <c r="D30" i="12"/>
  <c r="D58" i="12" s="1"/>
  <c r="C85" i="12"/>
  <c r="C58" i="12"/>
  <c r="B112" i="12"/>
  <c r="D31" i="12"/>
  <c r="D29" i="12"/>
  <c r="D27" i="12"/>
  <c r="D25" i="12"/>
  <c r="D1" i="12"/>
  <c r="D3" i="12"/>
  <c r="D4" i="12"/>
  <c r="F7" i="12"/>
  <c r="D22" i="12"/>
  <c r="D23" i="12"/>
  <c r="D24" i="12"/>
  <c r="D52" i="12" s="1"/>
  <c r="D32" i="12"/>
  <c r="D21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C86" i="10"/>
  <c r="J86" i="10" s="1"/>
  <c r="C83" i="10"/>
  <c r="J83" i="10" s="1"/>
  <c r="C53" i="12"/>
  <c r="I53" i="12" s="1"/>
  <c r="C76" i="10"/>
  <c r="D76" i="10" s="1"/>
  <c r="C74" i="10"/>
  <c r="F74" i="10" s="1"/>
  <c r="C84" i="11"/>
  <c r="M84" i="11" s="1"/>
  <c r="C80" i="11"/>
  <c r="K80" i="11" s="1"/>
  <c r="C52" i="11"/>
  <c r="D20" i="10"/>
  <c r="D33" i="10"/>
  <c r="D35" i="10"/>
  <c r="D41" i="10"/>
  <c r="H25" i="10"/>
  <c r="H7" i="10"/>
  <c r="E20" i="10"/>
  <c r="H28" i="10"/>
  <c r="H27" i="10"/>
  <c r="H24" i="10"/>
  <c r="H23" i="10"/>
  <c r="D26" i="11"/>
  <c r="D37" i="11"/>
  <c r="D36" i="11"/>
  <c r="D35" i="11"/>
  <c r="E44" i="11"/>
  <c r="D44" i="11"/>
  <c r="E43" i="11"/>
  <c r="D43" i="11"/>
  <c r="E42" i="11"/>
  <c r="D42" i="11"/>
  <c r="E41" i="11"/>
  <c r="D41" i="11"/>
  <c r="D40" i="11"/>
  <c r="E39" i="11"/>
  <c r="E38" i="11"/>
  <c r="D38" i="11"/>
  <c r="E37" i="11"/>
  <c r="E36" i="11"/>
  <c r="E35" i="11"/>
  <c r="E34" i="11"/>
  <c r="E31" i="11"/>
  <c r="D31" i="11"/>
  <c r="E30" i="11"/>
  <c r="D30" i="11"/>
  <c r="E29" i="11"/>
  <c r="D29" i="11"/>
  <c r="D84" i="11" s="1"/>
  <c r="E28" i="11"/>
  <c r="D28" i="11"/>
  <c r="E26" i="11"/>
  <c r="E12" i="11"/>
  <c r="E25" i="11" s="1"/>
  <c r="D12" i="11"/>
  <c r="D25" i="11"/>
  <c r="E24" i="11"/>
  <c r="D24" i="11"/>
  <c r="E23" i="11"/>
  <c r="D23" i="11"/>
  <c r="E22" i="11"/>
  <c r="D22" i="11"/>
  <c r="E21" i="11"/>
  <c r="D21" i="11"/>
  <c r="D2" i="11"/>
  <c r="D20" i="11" s="1"/>
  <c r="E2" i="11"/>
  <c r="E20" i="11"/>
  <c r="E3" i="11"/>
  <c r="D3" i="11"/>
  <c r="D4" i="11"/>
  <c r="E4" i="11"/>
  <c r="C68" i="12"/>
  <c r="I68" i="12" s="1"/>
  <c r="C67" i="11"/>
  <c r="O67" i="11" s="1"/>
  <c r="C77" i="11"/>
  <c r="E77" i="11"/>
  <c r="C90" i="10"/>
  <c r="C56" i="12"/>
  <c r="C49" i="10"/>
  <c r="C93" i="11"/>
  <c r="Q93" i="11" s="1"/>
  <c r="O93" i="11"/>
  <c r="C95" i="11"/>
  <c r="D95" i="11"/>
  <c r="C72" i="10"/>
  <c r="C98" i="12"/>
  <c r="C97" i="11"/>
  <c r="C58" i="11"/>
  <c r="C59" i="12"/>
  <c r="C46" i="10"/>
  <c r="C51" i="12"/>
  <c r="B105" i="12" s="1"/>
  <c r="D51" i="12"/>
  <c r="C50" i="11"/>
  <c r="B104" i="11" s="1"/>
  <c r="C98" i="11"/>
  <c r="Q98" i="11" s="1"/>
  <c r="C82" i="10"/>
  <c r="C99" i="12"/>
  <c r="D99" i="12" s="1"/>
  <c r="C56" i="10"/>
  <c r="C88" i="10"/>
  <c r="D88" i="10" s="1"/>
  <c r="C78" i="10"/>
  <c r="F78" i="10" s="1"/>
  <c r="D31" i="10"/>
  <c r="D56" i="10" s="1"/>
  <c r="E32" i="10"/>
  <c r="C87" i="10"/>
  <c r="C60" i="12"/>
  <c r="B114" i="12" s="1"/>
  <c r="D60" i="12"/>
  <c r="E67" i="11"/>
  <c r="F34" i="10"/>
  <c r="E34" i="10"/>
  <c r="E31" i="10"/>
  <c r="E11" i="10"/>
  <c r="E22" i="10"/>
  <c r="E72" i="10" s="1"/>
  <c r="E26" i="10"/>
  <c r="G7" i="11"/>
  <c r="H29" i="12"/>
  <c r="H32" i="12"/>
  <c r="H22" i="12"/>
  <c r="F22" i="12" s="1"/>
  <c r="H27" i="12"/>
  <c r="H13" i="12"/>
  <c r="H26" i="12"/>
  <c r="C57" i="11"/>
  <c r="C51" i="10"/>
  <c r="C101" i="10"/>
  <c r="C125" i="10" s="1"/>
  <c r="C89" i="12"/>
  <c r="C88" i="12"/>
  <c r="C80" i="10"/>
  <c r="J80" i="10"/>
  <c r="B104" i="14"/>
  <c r="B155" i="14" s="1"/>
  <c r="C72" i="12"/>
  <c r="B126" i="12"/>
  <c r="C94" i="12"/>
  <c r="F35" i="10"/>
  <c r="F60" i="10" s="1"/>
  <c r="C58" i="14"/>
  <c r="B100" i="14" s="1"/>
  <c r="B151" i="14" s="1"/>
  <c r="C89" i="10"/>
  <c r="C52" i="14"/>
  <c r="G52" i="14" s="1"/>
  <c r="C48" i="10"/>
  <c r="J48" i="10" s="1"/>
  <c r="C54" i="11"/>
  <c r="P54" i="11" s="1"/>
  <c r="C70" i="14"/>
  <c r="C78" i="11"/>
  <c r="J78" i="11" s="1"/>
  <c r="C79" i="12"/>
  <c r="C84" i="10"/>
  <c r="F84" i="10"/>
  <c r="E84" i="10"/>
  <c r="C96" i="11"/>
  <c r="L96" i="11" s="1"/>
  <c r="C97" i="12"/>
  <c r="I97" i="12" s="1"/>
  <c r="D34" i="10"/>
  <c r="D84" i="10" s="1"/>
  <c r="D40" i="10"/>
  <c r="D11" i="10"/>
  <c r="D22" i="10" s="1"/>
  <c r="D36" i="10"/>
  <c r="C74" i="14"/>
  <c r="G74" i="14" s="1"/>
  <c r="C83" i="12"/>
  <c r="D83" i="12" s="1"/>
  <c r="C82" i="11"/>
  <c r="C47" i="14"/>
  <c r="L47" i="14" s="1"/>
  <c r="C49" i="11"/>
  <c r="D49" i="11" s="1"/>
  <c r="C45" i="10"/>
  <c r="C71" i="14"/>
  <c r="C79" i="11"/>
  <c r="O79" i="11"/>
  <c r="D39" i="10"/>
  <c r="C73" i="14"/>
  <c r="C53" i="10"/>
  <c r="E53" i="10" s="1"/>
  <c r="C59" i="11"/>
  <c r="L59" i="11" s="1"/>
  <c r="C61" i="14"/>
  <c r="B103" i="14" s="1"/>
  <c r="B154" i="14" s="1"/>
  <c r="C82" i="14"/>
  <c r="C76" i="14"/>
  <c r="L76" i="14" s="1"/>
  <c r="D78" i="12"/>
  <c r="D28" i="12"/>
  <c r="D56" i="12" s="1"/>
  <c r="D81" i="12"/>
  <c r="F24" i="10"/>
  <c r="F49" i="10" s="1"/>
  <c r="F36" i="10"/>
  <c r="F32" i="10"/>
  <c r="F33" i="10"/>
  <c r="E37" i="10"/>
  <c r="E33" i="10"/>
  <c r="E83" i="10"/>
  <c r="D4" i="10"/>
  <c r="D21" i="10"/>
  <c r="D71" i="10" s="1"/>
  <c r="F11" i="10"/>
  <c r="F22" i="10" s="1"/>
  <c r="F37" i="10"/>
  <c r="F26" i="10"/>
  <c r="F76" i="10" s="1"/>
  <c r="F51" i="10"/>
  <c r="F31" i="10"/>
  <c r="F40" i="10"/>
  <c r="F23" i="10"/>
  <c r="F48" i="10" s="1"/>
  <c r="F28" i="10"/>
  <c r="E35" i="10"/>
  <c r="E39" i="10"/>
  <c r="E36" i="10"/>
  <c r="F27" i="10"/>
  <c r="E4" i="10"/>
  <c r="D30" i="10"/>
  <c r="E21" i="10"/>
  <c r="F38" i="10"/>
  <c r="F39" i="10"/>
  <c r="E40" i="10"/>
  <c r="E38" i="10"/>
  <c r="E88" i="10" s="1"/>
  <c r="H65" i="11"/>
  <c r="E58" i="11"/>
  <c r="F21" i="10"/>
  <c r="F71" i="10" s="1"/>
  <c r="F20" i="10"/>
  <c r="F45" i="10" s="1"/>
  <c r="F4" i="10"/>
  <c r="D72" i="12"/>
  <c r="H63" i="11"/>
  <c r="F83" i="10"/>
  <c r="H33" i="10"/>
  <c r="J60" i="10"/>
  <c r="H34" i="10"/>
  <c r="E60" i="10"/>
  <c r="D60" i="10"/>
  <c r="F87" i="10"/>
  <c r="H39" i="10"/>
  <c r="D87" i="10"/>
  <c r="J49" i="10"/>
  <c r="J87" i="10"/>
  <c r="E51" i="10"/>
  <c r="D80" i="10"/>
  <c r="E49" i="10"/>
  <c r="H38" i="10"/>
  <c r="H30" i="10"/>
  <c r="C96" i="10"/>
  <c r="D48" i="10"/>
  <c r="E87" i="10"/>
  <c r="F55" i="10"/>
  <c r="J82" i="10"/>
  <c r="E49" i="11"/>
  <c r="D52" i="11"/>
  <c r="B103" i="11"/>
  <c r="B111" i="11"/>
  <c r="B145" i="11"/>
  <c r="B179" i="11" s="1"/>
  <c r="B213" i="11" s="1"/>
  <c r="B113" i="11"/>
  <c r="B147" i="11" s="1"/>
  <c r="B181" i="11"/>
  <c r="B215" i="11" s="1"/>
  <c r="E27" i="11"/>
  <c r="H56" i="11"/>
  <c r="H64" i="11"/>
  <c r="D27" i="11"/>
  <c r="D54" i="11"/>
  <c r="D59" i="11"/>
  <c r="H78" i="12"/>
  <c r="F78" i="12" s="1"/>
  <c r="I80" i="12"/>
  <c r="F13" i="12"/>
  <c r="F24" i="12"/>
  <c r="F29" i="12"/>
  <c r="F32" i="12"/>
  <c r="H60" i="12"/>
  <c r="H81" i="12"/>
  <c r="F81" i="12"/>
  <c r="H59" i="12"/>
  <c r="F25" i="12"/>
  <c r="H53" i="12"/>
  <c r="F53" i="12" s="1"/>
  <c r="I58" i="12"/>
  <c r="F26" i="12"/>
  <c r="I51" i="12"/>
  <c r="I55" i="12"/>
  <c r="F23" i="12"/>
  <c r="I28" i="12"/>
  <c r="I83" i="12" s="1"/>
  <c r="I60" i="12"/>
  <c r="H11" i="10"/>
  <c r="H22" i="10"/>
  <c r="J72" i="10"/>
  <c r="D72" i="10"/>
  <c r="J84" i="10"/>
  <c r="J76" i="10"/>
  <c r="F88" i="10"/>
  <c r="H40" i="10"/>
  <c r="E80" i="10"/>
  <c r="H20" i="10"/>
  <c r="H36" i="10"/>
  <c r="H41" i="10"/>
  <c r="E76" i="10"/>
  <c r="E71" i="10"/>
  <c r="E89" i="10"/>
  <c r="D89" i="10"/>
  <c r="D53" i="10"/>
  <c r="J89" i="10"/>
  <c r="D49" i="10"/>
  <c r="C99" i="10"/>
  <c r="Q59" i="11"/>
  <c r="Q82" i="11"/>
  <c r="Q55" i="11"/>
  <c r="Q84" i="11"/>
  <c r="Q52" i="11"/>
  <c r="P97" i="11"/>
  <c r="P57" i="11"/>
  <c r="P27" i="11"/>
  <c r="P82" i="11" s="1"/>
  <c r="P77" i="11"/>
  <c r="O97" i="11"/>
  <c r="O52" i="11"/>
  <c r="O84" i="11"/>
  <c r="M93" i="11"/>
  <c r="M58" i="11"/>
  <c r="M82" i="11"/>
  <c r="M79" i="11"/>
  <c r="G34" i="11"/>
  <c r="G38" i="11"/>
  <c r="L57" i="11"/>
  <c r="G32" i="11"/>
  <c r="L27" i="11"/>
  <c r="L55" i="11"/>
  <c r="K59" i="11"/>
  <c r="K79" i="11"/>
  <c r="J84" i="11"/>
  <c r="G29" i="11"/>
  <c r="J59" i="11"/>
  <c r="G36" i="11"/>
  <c r="J27" i="11"/>
  <c r="J55" i="11" s="1"/>
  <c r="J50" i="11"/>
  <c r="L52" i="11"/>
  <c r="O27" i="11"/>
  <c r="M49" i="11"/>
  <c r="P52" i="11"/>
  <c r="M57" i="11"/>
  <c r="N58" i="11"/>
  <c r="O59" i="11"/>
  <c r="K77" i="11"/>
  <c r="P96" i="11"/>
  <c r="N27" i="11"/>
  <c r="J49" i="11"/>
  <c r="G26" i="11"/>
  <c r="K27" i="11"/>
  <c r="J93" i="11"/>
  <c r="G93" i="11" s="1"/>
  <c r="J98" i="11"/>
  <c r="O77" i="11"/>
  <c r="L77" i="11"/>
  <c r="K84" i="11"/>
  <c r="O49" i="11"/>
  <c r="J52" i="11"/>
  <c r="D96" i="11"/>
  <c r="E96" i="11"/>
  <c r="D79" i="11"/>
  <c r="E84" i="11"/>
  <c r="B138" i="11"/>
  <c r="B172" i="11" s="1"/>
  <c r="E97" i="11"/>
  <c r="D67" i="11"/>
  <c r="G23" i="11"/>
  <c r="I49" i="11"/>
  <c r="G21" i="11"/>
  <c r="G31" i="11"/>
  <c r="I59" i="11"/>
  <c r="I93" i="11"/>
  <c r="G24" i="11"/>
  <c r="I58" i="11"/>
  <c r="I57" i="11"/>
  <c r="I84" i="11"/>
  <c r="I96" i="11"/>
  <c r="G35" i="11"/>
  <c r="I27" i="11"/>
  <c r="I82" i="11" s="1"/>
  <c r="K82" i="11"/>
  <c r="N82" i="11"/>
  <c r="O82" i="11"/>
  <c r="O55" i="11"/>
  <c r="I88" i="12"/>
  <c r="D88" i="12"/>
  <c r="H54" i="12"/>
  <c r="I54" i="12"/>
  <c r="F54" i="12" s="1"/>
  <c r="D54" i="12"/>
  <c r="B108" i="12"/>
  <c r="C95" i="10"/>
  <c r="C122" i="10"/>
  <c r="C144" i="10" s="1"/>
  <c r="D45" i="10"/>
  <c r="E45" i="10"/>
  <c r="L97" i="11"/>
  <c r="J97" i="11"/>
  <c r="Q97" i="11"/>
  <c r="N97" i="11"/>
  <c r="K97" i="11"/>
  <c r="D97" i="11"/>
  <c r="I97" i="11"/>
  <c r="J61" i="10"/>
  <c r="C111" i="10"/>
  <c r="C133" i="10"/>
  <c r="C152" i="10" s="1"/>
  <c r="E61" i="10"/>
  <c r="D61" i="10"/>
  <c r="F61" i="10"/>
  <c r="C112" i="10"/>
  <c r="C134" i="10" s="1"/>
  <c r="J62" i="10"/>
  <c r="E62" i="10"/>
  <c r="F62" i="10"/>
  <c r="C51" i="14"/>
  <c r="C53" i="11"/>
  <c r="C47" i="10"/>
  <c r="C97" i="10" s="1"/>
  <c r="M97" i="11"/>
  <c r="J80" i="11"/>
  <c r="J45" i="10"/>
  <c r="P95" i="11"/>
  <c r="J95" i="11"/>
  <c r="Q95" i="11"/>
  <c r="M95" i="11"/>
  <c r="E95" i="11"/>
  <c r="L95" i="11"/>
  <c r="O95" i="11"/>
  <c r="N95" i="11"/>
  <c r="I95" i="11"/>
  <c r="G95" i="11" s="1"/>
  <c r="H51" i="9"/>
  <c r="C73" i="12"/>
  <c r="C72" i="11"/>
  <c r="K95" i="11"/>
  <c r="B137" i="11"/>
  <c r="B171" i="11" s="1"/>
  <c r="H88" i="12"/>
  <c r="F88" i="12"/>
  <c r="E82" i="10"/>
  <c r="D82" i="10"/>
  <c r="F82" i="10"/>
  <c r="J90" i="10"/>
  <c r="F90" i="10"/>
  <c r="D90" i="10"/>
  <c r="E90" i="10"/>
  <c r="E80" i="11"/>
  <c r="O80" i="11"/>
  <c r="M80" i="11"/>
  <c r="D80" i="11"/>
  <c r="Q80" i="11"/>
  <c r="P80" i="11"/>
  <c r="N80" i="11"/>
  <c r="I80" i="11"/>
  <c r="G80" i="11"/>
  <c r="L80" i="11"/>
  <c r="C70" i="11"/>
  <c r="I94" i="12"/>
  <c r="D94" i="12"/>
  <c r="I89" i="12"/>
  <c r="H89" i="12"/>
  <c r="F89" i="12"/>
  <c r="P98" i="11"/>
  <c r="L98" i="11"/>
  <c r="O98" i="11"/>
  <c r="K98" i="11"/>
  <c r="I98" i="11"/>
  <c r="G98" i="11" s="1"/>
  <c r="D98" i="11"/>
  <c r="I98" i="12"/>
  <c r="F98" i="12" s="1"/>
  <c r="D98" i="12"/>
  <c r="H68" i="12"/>
  <c r="F68" i="12" s="1"/>
  <c r="D68" i="12"/>
  <c r="C91" i="10"/>
  <c r="C70" i="12"/>
  <c r="B122" i="12"/>
  <c r="I72" i="12"/>
  <c r="F72" i="12" s="1"/>
  <c r="H52" i="9"/>
  <c r="C59" i="10"/>
  <c r="H70" i="9"/>
  <c r="C71" i="11"/>
  <c r="C57" i="10"/>
  <c r="D93" i="11"/>
  <c r="I67" i="11"/>
  <c r="N93" i="11"/>
  <c r="E50" i="11"/>
  <c r="D55" i="10"/>
  <c r="O96" i="11"/>
  <c r="M96" i="11"/>
  <c r="K96" i="11"/>
  <c r="N96" i="11"/>
  <c r="J96" i="11"/>
  <c r="G96" i="11" s="1"/>
  <c r="Q96" i="11"/>
  <c r="N78" i="11"/>
  <c r="Q78" i="11"/>
  <c r="C81" i="10"/>
  <c r="J81" i="10" s="1"/>
  <c r="D80" i="12"/>
  <c r="C105" i="10"/>
  <c r="C127" i="10"/>
  <c r="C147" i="10" s="1"/>
  <c r="J79" i="11"/>
  <c r="G79" i="11" s="1"/>
  <c r="L79" i="11"/>
  <c r="H26" i="9"/>
  <c r="C77" i="12"/>
  <c r="H45" i="9"/>
  <c r="H50" i="9"/>
  <c r="C63" i="10"/>
  <c r="H141" i="9"/>
  <c r="H164" i="9"/>
  <c r="H27" i="9"/>
  <c r="C52" i="12"/>
  <c r="H49" i="9"/>
  <c r="C64" i="10"/>
  <c r="I71" i="12"/>
  <c r="B125" i="12"/>
  <c r="F152" i="9"/>
  <c r="D152" i="9" s="1"/>
  <c r="H152" i="9" s="1"/>
  <c r="C152" i="9"/>
  <c r="I79" i="11"/>
  <c r="N79" i="11"/>
  <c r="N98" i="11"/>
  <c r="M98" i="11"/>
  <c r="F80" i="10"/>
  <c r="H94" i="12"/>
  <c r="E79" i="11"/>
  <c r="Q49" i="11"/>
  <c r="P49" i="11"/>
  <c r="H72" i="12"/>
  <c r="C65" i="10"/>
  <c r="D89" i="12"/>
  <c r="C69" i="11"/>
  <c r="E56" i="10"/>
  <c r="C106" i="10"/>
  <c r="C128" i="10"/>
  <c r="C148" i="10"/>
  <c r="J56" i="10"/>
  <c r="F56" i="10"/>
  <c r="E98" i="11"/>
  <c r="C51" i="11"/>
  <c r="I51" i="11" s="1"/>
  <c r="H98" i="12"/>
  <c r="C96" i="12"/>
  <c r="P93" i="11"/>
  <c r="L93" i="11"/>
  <c r="E93" i="11"/>
  <c r="P67" i="11"/>
  <c r="G67" i="11" s="1"/>
  <c r="L67" i="11"/>
  <c r="Q67" i="11"/>
  <c r="N67" i="11"/>
  <c r="J67" i="11"/>
  <c r="M67" i="11"/>
  <c r="B107" i="12"/>
  <c r="B115" i="12"/>
  <c r="L50" i="11"/>
  <c r="P79" i="11"/>
  <c r="K67" i="11"/>
  <c r="Q79" i="11"/>
  <c r="H39" i="9"/>
  <c r="C62" i="12"/>
  <c r="H44" i="9"/>
  <c r="F102" i="9"/>
  <c r="D102" i="9"/>
  <c r="H102" i="9" s="1"/>
  <c r="C102" i="9"/>
  <c r="H127" i="9"/>
  <c r="H79" i="12"/>
  <c r="I79" i="12"/>
  <c r="H42" i="9"/>
  <c r="H79" i="9"/>
  <c r="H86" i="9"/>
  <c r="H147" i="9"/>
  <c r="H72" i="9"/>
  <c r="H76" i="9"/>
  <c r="H80" i="9"/>
  <c r="H84" i="9"/>
  <c r="C89" i="9"/>
  <c r="C60" i="11" s="1"/>
  <c r="H124" i="9"/>
  <c r="H128" i="9"/>
  <c r="H142" i="9"/>
  <c r="H149" i="9"/>
  <c r="H161" i="9"/>
  <c r="H165" i="9"/>
  <c r="H74" i="9"/>
  <c r="H78" i="9"/>
  <c r="H82" i="9"/>
  <c r="H126" i="9"/>
  <c r="H130" i="9"/>
  <c r="H163" i="9"/>
  <c r="E77" i="10"/>
  <c r="J77" i="10"/>
  <c r="D77" i="10"/>
  <c r="C16" i="9"/>
  <c r="F16" i="9"/>
  <c r="D16" i="9" s="1"/>
  <c r="H16" i="9" s="1"/>
  <c r="E78" i="10"/>
  <c r="O54" i="11"/>
  <c r="J54" i="11"/>
  <c r="Q54" i="11"/>
  <c r="I54" i="11"/>
  <c r="B112" i="11"/>
  <c r="B146" i="11" s="1"/>
  <c r="B180" i="11" s="1"/>
  <c r="B214" i="11" s="1"/>
  <c r="P58" i="11"/>
  <c r="Q58" i="11"/>
  <c r="J58" i="11"/>
  <c r="G58" i="11" s="1"/>
  <c r="K58" i="11"/>
  <c r="D74" i="10"/>
  <c r="E74" i="10"/>
  <c r="J74" i="10"/>
  <c r="B109" i="11"/>
  <c r="E55" i="11"/>
  <c r="M55" i="11"/>
  <c r="D55" i="11"/>
  <c r="P55" i="11"/>
  <c r="K55" i="11"/>
  <c r="C73" i="10"/>
  <c r="C82" i="12"/>
  <c r="C78" i="14"/>
  <c r="G78" i="14" s="1"/>
  <c r="C86" i="11"/>
  <c r="I56" i="12"/>
  <c r="L54" i="11"/>
  <c r="G54" i="11" s="1"/>
  <c r="O58" i="11"/>
  <c r="M54" i="11"/>
  <c r="J78" i="10"/>
  <c r="E54" i="11"/>
  <c r="F53" i="10"/>
  <c r="C103" i="10"/>
  <c r="J53" i="10"/>
  <c r="B113" i="12"/>
  <c r="I59" i="12"/>
  <c r="F59" i="12"/>
  <c r="D59" i="12"/>
  <c r="L58" i="11"/>
  <c r="H7" i="9"/>
  <c r="F13" i="9"/>
  <c r="D13" i="9" s="1"/>
  <c r="H13" i="9" s="1"/>
  <c r="C52" i="10"/>
  <c r="C56" i="14"/>
  <c r="G56" i="14" s="1"/>
  <c r="H20" i="9"/>
  <c r="C86" i="12"/>
  <c r="H19" i="9"/>
  <c r="C85" i="11"/>
  <c r="E85" i="11" s="1"/>
  <c r="N55" i="11"/>
  <c r="K54" i="11"/>
  <c r="F60" i="12"/>
  <c r="C77" i="14"/>
  <c r="D77" i="14" s="1"/>
  <c r="B108" i="11"/>
  <c r="D58" i="11"/>
  <c r="C81" i="11"/>
  <c r="B109" i="12"/>
  <c r="D55" i="12"/>
  <c r="H55" i="12"/>
  <c r="C87" i="12"/>
  <c r="B110" i="12"/>
  <c r="N54" i="11"/>
  <c r="E57" i="11"/>
  <c r="E59" i="11"/>
  <c r="N84" i="11"/>
  <c r="J57" i="11"/>
  <c r="L84" i="11"/>
  <c r="B92" i="14"/>
  <c r="B143" i="14" s="1"/>
  <c r="N52" i="11"/>
  <c r="C123" i="10"/>
  <c r="J46" i="10"/>
  <c r="F46" i="10"/>
  <c r="D46" i="10"/>
  <c r="E46" i="10"/>
  <c r="O50" i="11"/>
  <c r="K50" i="11"/>
  <c r="I50" i="11"/>
  <c r="Q50" i="11"/>
  <c r="N50" i="11"/>
  <c r="D50" i="11"/>
  <c r="P50" i="11"/>
  <c r="I78" i="11"/>
  <c r="L78" i="11"/>
  <c r="P78" i="11"/>
  <c r="M78" i="11"/>
  <c r="K78" i="11"/>
  <c r="O78" i="11"/>
  <c r="E78" i="11"/>
  <c r="D78" i="11"/>
  <c r="D77" i="12"/>
  <c r="H77" i="12"/>
  <c r="I77" i="12"/>
  <c r="C76" i="11"/>
  <c r="C68" i="14"/>
  <c r="L68" i="14" s="1"/>
  <c r="C70" i="10"/>
  <c r="C65" i="12"/>
  <c r="C65" i="11"/>
  <c r="C64" i="12"/>
  <c r="C91" i="11"/>
  <c r="H89" i="9"/>
  <c r="C54" i="10"/>
  <c r="C61" i="11"/>
  <c r="C92" i="11"/>
  <c r="C63" i="12"/>
  <c r="C64" i="11"/>
  <c r="C88" i="11"/>
  <c r="C92" i="12"/>
  <c r="C83" i="11"/>
  <c r="C87" i="11"/>
  <c r="C57" i="12"/>
  <c r="I57" i="12" s="1"/>
  <c r="C63" i="11"/>
  <c r="C90" i="11"/>
  <c r="C84" i="12"/>
  <c r="C56" i="11"/>
  <c r="C91" i="12"/>
  <c r="C90" i="12"/>
  <c r="C66" i="12"/>
  <c r="D66" i="12" s="1"/>
  <c r="C89" i="11"/>
  <c r="C75" i="14"/>
  <c r="I62" i="12"/>
  <c r="B116" i="12"/>
  <c r="D62" i="12"/>
  <c r="H62" i="12"/>
  <c r="B106" i="12"/>
  <c r="I52" i="12"/>
  <c r="H52" i="12"/>
  <c r="D63" i="10"/>
  <c r="F63" i="10"/>
  <c r="C113" i="10"/>
  <c r="C135" i="10" s="1"/>
  <c r="J63" i="10"/>
  <c r="J57" i="10"/>
  <c r="D57" i="10"/>
  <c r="E57" i="10"/>
  <c r="F57" i="10"/>
  <c r="C107" i="10"/>
  <c r="C129" i="10"/>
  <c r="D51" i="11"/>
  <c r="M51" i="11"/>
  <c r="N51" i="11"/>
  <c r="Q51" i="11"/>
  <c r="O51" i="11"/>
  <c r="K51" i="11"/>
  <c r="E51" i="11"/>
  <c r="J51" i="11"/>
  <c r="P51" i="11"/>
  <c r="E65" i="10"/>
  <c r="D65" i="10"/>
  <c r="J65" i="10"/>
  <c r="C115" i="10"/>
  <c r="C137" i="10"/>
  <c r="C154" i="10"/>
  <c r="F65" i="10"/>
  <c r="N71" i="11"/>
  <c r="P71" i="11"/>
  <c r="M71" i="11"/>
  <c r="L71" i="11"/>
  <c r="E71" i="11"/>
  <c r="D71" i="11"/>
  <c r="J71" i="11"/>
  <c r="I71" i="11"/>
  <c r="K71" i="11"/>
  <c r="G71" i="11" s="1"/>
  <c r="O71" i="11"/>
  <c r="B125" i="11"/>
  <c r="B159" i="11" s="1"/>
  <c r="B193" i="11" s="1"/>
  <c r="B227" i="11" s="1"/>
  <c r="Q71" i="11"/>
  <c r="I70" i="12"/>
  <c r="H70" i="12"/>
  <c r="F70" i="12" s="1"/>
  <c r="B124" i="12"/>
  <c r="D70" i="12"/>
  <c r="K70" i="11"/>
  <c r="P70" i="11"/>
  <c r="E70" i="11"/>
  <c r="B124" i="11"/>
  <c r="B158" i="11" s="1"/>
  <c r="B192" i="11" s="1"/>
  <c r="B226" i="11" s="1"/>
  <c r="Q70" i="11"/>
  <c r="L70" i="11"/>
  <c r="M70" i="11"/>
  <c r="N70" i="11"/>
  <c r="O70" i="11"/>
  <c r="J70" i="11"/>
  <c r="D70" i="11"/>
  <c r="I70" i="11"/>
  <c r="G70" i="11"/>
  <c r="F94" i="12"/>
  <c r="D64" i="10"/>
  <c r="E64" i="10"/>
  <c r="F64" i="10"/>
  <c r="J64" i="10"/>
  <c r="C114" i="10"/>
  <c r="C136" i="10"/>
  <c r="C153" i="10"/>
  <c r="E91" i="10"/>
  <c r="J91" i="10"/>
  <c r="F91" i="10"/>
  <c r="D91" i="10"/>
  <c r="M72" i="11"/>
  <c r="K72" i="11"/>
  <c r="P72" i="11"/>
  <c r="O72" i="11"/>
  <c r="Q72" i="11"/>
  <c r="N72" i="11"/>
  <c r="L72" i="11"/>
  <c r="E72" i="11"/>
  <c r="J72" i="11"/>
  <c r="B126" i="11"/>
  <c r="B160" i="11" s="1"/>
  <c r="B194" i="11" s="1"/>
  <c r="B228" i="11" s="1"/>
  <c r="I72" i="11"/>
  <c r="D72" i="11"/>
  <c r="F79" i="12"/>
  <c r="I96" i="12"/>
  <c r="F96" i="12" s="1"/>
  <c r="D96" i="12"/>
  <c r="H96" i="12"/>
  <c r="O69" i="11"/>
  <c r="K69" i="11"/>
  <c r="J69" i="11"/>
  <c r="P69" i="11"/>
  <c r="L69" i="11"/>
  <c r="B123" i="11"/>
  <c r="B157" i="11"/>
  <c r="B191" i="11"/>
  <c r="B225" i="11" s="1"/>
  <c r="E69" i="11"/>
  <c r="Q69" i="11"/>
  <c r="N69" i="11"/>
  <c r="I69" i="11"/>
  <c r="M69" i="11"/>
  <c r="D69" i="11"/>
  <c r="D81" i="10"/>
  <c r="F59" i="10"/>
  <c r="E59" i="10"/>
  <c r="D59" i="10"/>
  <c r="C109" i="10"/>
  <c r="C131" i="10" s="1"/>
  <c r="C150" i="10" s="1"/>
  <c r="J59" i="10"/>
  <c r="I73" i="12"/>
  <c r="D73" i="12"/>
  <c r="B127" i="12"/>
  <c r="H73" i="12"/>
  <c r="F73" i="12" s="1"/>
  <c r="Q53" i="11"/>
  <c r="P53" i="11"/>
  <c r="J53" i="11"/>
  <c r="K53" i="11"/>
  <c r="E53" i="11"/>
  <c r="N53" i="11"/>
  <c r="O53" i="11"/>
  <c r="L53" i="11"/>
  <c r="I53" i="11"/>
  <c r="M53" i="11"/>
  <c r="D53" i="11"/>
  <c r="B107" i="11"/>
  <c r="E128" i="11" s="1"/>
  <c r="H3" i="15" s="1"/>
  <c r="G97" i="11"/>
  <c r="B143" i="11"/>
  <c r="B177" i="11"/>
  <c r="B211" i="11" s="1"/>
  <c r="B142" i="11"/>
  <c r="B176" i="11"/>
  <c r="B210" i="11" s="1"/>
  <c r="P85" i="11"/>
  <c r="L85" i="11"/>
  <c r="K85" i="11"/>
  <c r="Q85" i="11"/>
  <c r="I85" i="11"/>
  <c r="J85" i="11"/>
  <c r="D85" i="11"/>
  <c r="O85" i="11"/>
  <c r="I82" i="12"/>
  <c r="H82" i="12"/>
  <c r="D82" i="12"/>
  <c r="I87" i="12"/>
  <c r="D87" i="12"/>
  <c r="H87" i="12"/>
  <c r="L81" i="11"/>
  <c r="E52" i="10"/>
  <c r="D52" i="10"/>
  <c r="J52" i="10"/>
  <c r="C102" i="10"/>
  <c r="F73" i="10"/>
  <c r="E73" i="10"/>
  <c r="D73" i="10"/>
  <c r="J73" i="10"/>
  <c r="F55" i="12"/>
  <c r="O86" i="11"/>
  <c r="K86" i="11"/>
  <c r="L86" i="11"/>
  <c r="D86" i="11"/>
  <c r="P86" i="11"/>
  <c r="M86" i="11"/>
  <c r="E86" i="11"/>
  <c r="Q86" i="11"/>
  <c r="N86" i="11"/>
  <c r="G86" i="11" s="1"/>
  <c r="J86" i="11"/>
  <c r="I86" i="11"/>
  <c r="C145" i="10"/>
  <c r="D70" i="10"/>
  <c r="J70" i="10"/>
  <c r="E70" i="10"/>
  <c r="Q76" i="11"/>
  <c r="P76" i="11"/>
  <c r="L76" i="11"/>
  <c r="K76" i="11"/>
  <c r="I76" i="11"/>
  <c r="M76" i="11"/>
  <c r="O76" i="11"/>
  <c r="E76" i="11"/>
  <c r="N76" i="11"/>
  <c r="D76" i="11"/>
  <c r="J76" i="11"/>
  <c r="F77" i="12"/>
  <c r="I66" i="12"/>
  <c r="B120" i="12"/>
  <c r="H66" i="12"/>
  <c r="B110" i="11"/>
  <c r="K56" i="11"/>
  <c r="Q56" i="11"/>
  <c r="P56" i="11"/>
  <c r="O56" i="11"/>
  <c r="I56" i="11"/>
  <c r="J56" i="11"/>
  <c r="N56" i="11"/>
  <c r="D57" i="12"/>
  <c r="B111" i="12"/>
  <c r="H57" i="12"/>
  <c r="H92" i="12"/>
  <c r="F92" i="12" s="1"/>
  <c r="D92" i="12"/>
  <c r="I92" i="12"/>
  <c r="L92" i="11"/>
  <c r="I65" i="12"/>
  <c r="E163" i="11"/>
  <c r="H9" i="15" s="1"/>
  <c r="E129" i="11"/>
  <c r="H4" i="15" s="1"/>
  <c r="E162" i="11"/>
  <c r="H8" i="15" s="1"/>
  <c r="D84" i="12"/>
  <c r="H84" i="12"/>
  <c r="I84" i="12"/>
  <c r="F84" i="12"/>
  <c r="J60" i="11"/>
  <c r="B114" i="11"/>
  <c r="B148" i="11" s="1"/>
  <c r="B182" i="11" s="1"/>
  <c r="B216" i="11" s="1"/>
  <c r="F52" i="12"/>
  <c r="F62" i="12"/>
  <c r="L90" i="11"/>
  <c r="K90" i="11"/>
  <c r="Q90" i="11"/>
  <c r="P90" i="11"/>
  <c r="E90" i="11"/>
  <c r="J90" i="11"/>
  <c r="O90" i="11"/>
  <c r="N90" i="11"/>
  <c r="M90" i="11"/>
  <c r="D90" i="11"/>
  <c r="I90" i="11"/>
  <c r="G90" i="11"/>
  <c r="O87" i="11"/>
  <c r="Q87" i="11"/>
  <c r="E87" i="11"/>
  <c r="L87" i="11"/>
  <c r="I87" i="11"/>
  <c r="P87" i="11"/>
  <c r="K87" i="11"/>
  <c r="D87" i="11"/>
  <c r="J87" i="11"/>
  <c r="N87" i="11"/>
  <c r="M87" i="11"/>
  <c r="M64" i="11"/>
  <c r="K64" i="11"/>
  <c r="D64" i="11"/>
  <c r="E64" i="11"/>
  <c r="Q64" i="11"/>
  <c r="J64" i="11"/>
  <c r="B118" i="11"/>
  <c r="B152" i="11"/>
  <c r="B186" i="11" s="1"/>
  <c r="B220" i="11" s="1"/>
  <c r="N64" i="11"/>
  <c r="P64" i="11"/>
  <c r="L64" i="11"/>
  <c r="O64" i="11"/>
  <c r="I64" i="11"/>
  <c r="N61" i="11"/>
  <c r="J61" i="11"/>
  <c r="P61" i="11"/>
  <c r="L61" i="11"/>
  <c r="O61" i="11"/>
  <c r="I61" i="11"/>
  <c r="K61" i="11"/>
  <c r="B115" i="11"/>
  <c r="B149" i="11"/>
  <c r="B183" i="11" s="1"/>
  <c r="B217" i="11" s="1"/>
  <c r="Q61" i="11"/>
  <c r="E61" i="11"/>
  <c r="M61" i="11"/>
  <c r="D61" i="11"/>
  <c r="B118" i="12"/>
  <c r="H64" i="12"/>
  <c r="I64" i="12"/>
  <c r="D64" i="12"/>
  <c r="I90" i="12"/>
  <c r="F90" i="12" s="1"/>
  <c r="D90" i="12"/>
  <c r="H90" i="12"/>
  <c r="O88" i="11"/>
  <c r="K88" i="11"/>
  <c r="M88" i="11"/>
  <c r="L88" i="11"/>
  <c r="D88" i="11"/>
  <c r="P88" i="11"/>
  <c r="I88" i="11"/>
  <c r="E88" i="11"/>
  <c r="Q88" i="11"/>
  <c r="N88" i="11"/>
  <c r="J88" i="11"/>
  <c r="M91" i="11"/>
  <c r="N91" i="11"/>
  <c r="I91" i="11"/>
  <c r="P91" i="11"/>
  <c r="E91" i="11"/>
  <c r="Q91" i="11"/>
  <c r="O91" i="11"/>
  <c r="L91" i="11"/>
  <c r="G91" i="11" s="1"/>
  <c r="K91" i="11"/>
  <c r="J91" i="11"/>
  <c r="D91" i="11"/>
  <c r="G72" i="11"/>
  <c r="O89" i="11"/>
  <c r="N89" i="11"/>
  <c r="J89" i="11"/>
  <c r="M89" i="11"/>
  <c r="K89" i="11"/>
  <c r="Q89" i="11"/>
  <c r="P89" i="11"/>
  <c r="G89" i="11" s="1"/>
  <c r="L89" i="11"/>
  <c r="D89" i="11"/>
  <c r="E89" i="11"/>
  <c r="I89" i="11"/>
  <c r="N63" i="11"/>
  <c r="M63" i="11"/>
  <c r="Q63" i="11"/>
  <c r="P63" i="11"/>
  <c r="E63" i="11"/>
  <c r="L63" i="11"/>
  <c r="K63" i="11"/>
  <c r="J63" i="11"/>
  <c r="D63" i="11"/>
  <c r="O63" i="11"/>
  <c r="B117" i="11"/>
  <c r="B151" i="11" s="1"/>
  <c r="B185" i="11" s="1"/>
  <c r="B219" i="11" s="1"/>
  <c r="I63" i="11"/>
  <c r="K83" i="11"/>
  <c r="Q83" i="11"/>
  <c r="J83" i="11"/>
  <c r="P83" i="11"/>
  <c r="N83" i="11"/>
  <c r="O83" i="11"/>
  <c r="E83" i="11"/>
  <c r="M83" i="11"/>
  <c r="I83" i="11"/>
  <c r="I63" i="12"/>
  <c r="B117" i="12"/>
  <c r="H63" i="12"/>
  <c r="F63" i="12" s="1"/>
  <c r="D63" i="12"/>
  <c r="F54" i="10"/>
  <c r="E54" i="10"/>
  <c r="J54" i="10"/>
  <c r="C104" i="10"/>
  <c r="C126" i="10" s="1"/>
  <c r="D54" i="10"/>
  <c r="P65" i="11"/>
  <c r="O65" i="11"/>
  <c r="Q65" i="11"/>
  <c r="J65" i="11"/>
  <c r="M65" i="11"/>
  <c r="D65" i="11"/>
  <c r="I65" i="11"/>
  <c r="B119" i="11"/>
  <c r="B153" i="11"/>
  <c r="B187" i="11" s="1"/>
  <c r="B221" i="11"/>
  <c r="E65" i="11"/>
  <c r="L65" i="11"/>
  <c r="K65" i="11"/>
  <c r="G65" i="11" s="1"/>
  <c r="N65" i="11"/>
  <c r="F82" i="12"/>
  <c r="G76" i="11"/>
  <c r="F66" i="12"/>
  <c r="G88" i="11"/>
  <c r="B144" i="11"/>
  <c r="B178" i="11"/>
  <c r="B212" i="11" s="1"/>
  <c r="F64" i="12"/>
  <c r="G61" i="11"/>
  <c r="G87" i="11"/>
  <c r="K71" i="14"/>
  <c r="L85" i="14"/>
  <c r="I85" i="14" s="1"/>
  <c r="L55" i="14"/>
  <c r="L48" i="14"/>
  <c r="L58" i="14"/>
  <c r="L70" i="14"/>
  <c r="K55" i="14"/>
  <c r="E61" i="14"/>
  <c r="I43" i="14"/>
  <c r="K50" i="14"/>
  <c r="K58" i="14"/>
  <c r="I18" i="14"/>
  <c r="I38" i="14"/>
  <c r="K59" i="14"/>
  <c r="K70" i="14"/>
  <c r="K82" i="14"/>
  <c r="K61" i="14"/>
  <c r="E82" i="14"/>
  <c r="F47" i="10"/>
  <c r="F72" i="10"/>
  <c r="F70" i="10"/>
  <c r="F77" i="10"/>
  <c r="I28" i="14"/>
  <c r="I34" i="14"/>
  <c r="B93" i="14"/>
  <c r="B144" i="14" s="1"/>
  <c r="E71" i="14"/>
  <c r="E59" i="14"/>
  <c r="E53" i="14"/>
  <c r="E56" i="14"/>
  <c r="F57" i="12"/>
  <c r="L83" i="11"/>
  <c r="G83" i="11" s="1"/>
  <c r="L56" i="11"/>
  <c r="D83" i="11"/>
  <c r="D84" i="14" l="1"/>
  <c r="F84" i="14"/>
  <c r="F39" i="14"/>
  <c r="F81" i="14" s="1"/>
  <c r="F55" i="14"/>
  <c r="G72" i="14"/>
  <c r="G71" i="14"/>
  <c r="G59" i="14"/>
  <c r="G51" i="14"/>
  <c r="G81" i="14"/>
  <c r="F47" i="14"/>
  <c r="G49" i="14"/>
  <c r="E70" i="14"/>
  <c r="F51" i="14"/>
  <c r="F72" i="14"/>
  <c r="K73" i="14"/>
  <c r="D75" i="14"/>
  <c r="G58" i="14"/>
  <c r="G68" i="14"/>
  <c r="G76" i="14"/>
  <c r="G84" i="14"/>
  <c r="G47" i="14"/>
  <c r="G55" i="14"/>
  <c r="G63" i="14"/>
  <c r="G69" i="14"/>
  <c r="G73" i="14"/>
  <c r="G77" i="14"/>
  <c r="G85" i="14"/>
  <c r="D82" i="14"/>
  <c r="F48" i="14"/>
  <c r="F52" i="14"/>
  <c r="F56" i="14"/>
  <c r="F70" i="14"/>
  <c r="F74" i="14"/>
  <c r="F78" i="14"/>
  <c r="F82" i="14"/>
  <c r="G48" i="14"/>
  <c r="G60" i="14"/>
  <c r="G70" i="14"/>
  <c r="G82" i="14"/>
  <c r="E78" i="14"/>
  <c r="F49" i="14"/>
  <c r="F53" i="14"/>
  <c r="F57" i="14"/>
  <c r="F61" i="14"/>
  <c r="F71" i="14"/>
  <c r="F75" i="14"/>
  <c r="F83" i="14"/>
  <c r="F69" i="14"/>
  <c r="F73" i="14"/>
  <c r="I70" i="14"/>
  <c r="E76" i="14"/>
  <c r="L77" i="14"/>
  <c r="G53" i="14"/>
  <c r="G57" i="14"/>
  <c r="G61" i="14"/>
  <c r="G75" i="14"/>
  <c r="G83" i="14"/>
  <c r="D81" i="14"/>
  <c r="I35" i="14"/>
  <c r="D53" i="14"/>
  <c r="E55" i="14"/>
  <c r="I37" i="14"/>
  <c r="L61" i="14"/>
  <c r="I61" i="14" s="1"/>
  <c r="L56" i="14"/>
  <c r="D51" i="14"/>
  <c r="L82" i="14"/>
  <c r="I82" i="14" s="1"/>
  <c r="L71" i="14"/>
  <c r="D59" i="14"/>
  <c r="I71" i="14"/>
  <c r="I58" i="14"/>
  <c r="L81" i="14"/>
  <c r="I29" i="14"/>
  <c r="L78" i="14"/>
  <c r="L73" i="14"/>
  <c r="I73" i="14" s="1"/>
  <c r="B98" i="14"/>
  <c r="B149" i="14" s="1"/>
  <c r="K52" i="14"/>
  <c r="L50" i="14"/>
  <c r="I50" i="14" s="1"/>
  <c r="D52" i="14"/>
  <c r="D74" i="14"/>
  <c r="D72" i="14"/>
  <c r="D58" i="14"/>
  <c r="K57" i="14"/>
  <c r="K62" i="14"/>
  <c r="L51" i="14"/>
  <c r="D61" i="14"/>
  <c r="D60" i="14"/>
  <c r="K78" i="14"/>
  <c r="D49" i="14"/>
  <c r="E58" i="14"/>
  <c r="D71" i="14"/>
  <c r="E74" i="14"/>
  <c r="D76" i="14"/>
  <c r="D78" i="14"/>
  <c r="K72" i="14"/>
  <c r="K74" i="14"/>
  <c r="I74" i="14" s="1"/>
  <c r="K53" i="14"/>
  <c r="I32" i="14"/>
  <c r="L74" i="14"/>
  <c r="L53" i="14"/>
  <c r="K60" i="14"/>
  <c r="K81" i="14"/>
  <c r="I39" i="14"/>
  <c r="D70" i="14"/>
  <c r="I30" i="14"/>
  <c r="L62" i="14"/>
  <c r="E52" i="14"/>
  <c r="I31" i="14"/>
  <c r="E62" i="14"/>
  <c r="K76" i="14"/>
  <c r="I76" i="14" s="1"/>
  <c r="K84" i="14"/>
  <c r="K77" i="14"/>
  <c r="I77" i="14" s="1"/>
  <c r="L59" i="14"/>
  <c r="I59" i="14" s="1"/>
  <c r="D62" i="14"/>
  <c r="E68" i="14"/>
  <c r="K51" i="14"/>
  <c r="E73" i="14"/>
  <c r="E77" i="14"/>
  <c r="E84" i="14"/>
  <c r="K68" i="14"/>
  <c r="I68" i="14" s="1"/>
  <c r="K63" i="14"/>
  <c r="I63" i="14" s="1"/>
  <c r="K69" i="14"/>
  <c r="I69" i="14" s="1"/>
  <c r="L60" i="14"/>
  <c r="D47" i="14"/>
  <c r="D55" i="14"/>
  <c r="D63" i="14"/>
  <c r="D73" i="14"/>
  <c r="E47" i="14"/>
  <c r="E63" i="14"/>
  <c r="E50" i="14"/>
  <c r="E85" i="14"/>
  <c r="K49" i="14"/>
  <c r="L72" i="14"/>
  <c r="D56" i="14"/>
  <c r="K83" i="14"/>
  <c r="L84" i="14"/>
  <c r="B105" i="14"/>
  <c r="B156" i="14" s="1"/>
  <c r="I55" i="14"/>
  <c r="B91" i="14"/>
  <c r="B142" i="14" s="1"/>
  <c r="B101" i="14"/>
  <c r="B152" i="14" s="1"/>
  <c r="I27" i="14"/>
  <c r="D57" i="14"/>
  <c r="D83" i="14"/>
  <c r="B89" i="14"/>
  <c r="D68" i="14"/>
  <c r="D69" i="14"/>
  <c r="D85" i="14"/>
  <c r="K56" i="14"/>
  <c r="E72" i="14"/>
  <c r="E51" i="14"/>
  <c r="E81" i="14"/>
  <c r="E60" i="14"/>
  <c r="B205" i="11"/>
  <c r="E230" i="11"/>
  <c r="H18" i="15" s="1"/>
  <c r="E196" i="11"/>
  <c r="H13" i="15" s="1"/>
  <c r="D65" i="12"/>
  <c r="H65" i="12"/>
  <c r="F65" i="12" s="1"/>
  <c r="B119" i="12"/>
  <c r="G64" i="11"/>
  <c r="G78" i="11"/>
  <c r="G69" i="11"/>
  <c r="I92" i="11"/>
  <c r="K92" i="11"/>
  <c r="N92" i="11"/>
  <c r="Q92" i="11"/>
  <c r="M92" i="11"/>
  <c r="P92" i="11"/>
  <c r="O92" i="11"/>
  <c r="E92" i="11"/>
  <c r="J92" i="11"/>
  <c r="D92" i="11"/>
  <c r="J81" i="11"/>
  <c r="P81" i="11"/>
  <c r="E81" i="11"/>
  <c r="I81" i="11"/>
  <c r="K81" i="11"/>
  <c r="Q81" i="11"/>
  <c r="M81" i="11"/>
  <c r="N81" i="11"/>
  <c r="O81" i="11"/>
  <c r="D81" i="11"/>
  <c r="E60" i="11"/>
  <c r="P60" i="11"/>
  <c r="L60" i="11"/>
  <c r="I60" i="11"/>
  <c r="D60" i="11"/>
  <c r="K60" i="11"/>
  <c r="O60" i="11"/>
  <c r="M60" i="11"/>
  <c r="Q60" i="11"/>
  <c r="N60" i="11"/>
  <c r="F117" i="10"/>
  <c r="O16" i="15" s="1"/>
  <c r="C124" i="10"/>
  <c r="G63" i="11"/>
  <c r="F87" i="12"/>
  <c r="H86" i="12"/>
  <c r="D86" i="12"/>
  <c r="I86" i="12"/>
  <c r="B206" i="11"/>
  <c r="E231" i="11"/>
  <c r="H19" i="15" s="1"/>
  <c r="E197" i="11"/>
  <c r="H14" i="15" s="1"/>
  <c r="I91" i="12"/>
  <c r="H91" i="12"/>
  <c r="F91" i="12" s="1"/>
  <c r="D91" i="12"/>
  <c r="G51" i="11"/>
  <c r="L52" i="14"/>
  <c r="B94" i="14"/>
  <c r="B145" i="14" s="1"/>
  <c r="C38" i="9"/>
  <c r="F38" i="9"/>
  <c r="D38" i="9" s="1"/>
  <c r="H38" i="9" s="1"/>
  <c r="H65" i="9"/>
  <c r="C64" i="14"/>
  <c r="C66" i="10"/>
  <c r="C68" i="11"/>
  <c r="C69" i="12"/>
  <c r="C80" i="14"/>
  <c r="H85" i="9"/>
  <c r="B141" i="11"/>
  <c r="B175" i="11" s="1"/>
  <c r="B209" i="11" s="1"/>
  <c r="M85" i="11"/>
  <c r="G85" i="11" s="1"/>
  <c r="F81" i="10"/>
  <c r="B105" i="11"/>
  <c r="L51" i="11"/>
  <c r="E63" i="10"/>
  <c r="C62" i="11"/>
  <c r="C54" i="14"/>
  <c r="C93" i="12"/>
  <c r="F12" i="9"/>
  <c r="D12" i="9" s="1"/>
  <c r="H12" i="9" s="1"/>
  <c r="C58" i="10"/>
  <c r="F85" i="10"/>
  <c r="F89" i="10"/>
  <c r="H28" i="12"/>
  <c r="F27" i="12"/>
  <c r="I52" i="11"/>
  <c r="K52" i="11"/>
  <c r="E52" i="11"/>
  <c r="M52" i="11"/>
  <c r="B106" i="11"/>
  <c r="H21" i="10"/>
  <c r="J71" i="10"/>
  <c r="B90" i="14"/>
  <c r="K48" i="14"/>
  <c r="I48" i="14" s="1"/>
  <c r="G40" i="11"/>
  <c r="E81" i="10"/>
  <c r="J47" i="10"/>
  <c r="M56" i="11"/>
  <c r="G56" i="11" s="1"/>
  <c r="E56" i="11"/>
  <c r="D56" i="11"/>
  <c r="M50" i="11"/>
  <c r="G50" i="11" s="1"/>
  <c r="J85" i="10"/>
  <c r="F80" i="12"/>
  <c r="G28" i="11"/>
  <c r="C99" i="11"/>
  <c r="C100" i="12"/>
  <c r="H73" i="9"/>
  <c r="H93" i="9"/>
  <c r="C106" i="9"/>
  <c r="F106" i="9"/>
  <c r="D106" i="9" s="1"/>
  <c r="H106" i="9" s="1"/>
  <c r="H110" i="9"/>
  <c r="H114" i="9"/>
  <c r="D47" i="10"/>
  <c r="D85" i="10"/>
  <c r="J82" i="11"/>
  <c r="F86" i="10"/>
  <c r="E86" i="10"/>
  <c r="M77" i="11"/>
  <c r="H63" i="9"/>
  <c r="H67" i="9"/>
  <c r="C67" i="12"/>
  <c r="C66" i="11"/>
  <c r="H123" i="9"/>
  <c r="E47" i="10"/>
  <c r="K75" i="14"/>
  <c r="L75" i="14"/>
  <c r="D79" i="12"/>
  <c r="F14" i="9"/>
  <c r="D14" i="9" s="1"/>
  <c r="H14" i="9" s="1"/>
  <c r="C14" i="9"/>
  <c r="H22" i="9"/>
  <c r="C79" i="14"/>
  <c r="D79" i="10"/>
  <c r="J79" i="10"/>
  <c r="E79" i="10"/>
  <c r="F79" i="10"/>
  <c r="N85" i="11"/>
  <c r="I55" i="11"/>
  <c r="G55" i="11" s="1"/>
  <c r="G27" i="11"/>
  <c r="G12" i="11"/>
  <c r="D51" i="10"/>
  <c r="J51" i="10"/>
  <c r="I85" i="12"/>
  <c r="H85" i="12"/>
  <c r="F85" i="12" s="1"/>
  <c r="D85" i="12"/>
  <c r="I50" i="12"/>
  <c r="B104" i="12"/>
  <c r="D50" i="12"/>
  <c r="H50" i="12"/>
  <c r="I61" i="12"/>
  <c r="H61" i="12"/>
  <c r="F61" i="12" s="1"/>
  <c r="D61" i="12"/>
  <c r="C10" i="9"/>
  <c r="C50" i="10" s="1"/>
  <c r="F10" i="9"/>
  <c r="D10" i="9" s="1"/>
  <c r="H56" i="9"/>
  <c r="H60" i="9"/>
  <c r="H64" i="9"/>
  <c r="H68" i="9"/>
  <c r="C94" i="11"/>
  <c r="C95" i="12"/>
  <c r="H94" i="9"/>
  <c r="D86" i="10"/>
  <c r="L82" i="11"/>
  <c r="E82" i="11"/>
  <c r="D82" i="11"/>
  <c r="D57" i="11"/>
  <c r="F11" i="9"/>
  <c r="D11" i="9" s="1"/>
  <c r="H11" i="9" s="1"/>
  <c r="F15" i="9"/>
  <c r="D15" i="9" s="1"/>
  <c r="H15" i="9" s="1"/>
  <c r="C15" i="9"/>
  <c r="D71" i="12"/>
  <c r="H71" i="12"/>
  <c r="F71" i="12" s="1"/>
  <c r="F52" i="10"/>
  <c r="I99" i="12"/>
  <c r="H99" i="12"/>
  <c r="F30" i="12"/>
  <c r="H58" i="12"/>
  <c r="F58" i="12" s="1"/>
  <c r="E49" i="14"/>
  <c r="L49" i="14"/>
  <c r="H43" i="9"/>
  <c r="H57" i="9"/>
  <c r="H69" i="9"/>
  <c r="H75" i="9"/>
  <c r="F153" i="9"/>
  <c r="D153" i="9" s="1"/>
  <c r="H153" i="9" s="1"/>
  <c r="D78" i="10"/>
  <c r="N77" i="11"/>
  <c r="O57" i="11"/>
  <c r="P59" i="11"/>
  <c r="F100" i="9"/>
  <c r="D100" i="9" s="1"/>
  <c r="H100" i="9" s="1"/>
  <c r="K47" i="14"/>
  <c r="D97" i="12"/>
  <c r="N57" i="11"/>
  <c r="J88" i="10"/>
  <c r="D77" i="11"/>
  <c r="P84" i="11"/>
  <c r="G84" i="11" s="1"/>
  <c r="D53" i="12"/>
  <c r="H51" i="12"/>
  <c r="F51" i="12" s="1"/>
  <c r="K49" i="11"/>
  <c r="J77" i="11"/>
  <c r="K57" i="11"/>
  <c r="G57" i="11" s="1"/>
  <c r="L57" i="14"/>
  <c r="I57" i="14" s="1"/>
  <c r="N49" i="11"/>
  <c r="C98" i="10"/>
  <c r="E48" i="10"/>
  <c r="H97" i="12"/>
  <c r="F97" i="12" s="1"/>
  <c r="M59" i="11"/>
  <c r="D83" i="10"/>
  <c r="E69" i="14"/>
  <c r="L49" i="11"/>
  <c r="Q57" i="11"/>
  <c r="L83" i="14"/>
  <c r="B121" i="11"/>
  <c r="B155" i="11" s="1"/>
  <c r="B189" i="11" s="1"/>
  <c r="B223" i="11" s="1"/>
  <c r="Q77" i="11"/>
  <c r="F60" i="14" l="1"/>
  <c r="D80" i="14"/>
  <c r="G80" i="14"/>
  <c r="F80" i="14"/>
  <c r="D54" i="14"/>
  <c r="G54" i="14"/>
  <c r="F54" i="14"/>
  <c r="F46" i="14" s="1"/>
  <c r="F17" i="14" s="1"/>
  <c r="D79" i="14"/>
  <c r="D67" i="14" s="1"/>
  <c r="D20" i="14" s="1"/>
  <c r="D21" i="14" s="1"/>
  <c r="G79" i="14"/>
  <c r="G67" i="14" s="1"/>
  <c r="G20" i="14" s="1"/>
  <c r="G21" i="14" s="1"/>
  <c r="F79" i="14"/>
  <c r="F67" i="14" s="1"/>
  <c r="F20" i="14" s="1"/>
  <c r="F21" i="14" s="1"/>
  <c r="I56" i="14"/>
  <c r="G161" i="14"/>
  <c r="G132" i="14"/>
  <c r="G135" i="14"/>
  <c r="G110" i="14"/>
  <c r="G134" i="14"/>
  <c r="G109" i="14"/>
  <c r="I78" i="14"/>
  <c r="D64" i="14"/>
  <c r="G64" i="14"/>
  <c r="F64" i="14"/>
  <c r="I72" i="14"/>
  <c r="I81" i="14"/>
  <c r="I83" i="14"/>
  <c r="I51" i="14"/>
  <c r="I53" i="14"/>
  <c r="I62" i="14"/>
  <c r="I52" i="14"/>
  <c r="I60" i="14"/>
  <c r="B140" i="14"/>
  <c r="I84" i="14"/>
  <c r="H10" i="9"/>
  <c r="C75" i="10"/>
  <c r="N68" i="11"/>
  <c r="P68" i="11"/>
  <c r="Q68" i="11"/>
  <c r="I68" i="11"/>
  <c r="M68" i="11"/>
  <c r="K68" i="11"/>
  <c r="O68" i="11"/>
  <c r="E68" i="11"/>
  <c r="L68" i="11"/>
  <c r="B122" i="11"/>
  <c r="B156" i="11" s="1"/>
  <c r="B190" i="11" s="1"/>
  <c r="B224" i="11" s="1"/>
  <c r="J68" i="11"/>
  <c r="D68" i="11"/>
  <c r="G81" i="11"/>
  <c r="I49" i="14"/>
  <c r="J50" i="10"/>
  <c r="J44" i="10" s="1"/>
  <c r="J10" i="10" s="1"/>
  <c r="E50" i="10"/>
  <c r="E44" i="10" s="1"/>
  <c r="E10" i="10" s="1"/>
  <c r="F50" i="10"/>
  <c r="C100" i="10"/>
  <c r="F118" i="10" s="1"/>
  <c r="O17" i="15" s="1"/>
  <c r="D50" i="10"/>
  <c r="D44" i="10" s="1"/>
  <c r="D10" i="10" s="1"/>
  <c r="P66" i="11"/>
  <c r="N66" i="11"/>
  <c r="M66" i="11"/>
  <c r="E66" i="11"/>
  <c r="Q66" i="11"/>
  <c r="B120" i="11"/>
  <c r="B154" i="11" s="1"/>
  <c r="B188" i="11" s="1"/>
  <c r="B222" i="11" s="1"/>
  <c r="K66" i="11"/>
  <c r="J66" i="11"/>
  <c r="D66" i="11"/>
  <c r="I66" i="11"/>
  <c r="L66" i="11"/>
  <c r="O66" i="11"/>
  <c r="H100" i="12"/>
  <c r="I100" i="12"/>
  <c r="D100" i="12"/>
  <c r="E131" i="11"/>
  <c r="H6" i="15" s="1"/>
  <c r="B140" i="11"/>
  <c r="B174" i="11" s="1"/>
  <c r="E165" i="11"/>
  <c r="H11" i="15" s="1"/>
  <c r="B139" i="11"/>
  <c r="B173" i="11" s="1"/>
  <c r="D162" i="11"/>
  <c r="G8" i="15" s="1"/>
  <c r="Q128" i="11"/>
  <c r="E164" i="11"/>
  <c r="H10" i="15" s="1"/>
  <c r="J164" i="11"/>
  <c r="E130" i="11"/>
  <c r="H5" i="15" s="1"/>
  <c r="N163" i="11"/>
  <c r="G164" i="11"/>
  <c r="I10" i="15" s="1"/>
  <c r="K198" i="11"/>
  <c r="O164" i="11"/>
  <c r="P231" i="11"/>
  <c r="P233" i="11"/>
  <c r="K131" i="11"/>
  <c r="N130" i="11"/>
  <c r="O130" i="11"/>
  <c r="P129" i="11"/>
  <c r="P163" i="11"/>
  <c r="I232" i="11"/>
  <c r="J198" i="11"/>
  <c r="J162" i="11"/>
  <c r="I130" i="11"/>
  <c r="P165" i="11"/>
  <c r="M165" i="11"/>
  <c r="D163" i="11"/>
  <c r="G9" i="15" s="1"/>
  <c r="I196" i="11"/>
  <c r="P230" i="11"/>
  <c r="E66" i="10"/>
  <c r="F66" i="10"/>
  <c r="J66" i="10"/>
  <c r="D66" i="10"/>
  <c r="C155" i="10"/>
  <c r="L48" i="11"/>
  <c r="L11" i="11" s="1"/>
  <c r="I67" i="12"/>
  <c r="I49" i="12" s="1"/>
  <c r="I12" i="12" s="1"/>
  <c r="B121" i="12"/>
  <c r="F128" i="12" s="1"/>
  <c r="D67" i="12"/>
  <c r="D49" i="12" s="1"/>
  <c r="D12" i="12" s="1"/>
  <c r="H67" i="12"/>
  <c r="F67" i="12" s="1"/>
  <c r="K94" i="11"/>
  <c r="D94" i="11"/>
  <c r="D75" i="11" s="1"/>
  <c r="D14" i="11" s="1"/>
  <c r="D15" i="11" s="1"/>
  <c r="I94" i="11"/>
  <c r="E94" i="11"/>
  <c r="E75" i="11" s="1"/>
  <c r="E14" i="11" s="1"/>
  <c r="E15" i="11" s="1"/>
  <c r="O94" i="11"/>
  <c r="P94" i="11"/>
  <c r="L94" i="11"/>
  <c r="L75" i="11" s="1"/>
  <c r="L14" i="11" s="1"/>
  <c r="L15" i="11" s="1"/>
  <c r="N94" i="11"/>
  <c r="N75" i="11" s="1"/>
  <c r="N14" i="11" s="1"/>
  <c r="N15" i="11" s="1"/>
  <c r="M94" i="11"/>
  <c r="J94" i="11"/>
  <c r="Q94" i="11"/>
  <c r="L64" i="14"/>
  <c r="E64" i="14"/>
  <c r="K64" i="14"/>
  <c r="G77" i="11"/>
  <c r="J75" i="11"/>
  <c r="J14" i="11" s="1"/>
  <c r="J15" i="11" s="1"/>
  <c r="F99" i="12"/>
  <c r="D93" i="12"/>
  <c r="D76" i="12" s="1"/>
  <c r="D15" i="12" s="1"/>
  <c r="D16" i="12" s="1"/>
  <c r="I93" i="12"/>
  <c r="I76" i="12" s="1"/>
  <c r="I15" i="12" s="1"/>
  <c r="I16" i="12" s="1"/>
  <c r="H93" i="12"/>
  <c r="G82" i="11"/>
  <c r="G60" i="11"/>
  <c r="D95" i="12"/>
  <c r="H95" i="12"/>
  <c r="I95" i="12"/>
  <c r="E99" i="11"/>
  <c r="N99" i="11"/>
  <c r="P99" i="11"/>
  <c r="L99" i="11"/>
  <c r="J99" i="11"/>
  <c r="O99" i="11"/>
  <c r="O75" i="11" s="1"/>
  <c r="O14" i="11" s="1"/>
  <c r="O15" i="11" s="1"/>
  <c r="Q99" i="11"/>
  <c r="D99" i="11"/>
  <c r="M99" i="11"/>
  <c r="K99" i="11"/>
  <c r="I99" i="11"/>
  <c r="G59" i="11"/>
  <c r="K46" i="14"/>
  <c r="K17" i="14" s="1"/>
  <c r="I47" i="14"/>
  <c r="F50" i="12"/>
  <c r="M75" i="11"/>
  <c r="M14" i="11" s="1"/>
  <c r="M15" i="11" s="1"/>
  <c r="G52" i="11"/>
  <c r="L54" i="14"/>
  <c r="K54" i="14"/>
  <c r="B96" i="14"/>
  <c r="E135" i="14" s="1"/>
  <c r="L28" i="15" s="1"/>
  <c r="E54" i="14"/>
  <c r="G92" i="11"/>
  <c r="F58" i="10"/>
  <c r="D58" i="10"/>
  <c r="E58" i="10"/>
  <c r="J58" i="10"/>
  <c r="C108" i="10"/>
  <c r="C130" i="10" s="1"/>
  <c r="C149" i="10" s="1"/>
  <c r="C146" i="10"/>
  <c r="F139" i="10"/>
  <c r="O13" i="15" s="1"/>
  <c r="P75" i="11"/>
  <c r="P14" i="11" s="1"/>
  <c r="P15" i="11" s="1"/>
  <c r="Q75" i="11"/>
  <c r="Q14" i="11" s="1"/>
  <c r="Q15" i="11" s="1"/>
  <c r="K79" i="14"/>
  <c r="L79" i="14"/>
  <c r="E79" i="14"/>
  <c r="I75" i="14"/>
  <c r="B141" i="14"/>
  <c r="C161" i="14"/>
  <c r="F33" i="15" s="1"/>
  <c r="I62" i="11"/>
  <c r="M62" i="11"/>
  <c r="M48" i="11" s="1"/>
  <c r="M11" i="11" s="1"/>
  <c r="N62" i="11"/>
  <c r="N48" i="11" s="1"/>
  <c r="N11" i="11" s="1"/>
  <c r="O62" i="11"/>
  <c r="O48" i="11" s="1"/>
  <c r="O11" i="11" s="1"/>
  <c r="K62" i="11"/>
  <c r="K48" i="11" s="1"/>
  <c r="K11" i="11" s="1"/>
  <c r="P62" i="11"/>
  <c r="P48" i="11" s="1"/>
  <c r="P11" i="11" s="1"/>
  <c r="B116" i="11"/>
  <c r="B150" i="11" s="1"/>
  <c r="B184" i="11" s="1"/>
  <c r="B218" i="11" s="1"/>
  <c r="L62" i="11"/>
  <c r="E62" i="11"/>
  <c r="E48" i="11" s="1"/>
  <c r="E11" i="11" s="1"/>
  <c r="D62" i="11"/>
  <c r="D48" i="11" s="1"/>
  <c r="D11" i="11" s="1"/>
  <c r="Q62" i="11"/>
  <c r="Q48" i="11" s="1"/>
  <c r="Q11" i="11" s="1"/>
  <c r="J62" i="11"/>
  <c r="E80" i="14"/>
  <c r="L80" i="14"/>
  <c r="K80" i="14"/>
  <c r="F86" i="12"/>
  <c r="F28" i="12"/>
  <c r="H56" i="12"/>
  <c r="F56" i="12" s="1"/>
  <c r="H83" i="12"/>
  <c r="I69" i="12"/>
  <c r="D69" i="12"/>
  <c r="H69" i="12"/>
  <c r="H49" i="12" s="1"/>
  <c r="B123" i="12"/>
  <c r="K75" i="11"/>
  <c r="K14" i="11" s="1"/>
  <c r="K15" i="11" s="1"/>
  <c r="G46" i="14" l="1"/>
  <c r="G17" i="14" s="1"/>
  <c r="D46" i="14"/>
  <c r="D17" i="14" s="1"/>
  <c r="D19" i="14" s="1"/>
  <c r="F19" i="14"/>
  <c r="F22" i="14"/>
  <c r="G19" i="14"/>
  <c r="G22" i="14"/>
  <c r="F185" i="14"/>
  <c r="F133" i="14"/>
  <c r="F109" i="14"/>
  <c r="F134" i="14"/>
  <c r="G159" i="14"/>
  <c r="F158" i="14"/>
  <c r="F110" i="14"/>
  <c r="F107" i="14"/>
  <c r="F108" i="14"/>
  <c r="G108" i="14"/>
  <c r="F135" i="14"/>
  <c r="F132" i="14"/>
  <c r="G160" i="14"/>
  <c r="G133" i="14"/>
  <c r="F160" i="14"/>
  <c r="F161" i="14"/>
  <c r="G158" i="14"/>
  <c r="F159" i="14"/>
  <c r="G107" i="14"/>
  <c r="E67" i="14"/>
  <c r="E20" i="14" s="1"/>
  <c r="E21" i="14" s="1"/>
  <c r="L107" i="14"/>
  <c r="D135" i="14"/>
  <c r="D160" i="14"/>
  <c r="D108" i="14"/>
  <c r="E132" i="14"/>
  <c r="L25" i="15" s="1"/>
  <c r="L67" i="14"/>
  <c r="L20" i="14" s="1"/>
  <c r="L21" i="14" s="1"/>
  <c r="D158" i="14"/>
  <c r="D161" i="14"/>
  <c r="C133" i="14"/>
  <c r="K26" i="15" s="1"/>
  <c r="L46" i="14"/>
  <c r="L17" i="14" s="1"/>
  <c r="L19" i="14" s="1"/>
  <c r="D132" i="14"/>
  <c r="C108" i="14"/>
  <c r="F26" i="15" s="1"/>
  <c r="K67" i="14"/>
  <c r="K20" i="14" s="1"/>
  <c r="K21" i="14" s="1"/>
  <c r="D107" i="14"/>
  <c r="D133" i="14"/>
  <c r="C109" i="14"/>
  <c r="F27" i="15" s="1"/>
  <c r="D109" i="14"/>
  <c r="D134" i="14"/>
  <c r="B134" i="14"/>
  <c r="J27" i="15" s="1"/>
  <c r="D159" i="14"/>
  <c r="D110" i="14"/>
  <c r="E46" i="14"/>
  <c r="E17" i="14" s="1"/>
  <c r="E19" i="14" s="1"/>
  <c r="I18" i="12"/>
  <c r="I14" i="12"/>
  <c r="P17" i="11"/>
  <c r="P13" i="11"/>
  <c r="D12" i="10"/>
  <c r="M13" i="11"/>
  <c r="M17" i="11"/>
  <c r="F49" i="12"/>
  <c r="H12" i="12"/>
  <c r="E17" i="11"/>
  <c r="E13" i="11"/>
  <c r="K17" i="11"/>
  <c r="K13" i="11"/>
  <c r="O17" i="11"/>
  <c r="O13" i="11"/>
  <c r="D13" i="11"/>
  <c r="D17" i="11"/>
  <c r="Q17" i="11"/>
  <c r="Q13" i="11"/>
  <c r="N13" i="11"/>
  <c r="N17" i="11"/>
  <c r="D18" i="12"/>
  <c r="D14" i="12"/>
  <c r="E16" i="10"/>
  <c r="E12" i="10"/>
  <c r="F130" i="12"/>
  <c r="O3" i="15" s="1"/>
  <c r="F131" i="12"/>
  <c r="O4" i="15" s="1"/>
  <c r="F133" i="12"/>
  <c r="O6" i="15" s="1"/>
  <c r="F132" i="12"/>
  <c r="O5" i="15" s="1"/>
  <c r="J12" i="10"/>
  <c r="H10" i="10"/>
  <c r="K19" i="14"/>
  <c r="L13" i="11"/>
  <c r="L17" i="11"/>
  <c r="E161" i="14"/>
  <c r="G33" i="15" s="1"/>
  <c r="F83" i="12"/>
  <c r="H76" i="12"/>
  <c r="F140" i="10"/>
  <c r="O14" i="15" s="1"/>
  <c r="I64" i="14"/>
  <c r="O197" i="11"/>
  <c r="L231" i="11"/>
  <c r="O128" i="11"/>
  <c r="N164" i="11"/>
  <c r="G163" i="11"/>
  <c r="I9" i="15" s="1"/>
  <c r="I128" i="11"/>
  <c r="M130" i="11"/>
  <c r="N165" i="11"/>
  <c r="C198" i="11"/>
  <c r="F15" i="15" s="1"/>
  <c r="G196" i="11"/>
  <c r="I13" i="15" s="1"/>
  <c r="M197" i="11"/>
  <c r="D199" i="11"/>
  <c r="G16" i="15" s="1"/>
  <c r="C232" i="11"/>
  <c r="F20" i="15" s="1"/>
  <c r="Q198" i="11"/>
  <c r="M129" i="11"/>
  <c r="L163" i="11"/>
  <c r="P131" i="11"/>
  <c r="C164" i="11"/>
  <c r="F10" i="15" s="1"/>
  <c r="M163" i="11"/>
  <c r="G130" i="11"/>
  <c r="I5" i="15" s="1"/>
  <c r="I165" i="11"/>
  <c r="L128" i="11"/>
  <c r="P198" i="11"/>
  <c r="M128" i="11"/>
  <c r="G66" i="11"/>
  <c r="G128" i="12"/>
  <c r="G130" i="12" s="1"/>
  <c r="I107" i="14"/>
  <c r="H25" i="15" s="1"/>
  <c r="J48" i="11"/>
  <c r="J11" i="11" s="1"/>
  <c r="L110" i="14"/>
  <c r="I110" i="14"/>
  <c r="H28" i="15" s="1"/>
  <c r="E108" i="14"/>
  <c r="G26" i="15" s="1"/>
  <c r="C135" i="14"/>
  <c r="K28" i="15" s="1"/>
  <c r="C134" i="14"/>
  <c r="K27" i="15" s="1"/>
  <c r="K159" i="14"/>
  <c r="K107" i="14"/>
  <c r="J110" i="14"/>
  <c r="I28" i="15" s="1"/>
  <c r="K160" i="14"/>
  <c r="K132" i="14"/>
  <c r="C160" i="14"/>
  <c r="F32" i="15" s="1"/>
  <c r="K109" i="14"/>
  <c r="G99" i="11"/>
  <c r="F93" i="12"/>
  <c r="Q130" i="11"/>
  <c r="L162" i="11"/>
  <c r="Q162" i="11"/>
  <c r="N231" i="11"/>
  <c r="G197" i="11"/>
  <c r="I14" i="15" s="1"/>
  <c r="J131" i="11"/>
  <c r="K162" i="11"/>
  <c r="P197" i="11"/>
  <c r="I197" i="11"/>
  <c r="O165" i="11"/>
  <c r="C197" i="11"/>
  <c r="F14" i="15" s="1"/>
  <c r="I162" i="11"/>
  <c r="K164" i="11"/>
  <c r="J130" i="11"/>
  <c r="K197" i="11"/>
  <c r="O196" i="11"/>
  <c r="J165" i="11"/>
  <c r="M196" i="11"/>
  <c r="I198" i="11"/>
  <c r="Q233" i="11"/>
  <c r="M198" i="11"/>
  <c r="P162" i="11"/>
  <c r="L198" i="11"/>
  <c r="P128" i="11"/>
  <c r="B208" i="11"/>
  <c r="E199" i="11"/>
  <c r="H16" i="15" s="1"/>
  <c r="E233" i="11"/>
  <c r="H21" i="15" s="1"/>
  <c r="D128" i="12"/>
  <c r="D130" i="12" s="1"/>
  <c r="B207" i="11"/>
  <c r="E198" i="11"/>
  <c r="H15" i="15" s="1"/>
  <c r="E232" i="11"/>
  <c r="H20" i="15" s="1"/>
  <c r="E160" i="14"/>
  <c r="G32" i="15" s="1"/>
  <c r="B135" i="14"/>
  <c r="J28" i="15" s="1"/>
  <c r="E159" i="14"/>
  <c r="G31" i="15" s="1"/>
  <c r="C159" i="14"/>
  <c r="F31" i="15" s="1"/>
  <c r="F157" i="10"/>
  <c r="O10" i="15" s="1"/>
  <c r="E158" i="10"/>
  <c r="D158" i="10"/>
  <c r="H158" i="10"/>
  <c r="F158" i="10"/>
  <c r="O11" i="15" s="1"/>
  <c r="K232" i="11"/>
  <c r="I129" i="11"/>
  <c r="G198" i="11"/>
  <c r="I15" i="15" s="1"/>
  <c r="L233" i="11"/>
  <c r="Q165" i="11"/>
  <c r="Q197" i="11"/>
  <c r="D128" i="11"/>
  <c r="G3" i="15" s="1"/>
  <c r="L164" i="11"/>
  <c r="C231" i="11"/>
  <c r="F19" i="15" s="1"/>
  <c r="J19" i="15" s="1"/>
  <c r="J231" i="11"/>
  <c r="P164" i="11"/>
  <c r="J232" i="11"/>
  <c r="Q230" i="11"/>
  <c r="C165" i="11"/>
  <c r="F11" i="15" s="1"/>
  <c r="I164" i="11"/>
  <c r="N129" i="11"/>
  <c r="O233" i="11"/>
  <c r="L196" i="11"/>
  <c r="N131" i="11"/>
  <c r="D231" i="11"/>
  <c r="G19" i="15" s="1"/>
  <c r="K196" i="11"/>
  <c r="O231" i="11"/>
  <c r="J129" i="11"/>
  <c r="E75" i="10"/>
  <c r="E69" i="10" s="1"/>
  <c r="E13" i="10" s="1"/>
  <c r="E14" i="10" s="1"/>
  <c r="J75" i="10"/>
  <c r="J69" i="10" s="1"/>
  <c r="J13" i="10" s="1"/>
  <c r="F75" i="10"/>
  <c r="F69" i="10" s="1"/>
  <c r="F13" i="10" s="1"/>
  <c r="F14" i="10" s="1"/>
  <c r="D75" i="10"/>
  <c r="D69" i="10" s="1"/>
  <c r="D13" i="10" s="1"/>
  <c r="D14" i="10" s="1"/>
  <c r="C128" i="12"/>
  <c r="C130" i="12" s="1"/>
  <c r="G94" i="11"/>
  <c r="I75" i="11"/>
  <c r="J109" i="14"/>
  <c r="I27" i="15" s="1"/>
  <c r="L160" i="14"/>
  <c r="J107" i="14"/>
  <c r="I25" i="15" s="1"/>
  <c r="K108" i="14"/>
  <c r="H140" i="10"/>
  <c r="M232" i="11"/>
  <c r="J128" i="11"/>
  <c r="P232" i="11"/>
  <c r="M164" i="11"/>
  <c r="D165" i="11"/>
  <c r="G11" i="15" s="1"/>
  <c r="L197" i="11"/>
  <c r="G162" i="11"/>
  <c r="I8" i="15" s="1"/>
  <c r="N232" i="11"/>
  <c r="Q163" i="11"/>
  <c r="Q196" i="11"/>
  <c r="K233" i="11"/>
  <c r="J199" i="11"/>
  <c r="O232" i="11"/>
  <c r="L199" i="11"/>
  <c r="D129" i="11"/>
  <c r="G4" i="15" s="1"/>
  <c r="N197" i="11"/>
  <c r="G165" i="11"/>
  <c r="I11" i="15" s="1"/>
  <c r="D230" i="11"/>
  <c r="G18" i="15" s="1"/>
  <c r="C233" i="11"/>
  <c r="F21" i="15" s="1"/>
  <c r="G128" i="11"/>
  <c r="I3" i="15" s="1"/>
  <c r="N199" i="11"/>
  <c r="O198" i="11"/>
  <c r="G230" i="11"/>
  <c r="I18" i="15" s="1"/>
  <c r="O199" i="11"/>
  <c r="B147" i="14"/>
  <c r="D183" i="14" s="1"/>
  <c r="L132" i="14"/>
  <c r="L161" i="14"/>
  <c r="L109" i="14"/>
  <c r="L159" i="14"/>
  <c r="L158" i="14"/>
  <c r="L108" i="14"/>
  <c r="L135" i="14"/>
  <c r="L133" i="14"/>
  <c r="C158" i="14"/>
  <c r="F30" i="15" s="1"/>
  <c r="G62" i="11"/>
  <c r="G48" i="11" s="1"/>
  <c r="I48" i="11"/>
  <c r="I11" i="11" s="1"/>
  <c r="E107" i="14"/>
  <c r="G25" i="15" s="1"/>
  <c r="K134" i="14"/>
  <c r="E109" i="14"/>
  <c r="G27" i="15" s="1"/>
  <c r="K133" i="14"/>
  <c r="I79" i="14"/>
  <c r="E140" i="10"/>
  <c r="E118" i="10"/>
  <c r="H118" i="10"/>
  <c r="I199" i="11"/>
  <c r="M231" i="11"/>
  <c r="D196" i="11"/>
  <c r="G13" i="15" s="1"/>
  <c r="C129" i="11"/>
  <c r="F4" i="15" s="1"/>
  <c r="C128" i="11"/>
  <c r="F3" i="15" s="1"/>
  <c r="G131" i="11"/>
  <c r="I6" i="15" s="1"/>
  <c r="I163" i="11"/>
  <c r="O230" i="11"/>
  <c r="D164" i="11"/>
  <c r="G10" i="15" s="1"/>
  <c r="N233" i="11"/>
  <c r="C162" i="11"/>
  <c r="F8" i="15" s="1"/>
  <c r="J8" i="15" s="1"/>
  <c r="N162" i="11"/>
  <c r="N198" i="11"/>
  <c r="D197" i="11"/>
  <c r="G14" i="15" s="1"/>
  <c r="D198" i="11"/>
  <c r="G15" i="15" s="1"/>
  <c r="L165" i="11"/>
  <c r="J233" i="11"/>
  <c r="P199" i="11"/>
  <c r="L131" i="11"/>
  <c r="L230" i="11"/>
  <c r="M233" i="11"/>
  <c r="G233" i="11"/>
  <c r="I21" i="15" s="1"/>
  <c r="J196" i="11"/>
  <c r="G232" i="11"/>
  <c r="I20" i="15" s="1"/>
  <c r="F44" i="10"/>
  <c r="F10" i="10" s="1"/>
  <c r="K110" i="14"/>
  <c r="K135" i="14"/>
  <c r="C110" i="14"/>
  <c r="F28" i="15" s="1"/>
  <c r="C107" i="14"/>
  <c r="F25" i="15" s="1"/>
  <c r="E134" i="14"/>
  <c r="L27" i="15" s="1"/>
  <c r="F69" i="12"/>
  <c r="I80" i="14"/>
  <c r="I109" i="14"/>
  <c r="H27" i="15" s="1"/>
  <c r="E158" i="14"/>
  <c r="G30" i="15" s="1"/>
  <c r="K158" i="14"/>
  <c r="J108" i="14"/>
  <c r="I26" i="15" s="1"/>
  <c r="E133" i="14"/>
  <c r="L26" i="15" s="1"/>
  <c r="B132" i="14"/>
  <c r="J25" i="15" s="1"/>
  <c r="K161" i="14"/>
  <c r="D140" i="10"/>
  <c r="F95" i="12"/>
  <c r="D130" i="11"/>
  <c r="G5" i="15" s="1"/>
  <c r="D232" i="11"/>
  <c r="G20" i="15" s="1"/>
  <c r="K129" i="11"/>
  <c r="O129" i="11"/>
  <c r="D131" i="11"/>
  <c r="G6" i="15" s="1"/>
  <c r="C230" i="11"/>
  <c r="F18" i="15" s="1"/>
  <c r="J18" i="15" s="1"/>
  <c r="O131" i="11"/>
  <c r="M199" i="11"/>
  <c r="M162" i="11"/>
  <c r="P130" i="11"/>
  <c r="J230" i="11"/>
  <c r="N230" i="11"/>
  <c r="K128" i="11"/>
  <c r="K165" i="11"/>
  <c r="J163" i="11"/>
  <c r="C131" i="11"/>
  <c r="F6" i="15" s="1"/>
  <c r="J6" i="15" s="1"/>
  <c r="I131" i="11"/>
  <c r="I233" i="11"/>
  <c r="O163" i="11"/>
  <c r="C163" i="11"/>
  <c r="F9" i="15" s="1"/>
  <c r="J9" i="15" s="1"/>
  <c r="M230" i="11"/>
  <c r="C130" i="11"/>
  <c r="F5" i="15" s="1"/>
  <c r="J5" i="15" s="1"/>
  <c r="N128" i="11"/>
  <c r="Q232" i="11"/>
  <c r="N196" i="11"/>
  <c r="F100" i="12"/>
  <c r="G68" i="11"/>
  <c r="L134" i="14"/>
  <c r="I108" i="14"/>
  <c r="H26" i="15" s="1"/>
  <c r="C132" i="14"/>
  <c r="K25" i="15" s="1"/>
  <c r="B133" i="14"/>
  <c r="J26" i="15" s="1"/>
  <c r="E110" i="14"/>
  <c r="G28" i="15" s="1"/>
  <c r="I160" i="14"/>
  <c r="H32" i="15" s="1"/>
  <c r="C183" i="14"/>
  <c r="K30" i="15" s="1"/>
  <c r="B184" i="14"/>
  <c r="J31" i="15" s="1"/>
  <c r="K183" i="14"/>
  <c r="I54" i="14"/>
  <c r="I46" i="14" s="1"/>
  <c r="D118" i="10"/>
  <c r="P196" i="11"/>
  <c r="Q129" i="11"/>
  <c r="L130" i="11"/>
  <c r="O162" i="11"/>
  <c r="Q131" i="11"/>
  <c r="G231" i="11"/>
  <c r="I19" i="15" s="1"/>
  <c r="C196" i="11"/>
  <c r="F13" i="15" s="1"/>
  <c r="J13" i="15" s="1"/>
  <c r="L232" i="11"/>
  <c r="J197" i="11"/>
  <c r="C199" i="11"/>
  <c r="F16" i="15" s="1"/>
  <c r="J16" i="15" s="1"/>
  <c r="K230" i="11"/>
  <c r="Q164" i="11"/>
  <c r="Q231" i="11"/>
  <c r="K231" i="11"/>
  <c r="I231" i="11"/>
  <c r="D233" i="11"/>
  <c r="G21" i="15" s="1"/>
  <c r="I230" i="11"/>
  <c r="K163" i="11"/>
  <c r="G199" i="11"/>
  <c r="I16" i="15" s="1"/>
  <c r="G129" i="11"/>
  <c r="I4" i="15" s="1"/>
  <c r="L129" i="11"/>
  <c r="M131" i="11"/>
  <c r="K199" i="11"/>
  <c r="Q199" i="11"/>
  <c r="K130" i="11"/>
  <c r="D22" i="14" l="1"/>
  <c r="G185" i="14"/>
  <c r="F186" i="14"/>
  <c r="G186" i="14"/>
  <c r="F183" i="14"/>
  <c r="G183" i="14"/>
  <c r="L183" i="14"/>
  <c r="F184" i="14"/>
  <c r="G184" i="14"/>
  <c r="I159" i="14"/>
  <c r="H31" i="15" s="1"/>
  <c r="C185" i="14"/>
  <c r="K32" i="15" s="1"/>
  <c r="K186" i="14"/>
  <c r="L186" i="14"/>
  <c r="J158" i="14"/>
  <c r="I30" i="15" s="1"/>
  <c r="E184" i="14"/>
  <c r="L31" i="15" s="1"/>
  <c r="I161" i="14"/>
  <c r="H33" i="15" s="1"/>
  <c r="E185" i="14"/>
  <c r="L32" i="15" s="1"/>
  <c r="J161" i="14"/>
  <c r="I33" i="15" s="1"/>
  <c r="C184" i="14"/>
  <c r="K31" i="15" s="1"/>
  <c r="L185" i="14"/>
  <c r="J159" i="14"/>
  <c r="I31" i="15" s="1"/>
  <c r="C186" i="14"/>
  <c r="K33" i="15" s="1"/>
  <c r="K184" i="14"/>
  <c r="E183" i="14"/>
  <c r="L30" i="15" s="1"/>
  <c r="B183" i="14"/>
  <c r="J30" i="15" s="1"/>
  <c r="J160" i="14"/>
  <c r="I32" i="15" s="1"/>
  <c r="B186" i="14"/>
  <c r="J33" i="15" s="1"/>
  <c r="K185" i="14"/>
  <c r="L184" i="14"/>
  <c r="I158" i="14"/>
  <c r="H30" i="15" s="1"/>
  <c r="B185" i="14"/>
  <c r="J32" i="15" s="1"/>
  <c r="E186" i="14"/>
  <c r="L33" i="15" s="1"/>
  <c r="I17" i="14"/>
  <c r="I19" i="14" s="1"/>
  <c r="L22" i="14"/>
  <c r="K22" i="14"/>
  <c r="D184" i="14"/>
  <c r="D185" i="14"/>
  <c r="E22" i="14"/>
  <c r="I67" i="14"/>
  <c r="I20" i="14"/>
  <c r="I21" i="14" s="1"/>
  <c r="D186" i="14"/>
  <c r="J4" i="15"/>
  <c r="P14" i="15"/>
  <c r="H139" i="10"/>
  <c r="P13" i="15" s="1"/>
  <c r="J14" i="15"/>
  <c r="H15" i="12"/>
  <c r="F76" i="12"/>
  <c r="H12" i="10"/>
  <c r="H16" i="10"/>
  <c r="J20" i="15"/>
  <c r="H13" i="10"/>
  <c r="H14" i="10" s="1"/>
  <c r="J14" i="10"/>
  <c r="J17" i="11"/>
  <c r="J13" i="11"/>
  <c r="J16" i="10"/>
  <c r="F16" i="10"/>
  <c r="F12" i="10"/>
  <c r="H14" i="12"/>
  <c r="F12" i="12"/>
  <c r="M17" i="15"/>
  <c r="D117" i="10"/>
  <c r="M16" i="15" s="1"/>
  <c r="M14" i="15"/>
  <c r="D139" i="10"/>
  <c r="M13" i="15" s="1"/>
  <c r="P17" i="15"/>
  <c r="H117" i="10"/>
  <c r="P16" i="15" s="1"/>
  <c r="I13" i="11"/>
  <c r="G11" i="11"/>
  <c r="P11" i="15"/>
  <c r="H157" i="10"/>
  <c r="P10" i="15" s="1"/>
  <c r="P3" i="15"/>
  <c r="G131" i="12"/>
  <c r="J10" i="15"/>
  <c r="E117" i="10"/>
  <c r="N16" i="15" s="1"/>
  <c r="N17" i="15"/>
  <c r="J21" i="15"/>
  <c r="I14" i="11"/>
  <c r="G75" i="11"/>
  <c r="J11" i="15"/>
  <c r="M11" i="15"/>
  <c r="D157" i="10"/>
  <c r="M10" i="15" s="1"/>
  <c r="J15" i="15"/>
  <c r="E139" i="10"/>
  <c r="N13" i="15" s="1"/>
  <c r="N14" i="15"/>
  <c r="N11" i="15"/>
  <c r="E157" i="10"/>
  <c r="N10" i="15" s="1"/>
  <c r="J3" i="15"/>
  <c r="M3" i="15"/>
  <c r="C131" i="12"/>
  <c r="D131" i="12"/>
  <c r="N3" i="15"/>
  <c r="D16" i="10"/>
  <c r="I22" i="14" l="1"/>
  <c r="G13" i="11"/>
  <c r="G18" i="11"/>
  <c r="G132" i="12"/>
  <c r="P4" i="15"/>
  <c r="C132" i="12"/>
  <c r="M4" i="15"/>
  <c r="G14" i="11"/>
  <c r="G15" i="11" s="1"/>
  <c r="I15" i="11"/>
  <c r="H16" i="12"/>
  <c r="F15" i="12"/>
  <c r="F16" i="12" s="1"/>
  <c r="I17" i="11"/>
  <c r="F18" i="12"/>
  <c r="F14" i="12"/>
  <c r="D132" i="12"/>
  <c r="N4" i="15"/>
  <c r="H18" i="12"/>
  <c r="N5" i="15" l="1"/>
  <c r="D133" i="12"/>
  <c r="N6" i="15" s="1"/>
  <c r="P5" i="15"/>
  <c r="G133" i="12"/>
  <c r="P6" i="15" s="1"/>
  <c r="M5" i="15"/>
  <c r="C133" i="12"/>
  <c r="M6" i="15" s="1"/>
  <c r="G17" i="11"/>
</calcChain>
</file>

<file path=xl/sharedStrings.xml><?xml version="1.0" encoding="utf-8"?>
<sst xmlns="http://schemas.openxmlformats.org/spreadsheetml/2006/main" count="1423" uniqueCount="339">
  <si>
    <t>ANALISIS DE COSTOS Y DETERMINACION DE PRECIOS DE VENTA (/i1,1/,84)</t>
  </si>
  <si>
    <t>PRODUCTO</t>
  </si>
  <si>
    <t>Unidad</t>
  </si>
  <si>
    <t>Precio de</t>
  </si>
  <si>
    <t>Costo oper.</t>
  </si>
  <si>
    <t>Proveedor</t>
  </si>
  <si>
    <t>venta CF</t>
  </si>
  <si>
    <t>venta SF</t>
  </si>
  <si>
    <t>CF</t>
  </si>
  <si>
    <t>SF</t>
  </si>
  <si>
    <t>$us/unid.</t>
  </si>
  <si>
    <t>MATERIALES COMUNES PARA EL VIDRIO TEMPLADO Y LA CARPINTERIA DE ALUMINIO</t>
  </si>
  <si>
    <t>Silicona transparente, blanca o negra</t>
  </si>
  <si>
    <t>Tubo</t>
  </si>
  <si>
    <t>Silicona estructural</t>
  </si>
  <si>
    <t xml:space="preserve">Amerix </t>
  </si>
  <si>
    <t>Cinta masking 1/2 " (rollo de 20)</t>
  </si>
  <si>
    <t>Rollo</t>
  </si>
  <si>
    <t xml:space="preserve">Ribepar </t>
  </si>
  <si>
    <t>"U" 15 x 15   ( 16x16 ) - 0,159 Kg/Mt.</t>
  </si>
  <si>
    <t>Mt lineal</t>
  </si>
  <si>
    <t>Indalum</t>
  </si>
  <si>
    <t>Tubo 50 x 50 - 1,037 Kg/Mt.</t>
  </si>
  <si>
    <t>Tubo 40 x 40 - 0,624 Kg/Mt.</t>
  </si>
  <si>
    <t>Tubo 80 x 40 - 0,948 Kg/Mt.</t>
  </si>
  <si>
    <t>Tubo 60 x 30 - 0,705 Kg/Mt.</t>
  </si>
  <si>
    <t>Tubo 75 x 25 - 0,786 Kg/Mt.</t>
  </si>
  <si>
    <t>Felpa</t>
  </si>
  <si>
    <t>Remache 4 x 10</t>
  </si>
  <si>
    <t>Pza.</t>
  </si>
  <si>
    <t>Perbol</t>
  </si>
  <si>
    <t>Tarugos No. 6</t>
  </si>
  <si>
    <t xml:space="preserve">Tornillos 8 x 1 1/2 </t>
  </si>
  <si>
    <t xml:space="preserve">Tornillos 8 x 1/2 </t>
  </si>
  <si>
    <t>PARA EL VIDRIO TEMPLADO</t>
  </si>
  <si>
    <t>Vidrio Templado 10mm Incoloro</t>
  </si>
  <si>
    <t>Mt²</t>
  </si>
  <si>
    <t>Revibol</t>
  </si>
  <si>
    <t>Vidrio Templado 8mm Incoloro</t>
  </si>
  <si>
    <t>Vidrio Templado 6mm Incoloro</t>
  </si>
  <si>
    <t>Vidrio Templado 5mm Incoloro</t>
  </si>
  <si>
    <t>Vidrio Templado 4mm Incoloro</t>
  </si>
  <si>
    <t>Vidrio Templado 10mm Color</t>
  </si>
  <si>
    <t>Vidrio Templado 8mm Color</t>
  </si>
  <si>
    <t>Vidrio Templado 6mm Color</t>
  </si>
  <si>
    <t>Vidrio Templado 5mm Color</t>
  </si>
  <si>
    <t>Vidrio Templado 4mm Color</t>
  </si>
  <si>
    <t>Vidrio Templado Catedral 10mm Incoloro</t>
  </si>
  <si>
    <t>Vidrio Templado Catedral 10mm Color</t>
  </si>
  <si>
    <t>Vedapres 001 - h (2,10mt/barra) Inc.</t>
  </si>
  <si>
    <t>Barra</t>
  </si>
  <si>
    <t>Florencio Rivero</t>
  </si>
  <si>
    <t>Vedapres 002 - Uc (2,10mt/barra) Inc.</t>
  </si>
  <si>
    <t>Vedapres 003 - H (2,10mt/barra) Inc.</t>
  </si>
  <si>
    <t>Vedapres 001 - h (2,10mt/barra) Bce.</t>
  </si>
  <si>
    <t>Vedapres 002 - Uc (2,10mt/barra) Bce.</t>
  </si>
  <si>
    <t>Vedapres 003 - H (2,10mt/barra) Bce.</t>
  </si>
  <si>
    <t>Freno Hidráulico DORMA</t>
  </si>
  <si>
    <t>Freno Hidráulico HyH</t>
  </si>
  <si>
    <t>Cristembo La Paz</t>
  </si>
  <si>
    <t>Manijones de vidrio</t>
  </si>
  <si>
    <t>1003 ( cromado ó bronce viejo )</t>
  </si>
  <si>
    <t>1013 ( cromado ó bronce viejo )</t>
  </si>
  <si>
    <t>1038 ( cromado ó bronce viejo )</t>
  </si>
  <si>
    <t>1038-C ( cromado ó bronce viejo )</t>
  </si>
  <si>
    <t>1101 ( cromado ó bronce viejo )</t>
  </si>
  <si>
    <t>1103 ( cromado ó bronce viejo )</t>
  </si>
  <si>
    <t>1114 ( cromado ó bronce viejo )</t>
  </si>
  <si>
    <t>1115 ( cromado ó bronce viejo )</t>
  </si>
  <si>
    <t>1117 ( cromado ó bronce viejo )</t>
  </si>
  <si>
    <t>1123 ( cromado ó bronce viejo )</t>
  </si>
  <si>
    <t>1125 ( cromado ó bronce viejo )</t>
  </si>
  <si>
    <t>1125-A ( cromado ó bronce viejo )</t>
  </si>
  <si>
    <t>1201 ( cromado ó bronce viejo )</t>
  </si>
  <si>
    <t>1203 ( cromado ó bronce viejo )</t>
  </si>
  <si>
    <t>1209 ( cromado ó bronce viejo )</t>
  </si>
  <si>
    <t>1230 ( cromado ó bronce viejo )</t>
  </si>
  <si>
    <t>1302 ( cromado ó bronce viejo )</t>
  </si>
  <si>
    <t>1306 ( cromado ó bronce viejo )</t>
  </si>
  <si>
    <t>1310 ( cromado ó bronce viejo )</t>
  </si>
  <si>
    <t>1316 ( cromado ó bronce viejo )</t>
  </si>
  <si>
    <t>1319 ( cromado ó bronce viejo )</t>
  </si>
  <si>
    <t>1329 ( cromado ó bronce viejo )</t>
  </si>
  <si>
    <t>1335 ( cromado ó bronce viejo )</t>
  </si>
  <si>
    <t>1335-C ( cromado ó bronce viejo )</t>
  </si>
  <si>
    <t>1504 ( cromado ó bronce viejo )</t>
  </si>
  <si>
    <t>1510 ( cromado ó bronce viejo )</t>
  </si>
  <si>
    <t>1511 ( cromado ó bronce viejo )</t>
  </si>
  <si>
    <t>1511-A ( cromado ó bronce viejo )</t>
  </si>
  <si>
    <t>1520 ( cromado ó bronce viejo )</t>
  </si>
  <si>
    <t>1523 ( cromado ó bronce viejo )</t>
  </si>
  <si>
    <t>1531 ( cromado ó bronce viejo )</t>
  </si>
  <si>
    <t>1629-J ( cromado ó bronce viejo )</t>
  </si>
  <si>
    <t>1629-P ( cromado ó bronce viejo )</t>
  </si>
  <si>
    <t>1636-AL ( cromado ó bronce viejo )</t>
  </si>
  <si>
    <t>1800 ( cromado ó bronce viejo )</t>
  </si>
  <si>
    <t>1800-C ( cromado ó bronce viejo )</t>
  </si>
  <si>
    <t>Mano de obra instalaciòn templado</t>
  </si>
  <si>
    <t>Hilarion o Silverio o Octavio</t>
  </si>
  <si>
    <t>MATERIALES Y MATERIA PRIMA PARA LA CARPINTERIA DE ALUMINIO</t>
  </si>
  <si>
    <t>Aluminio Anodizado Bronce o Champagne</t>
  </si>
  <si>
    <t>Kgr.</t>
  </si>
  <si>
    <t>Aluminio Anodizado natural</t>
  </si>
  <si>
    <t>Vidrio Incolororo 3mm</t>
  </si>
  <si>
    <t>Vidrio Incolororo 4mm</t>
  </si>
  <si>
    <t>Vidrio Incolororo 5mm</t>
  </si>
  <si>
    <t>Vidrio Incolororo 6mm</t>
  </si>
  <si>
    <t>Vidrio Color 3mm</t>
  </si>
  <si>
    <t>Vidrio Color 4mm</t>
  </si>
  <si>
    <t>Vidrio Color 5mm</t>
  </si>
  <si>
    <t>Vidrio Color 6mm</t>
  </si>
  <si>
    <t>Vidrio catedral claro</t>
  </si>
  <si>
    <t>Vidrio catedral color</t>
  </si>
  <si>
    <t>Vidrio Reflectivo Bronce o Gris 4mm</t>
  </si>
  <si>
    <t>Vidrio Reflectivo Bronce o Gris 5mm</t>
  </si>
  <si>
    <t>Vidrio Reflectivo Bronce o Gris 6mm</t>
  </si>
  <si>
    <t>Vidrio Reflectivo Azurlite 4mm</t>
  </si>
  <si>
    <t>Vidrio Reflectivo Azurlite 5mm</t>
  </si>
  <si>
    <t>Vidrio Reflectivo Azurlite 6mm</t>
  </si>
  <si>
    <t>Cinta dob.cont. 4972 - 3M 1/2"=12mm (rollo de 20)</t>
  </si>
  <si>
    <t>America home center</t>
  </si>
  <si>
    <t>Cinta dob.cont. 4972 - 3M 3/4"=19mm (rollo de 20)</t>
  </si>
  <si>
    <t>Cinta dob.cont. 4972 - 3M 1"=25mm (rollo de 20)</t>
  </si>
  <si>
    <t>Burlete</t>
  </si>
  <si>
    <t>Patin serie 25</t>
  </si>
  <si>
    <t>Patin serie 20</t>
  </si>
  <si>
    <t>Patin serie 50</t>
  </si>
  <si>
    <t>Patin serie 4000</t>
  </si>
  <si>
    <t>Patin shower door</t>
  </si>
  <si>
    <t>Cierre serie 20</t>
  </si>
  <si>
    <t>Cierre serie 25</t>
  </si>
  <si>
    <t>Guia exterior Shower door</t>
  </si>
  <si>
    <t>Guia serie 50</t>
  </si>
  <si>
    <t>Guia serie 20</t>
  </si>
  <si>
    <t>Guia serie 25</t>
  </si>
  <si>
    <t>Par</t>
  </si>
  <si>
    <t>Bisagra serie 32 y 42</t>
  </si>
  <si>
    <t>Bisagra serie 35</t>
  </si>
  <si>
    <t>Bisagra serie 45</t>
  </si>
  <si>
    <t>Brazo de apertura p/proyectante 300</t>
  </si>
  <si>
    <t>Brazo de apertura p/proyectante 400</t>
  </si>
  <si>
    <t>Brazo de apertura p/proyectante 500</t>
  </si>
  <si>
    <t>Brazo de apertura p/proyectante 650</t>
  </si>
  <si>
    <t>Brazo de apertura p/proyectante 900</t>
  </si>
  <si>
    <t>Brazo de apertura p/proyectante 1200</t>
  </si>
  <si>
    <t>Manija para proyectante</t>
  </si>
  <si>
    <t>Chapa p/puerta de aluminio</t>
  </si>
  <si>
    <t>Mano de obra carpinterìa de aluminio.</t>
  </si>
  <si>
    <t>Mano de obra fachadas, techos y especiales</t>
  </si>
  <si>
    <t>Mano de obra colocación espejos</t>
  </si>
  <si>
    <t>Mano de obra fabricación malleras</t>
  </si>
  <si>
    <t>Mano de obra colocación crudo</t>
  </si>
  <si>
    <t>Mano de obra Divisores de ambiente y cielos</t>
  </si>
  <si>
    <t>Tesador para puertas 5/16</t>
  </si>
  <si>
    <t>Malla milimétrica plástica</t>
  </si>
  <si>
    <t>Biselado hasta 2,7 cm</t>
  </si>
  <si>
    <t>VICOR</t>
  </si>
  <si>
    <t>Escuadra de armado</t>
  </si>
  <si>
    <t>Vidrio espejo incoloro 3mm</t>
  </si>
  <si>
    <t>Revibol - 9,15 - 8,38 - 18%</t>
  </si>
  <si>
    <t>Vidrio espejo incoloro 4mm</t>
  </si>
  <si>
    <t>Revibol - 10,98 - 9,89 - 18%</t>
  </si>
  <si>
    <t>Pulido de vidrio a máquina</t>
  </si>
  <si>
    <t>Perforación de vidrio</t>
  </si>
  <si>
    <t>Hoyo</t>
  </si>
  <si>
    <t>Total</t>
  </si>
  <si>
    <t>DATOS BASE PARA EL ANALISIS</t>
  </si>
  <si>
    <t>BASE ( Metros )</t>
  </si>
  <si>
    <t>ALTURA ( Metros )</t>
  </si>
  <si>
    <t>CANTIDAD DE PIEZAS</t>
  </si>
  <si>
    <t>Total Precio c/factura</t>
  </si>
  <si>
    <t>$us.</t>
  </si>
  <si>
    <t>Superficie Mt²</t>
  </si>
  <si>
    <t>Precio con factura en $us / Mt²</t>
  </si>
  <si>
    <t>$us./Mt²</t>
  </si>
  <si>
    <t>Total Precio s/factura</t>
  </si>
  <si>
    <t>Precio sin factura en $us / Mt²</t>
  </si>
  <si>
    <t>Total Kgr.</t>
  </si>
  <si>
    <t>% descuento del con al sin</t>
  </si>
  <si>
    <t>DETALLE DE MATERIALES A UTILIZAR</t>
  </si>
  <si>
    <t>MATERIAL</t>
  </si>
  <si>
    <t>Cantidad</t>
  </si>
  <si>
    <t>PB1H</t>
  </si>
  <si>
    <t>PB2H</t>
  </si>
  <si>
    <t>PB4H</t>
  </si>
  <si>
    <t>10mm.</t>
  </si>
  <si>
    <t>INCOLORO = 1 ; COLOR =2</t>
  </si>
  <si>
    <t xml:space="preserve">Puertas </t>
  </si>
  <si>
    <t>C/FRENO = 1 ; S/FRENO =2</t>
  </si>
  <si>
    <t>Mano de obra</t>
  </si>
  <si>
    <t>1504a</t>
  </si>
  <si>
    <t>PUERTAS DE VIDRIO TEMPLADO</t>
  </si>
  <si>
    <t>"U" 15x15 - Kg/Mt lineal.</t>
  </si>
  <si>
    <t>Kgr</t>
  </si>
  <si>
    <t>COSTO SIN FACTURA</t>
  </si>
  <si>
    <t>COSTO CON FACTURA</t>
  </si>
  <si>
    <t xml:space="preserve">Barras </t>
  </si>
  <si>
    <t>Silicona transp., blanca o negra</t>
  </si>
  <si>
    <t xml:space="preserve">Vedapres 001 - h (2,10mt/barra) </t>
  </si>
  <si>
    <t>Celosias 2 aletas - 320 mm.</t>
  </si>
  <si>
    <t>Celosias 3 aletas - 460 mm.</t>
  </si>
  <si>
    <t>Celosias 4 aletas - 600 mm.</t>
  </si>
  <si>
    <t>Celosias 5 aletas - 740mm.</t>
  </si>
  <si>
    <t>Celosias 6 aletas - 880 mm.</t>
  </si>
  <si>
    <t>Celosias 7 aletas - 1000 mm.</t>
  </si>
  <si>
    <t>Celosias 8 aletas - 1160 mm.</t>
  </si>
  <si>
    <t>Celosias 9 aletas - 1300 mm.</t>
  </si>
  <si>
    <t xml:space="preserve">ESPESOR DEL VIDRIO = 8 ó 10 mm. </t>
  </si>
  <si>
    <t>PUERTA / VENTANA CORREDIZA</t>
  </si>
  <si>
    <t>PUERTA = 1; VENTANA = 2</t>
  </si>
  <si>
    <t>Cabezal 7313 - Kg/Mt l.</t>
  </si>
  <si>
    <t>Tapa 7312 - Kg/Mt l.</t>
  </si>
  <si>
    <t>Trillo 7314 - Kg/Mt l.</t>
  </si>
  <si>
    <t>TapaTrillo Rev. - Kg/Mt l.</t>
  </si>
  <si>
    <t>1511a</t>
  </si>
  <si>
    <t>1125a</t>
  </si>
  <si>
    <t>1629j</t>
  </si>
  <si>
    <t>1038c</t>
  </si>
  <si>
    <t xml:space="preserve">Vedapres 001 - u (2,10mt/barra) </t>
  </si>
  <si>
    <t>pn</t>
  </si>
  <si>
    <t>Pzas.</t>
  </si>
  <si>
    <t>Barras</t>
  </si>
  <si>
    <t>Ferretería - 20%</t>
  </si>
  <si>
    <t>Mano de obra celosías</t>
  </si>
  <si>
    <t>jalador para mallera</t>
  </si>
  <si>
    <t>PF</t>
  </si>
  <si>
    <t>CANTIDAD DE VANOS</t>
  </si>
  <si>
    <t>PANO FIJO</t>
  </si>
  <si>
    <t xml:space="preserve">Esmerilado </t>
  </si>
  <si>
    <t>ESMERILADO = E</t>
  </si>
  <si>
    <t xml:space="preserve">Oriental </t>
  </si>
  <si>
    <t>Hilarion 6 maestro + 4 diseno</t>
  </si>
  <si>
    <t>Hilarion ; 7 maestro + 3diseno</t>
  </si>
  <si>
    <t>Hilarion ; 7 maestro + 5diseno</t>
  </si>
  <si>
    <t xml:space="preserve">Hilarion </t>
  </si>
  <si>
    <t>Anclajes de hierro (pzas.)</t>
  </si>
  <si>
    <t>Pernos de expansión (pzas.)</t>
  </si>
  <si>
    <t>Tornillo y tuerca de 2" (pzas.)</t>
  </si>
  <si>
    <t>Mano de obra Box de bano recto</t>
  </si>
  <si>
    <t>Box de  bano recto</t>
  </si>
  <si>
    <t>Mano de obra Box de bano curvo</t>
  </si>
  <si>
    <t>Box de  bano curvo</t>
  </si>
  <si>
    <t>Mano de obra Fachada estructural peque</t>
  </si>
  <si>
    <t>Fachada estructural pequena</t>
  </si>
  <si>
    <t>Mano de obra Fachada estructural grande</t>
  </si>
  <si>
    <t>Fachada estructural alta</t>
  </si>
  <si>
    <t>Mano de obra Carpinteria de aluminio con termopanel</t>
  </si>
  <si>
    <t>Termopanel</t>
  </si>
  <si>
    <t>n   =  div. Verticales</t>
  </si>
  <si>
    <t>m  =  div. Horizontales</t>
  </si>
  <si>
    <t>MODULOS</t>
  </si>
  <si>
    <t xml:space="preserve">    ANCHO ( metros )</t>
  </si>
  <si>
    <t xml:space="preserve">    ALTO ( metros )</t>
  </si>
  <si>
    <t>FACHADA EN VIDRIO TEMPLADO</t>
  </si>
  <si>
    <t>CRISTEC</t>
  </si>
  <si>
    <t>VIENTOS VIDRIO ( 1 ) o TUBULAR + ARANA ( 2 )</t>
  </si>
  <si>
    <t>HERRAJES Y VIENTOS VIDRIO o TUBULAR 4" CON ARANA</t>
  </si>
  <si>
    <t>Tubo galvanizado de 4"</t>
  </si>
  <si>
    <t>Herraje arana</t>
  </si>
  <si>
    <t>Mt.lin.</t>
  </si>
  <si>
    <t>Soporte Herraje - tubo</t>
  </si>
  <si>
    <t>Soporte herraje - tubo</t>
  </si>
  <si>
    <t>Herraje Arana</t>
  </si>
  <si>
    <t>Anclaje tubo</t>
  </si>
  <si>
    <t xml:space="preserve">Tubo Galvanizado de 4" </t>
  </si>
  <si>
    <t>Las Lomas ( 150+5%uniones)</t>
  </si>
  <si>
    <t>8 o 10 mm. c/PERFIL U 15x15 DE ALUMINIO</t>
  </si>
  <si>
    <t>$us./barra</t>
  </si>
  <si>
    <t>BASE</t>
  </si>
  <si>
    <t>ALTURA</t>
  </si>
  <si>
    <t>CANT.</t>
  </si>
  <si>
    <t>BxH</t>
  </si>
  <si>
    <t>B</t>
  </si>
  <si>
    <t>H</t>
  </si>
  <si>
    <t>Vedapres 001 - u  - Kg/Mt l.</t>
  </si>
  <si>
    <t>Vedapres 001 - h  - Kg/Mt l.</t>
  </si>
  <si>
    <t>FORMULAS  -  PUERTA - 2 HOJAS</t>
  </si>
  <si>
    <t>FORMULAS  -  PUERTA - 4 HOJAS</t>
  </si>
  <si>
    <t>FORMULAS  -  VENT. - 4 HOJAS</t>
  </si>
  <si>
    <t>FORMULAS  -  VENT. - 2 HOJAS</t>
  </si>
  <si>
    <t>BARRAS</t>
  </si>
  <si>
    <t>FORMULA</t>
  </si>
  <si>
    <t>BXH</t>
  </si>
  <si>
    <t>(N-1)*h</t>
  </si>
  <si>
    <t>FORMULA PUERTA 1 HOJA</t>
  </si>
  <si>
    <t>CANTIDAD</t>
  </si>
  <si>
    <t>FORMULA PUERTA 2 HOJA+fijo</t>
  </si>
  <si>
    <t>FORMULA PUERTA 2 HOJAS</t>
  </si>
  <si>
    <t>PUERTA CORREDIZA 2 HOJAS</t>
  </si>
  <si>
    <t>PUERTA CORREDIZA 4 HOJAS</t>
  </si>
  <si>
    <t>VENTANA CORREDIZA 2 HOJAS</t>
  </si>
  <si>
    <t>VENTANA CORREDIZA 4 HOJAS</t>
  </si>
  <si>
    <t>PUERTA BATIENTE 1 HOJA</t>
  </si>
  <si>
    <t>PUERTA BATIENTE 2 HOJAS</t>
  </si>
  <si>
    <t>PUERTA BATIENTE 2 HOJAS+FIJOS</t>
  </si>
  <si>
    <t>(N-1)*H</t>
  </si>
  <si>
    <t>FACHADA CON ARANAS</t>
  </si>
  <si>
    <t>FACHADA CON HERRAJES Y VIENTOS</t>
  </si>
  <si>
    <t>(N-1)*(M-1)</t>
  </si>
  <si>
    <t>(N-1)</t>
  </si>
  <si>
    <t>(M-1)*B</t>
  </si>
  <si>
    <t>FORMULA CON TUBOS Y ARANAS</t>
  </si>
  <si>
    <t>FORMULA CON herrajes</t>
  </si>
  <si>
    <t>base</t>
  </si>
  <si>
    <t>altura</t>
  </si>
  <si>
    <t>cant</t>
  </si>
  <si>
    <t>Alcoa 6,73 + 15%</t>
  </si>
  <si>
    <t>Kgr./barra</t>
  </si>
  <si>
    <t>Cabezal Tapa Guia Tapa-guia 1.998 Kg/Mt</t>
  </si>
  <si>
    <t>Oriental 7.68 + 15%</t>
  </si>
  <si>
    <t>Oriental 9.48 + 15%</t>
  </si>
  <si>
    <t>Oriental 10.76 + 15%</t>
  </si>
  <si>
    <t>Oriental 14.30 + 15%</t>
  </si>
  <si>
    <t>Garcia 10.09 + 15%</t>
  </si>
  <si>
    <t>Oriental 11.08 + 15%</t>
  </si>
  <si>
    <t>Garcia 14.33 + 15%</t>
  </si>
  <si>
    <t>Oriental 16.65 + 15%</t>
  </si>
  <si>
    <t>Revibol - 5,55  + 15%</t>
  </si>
  <si>
    <t>Revibol - 7,16 + 15%</t>
  </si>
  <si>
    <t>Garcia 24 + 15%</t>
  </si>
  <si>
    <t>Garcia 37 + 15%</t>
  </si>
  <si>
    <t>Jaladores PAR serie 25</t>
  </si>
  <si>
    <t xml:space="preserve">ALUCOBOND - WILSTRONG </t>
  </si>
  <si>
    <t>Tecnopor 28.80 + 20%</t>
  </si>
  <si>
    <t>Vidrio Laminado Reflectivo Gris 4+4mm</t>
  </si>
  <si>
    <t>CRIS LP 43 + 30%</t>
  </si>
  <si>
    <t>Vidrio Laminado Reflectivo Azul 4+4mm</t>
  </si>
  <si>
    <t>CRIS LP 46 + 30%</t>
  </si>
  <si>
    <t>Vidrio Laminado Incoloro 4+4mm</t>
  </si>
  <si>
    <t>CRIS LP 24 + 30%</t>
  </si>
  <si>
    <t>Patin serie 30 + riel sup</t>
  </si>
  <si>
    <t>"U" 15x25 - Kg/Mt lineal.</t>
  </si>
  <si>
    <t>"U" 15 x 25 - 0,20 Kg/Mt.</t>
  </si>
  <si>
    <t>C</t>
  </si>
  <si>
    <t>E</t>
  </si>
  <si>
    <t>N</t>
  </si>
  <si>
    <t>NV</t>
  </si>
  <si>
    <t>NM</t>
  </si>
  <si>
    <t>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</si>
</sst>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9" formatCode="_-* #,##0.00\ _P_t_s_-;\-* #,##0.00\ _P_t_s_-;_-* &quot;-&quot;??\ _P_t_s_-;_-@_-"/>
    <numFmt numFmtId="192" formatCode="0.0"/>
  </numFmts>
  <fonts count="2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Rockwell"/>
      <family val="1"/>
    </font>
    <font>
      <sz val="10"/>
      <name val="Rockwell"/>
      <family val="1"/>
    </font>
    <font>
      <b/>
      <sz val="10"/>
      <name val="Rockwell"/>
      <family val="1"/>
    </font>
    <font>
      <b/>
      <sz val="12"/>
      <name val="Rockwell"/>
      <family val="1"/>
    </font>
    <font>
      <b/>
      <sz val="10"/>
      <color indexed="10"/>
      <name val="Rockwell"/>
      <family val="1"/>
    </font>
    <font>
      <b/>
      <sz val="16"/>
      <name val="Rockwell"/>
      <family val="1"/>
    </font>
    <font>
      <b/>
      <sz val="14"/>
      <color indexed="12"/>
      <name val="Rockwell"/>
      <family val="1"/>
    </font>
    <font>
      <b/>
      <sz val="14"/>
      <color indexed="8"/>
      <name val="Rockwell"/>
      <family val="1"/>
    </font>
    <font>
      <b/>
      <u/>
      <sz val="14"/>
      <color indexed="10"/>
      <name val="Rockwell"/>
      <family val="1"/>
    </font>
    <font>
      <b/>
      <u/>
      <sz val="12"/>
      <name val="Rockwell"/>
      <family val="1"/>
    </font>
    <font>
      <b/>
      <sz val="12"/>
      <color indexed="9"/>
      <name val="Rockwell"/>
      <family val="1"/>
    </font>
    <font>
      <b/>
      <sz val="7"/>
      <name val="Rockwell"/>
      <family val="1"/>
    </font>
    <font>
      <b/>
      <i/>
      <u/>
      <sz val="14"/>
      <color indexed="10"/>
      <name val="Rockwell"/>
      <family val="1"/>
    </font>
    <font>
      <b/>
      <u/>
      <sz val="10"/>
      <name val="Rockwell"/>
      <family val="1"/>
    </font>
    <font>
      <b/>
      <sz val="16"/>
      <name val="Arial"/>
      <family val="2"/>
    </font>
    <font>
      <b/>
      <sz val="14"/>
      <color rgb="FFFF0000"/>
      <name val="Rockwell"/>
      <family val="1"/>
    </font>
    <font>
      <b/>
      <sz val="10"/>
      <color rgb="FFFF0000"/>
      <name val="Rockwell"/>
      <family val="1"/>
    </font>
    <font>
      <b/>
      <i/>
      <u/>
      <sz val="22"/>
      <color rgb="FFFF0000"/>
      <name val="Rockwell"/>
      <family val="1"/>
    </font>
    <font>
      <b/>
      <i/>
      <u/>
      <sz val="24"/>
      <color rgb="FFFF0000"/>
      <name val="Rockwell"/>
      <family val="1"/>
    </font>
    <font>
      <b/>
      <i/>
      <u/>
      <sz val="14"/>
      <color rgb="FFFF0000"/>
      <name val="Rockwell"/>
      <family val="1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89" fontId="1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26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justify"/>
    </xf>
    <xf numFmtId="10" fontId="7" fillId="0" borderId="0" xfId="3" applyNumberFormat="1" applyFont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5" fillId="0" borderId="1" xfId="0" applyNumberFormat="1" applyFont="1" applyBorder="1"/>
    <xf numFmtId="2" fontId="5" fillId="0" borderId="3" xfId="0" applyNumberFormat="1" applyFont="1" applyBorder="1"/>
    <xf numFmtId="0" fontId="7" fillId="6" borderId="4" xfId="2" applyFont="1" applyFill="1" applyBorder="1" applyAlignment="1">
      <alignment horizontal="left"/>
    </xf>
    <xf numFmtId="0" fontId="19" fillId="7" borderId="5" xfId="2" applyFont="1" applyFill="1" applyBorder="1" applyAlignment="1">
      <alignment horizontal="left"/>
    </xf>
    <xf numFmtId="0" fontId="19" fillId="7" borderId="6" xfId="2" applyFont="1" applyFill="1" applyBorder="1" applyAlignment="1">
      <alignment horizontal="left"/>
    </xf>
    <xf numFmtId="0" fontId="19" fillId="7" borderId="7" xfId="2" applyFont="1" applyFill="1" applyBorder="1" applyAlignment="1">
      <alignment horizontal="left"/>
    </xf>
    <xf numFmtId="0" fontId="19" fillId="7" borderId="8" xfId="2" applyFont="1" applyFill="1" applyBorder="1" applyAlignment="1">
      <alignment horizontal="left"/>
    </xf>
    <xf numFmtId="0" fontId="19" fillId="7" borderId="0" xfId="2" applyFont="1" applyFill="1" applyBorder="1" applyAlignment="1">
      <alignment horizontal="left"/>
    </xf>
    <xf numFmtId="2" fontId="19" fillId="7" borderId="9" xfId="2" applyNumberFormat="1" applyFont="1" applyFill="1" applyBorder="1" applyAlignment="1">
      <alignment horizontal="right"/>
    </xf>
    <xf numFmtId="2" fontId="19" fillId="7" borderId="10" xfId="2" applyNumberFormat="1" applyFont="1" applyFill="1" applyBorder="1" applyAlignment="1">
      <alignment horizontal="right"/>
    </xf>
    <xf numFmtId="0" fontId="19" fillId="7" borderId="2" xfId="2" applyFont="1" applyFill="1" applyBorder="1" applyAlignment="1">
      <alignment horizontal="left"/>
    </xf>
    <xf numFmtId="0" fontId="19" fillId="7" borderId="11" xfId="2" applyFont="1" applyFill="1" applyBorder="1" applyAlignment="1">
      <alignment horizontal="left"/>
    </xf>
    <xf numFmtId="0" fontId="6" fillId="2" borderId="12" xfId="0" applyFont="1" applyFill="1" applyBorder="1" applyAlignment="1">
      <alignment horizontal="left"/>
    </xf>
    <xf numFmtId="2" fontId="7" fillId="2" borderId="1" xfId="0" applyNumberFormat="1" applyFont="1" applyFill="1" applyBorder="1" applyAlignment="1"/>
    <xf numFmtId="2" fontId="7" fillId="3" borderId="0" xfId="0" applyNumberFormat="1" applyFont="1" applyFill="1" applyBorder="1" applyAlignment="1"/>
    <xf numFmtId="2" fontId="7" fillId="2" borderId="13" xfId="0" applyNumberFormat="1" applyFont="1" applyFill="1" applyBorder="1" applyAlignment="1"/>
    <xf numFmtId="2" fontId="7" fillId="2" borderId="14" xfId="0" applyNumberFormat="1" applyFont="1" applyFill="1" applyBorder="1" applyAlignment="1"/>
    <xf numFmtId="0" fontId="5" fillId="2" borderId="0" xfId="0" applyFont="1" applyFill="1" applyAlignment="1">
      <alignment horizontal="left"/>
    </xf>
    <xf numFmtId="0" fontId="7" fillId="2" borderId="13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right"/>
    </xf>
    <xf numFmtId="0" fontId="7" fillId="2" borderId="1" xfId="0" applyFont="1" applyFill="1" applyBorder="1" applyAlignment="1"/>
    <xf numFmtId="0" fontId="7" fillId="3" borderId="0" xfId="0" applyFont="1" applyFill="1" applyBorder="1" applyAlignment="1"/>
    <xf numFmtId="0" fontId="7" fillId="2" borderId="15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7" fillId="2" borderId="16" xfId="0" applyFont="1" applyFill="1" applyBorder="1" applyAlignment="1">
      <alignment horizontal="right"/>
    </xf>
    <xf numFmtId="10" fontId="7" fillId="2" borderId="17" xfId="3" applyNumberFormat="1" applyFont="1" applyFill="1" applyBorder="1" applyAlignment="1"/>
    <xf numFmtId="10" fontId="7" fillId="3" borderId="0" xfId="3" applyNumberFormat="1" applyFont="1" applyFill="1" applyBorder="1" applyAlignment="1"/>
    <xf numFmtId="10" fontId="7" fillId="2" borderId="15" xfId="3" applyNumberFormat="1" applyFont="1" applyFill="1" applyBorder="1" applyAlignment="1"/>
    <xf numFmtId="10" fontId="7" fillId="2" borderId="16" xfId="3" applyNumberFormat="1" applyFont="1" applyFill="1" applyBorder="1" applyAlignment="1"/>
    <xf numFmtId="0" fontId="7" fillId="2" borderId="6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right"/>
    </xf>
    <xf numFmtId="10" fontId="7" fillId="2" borderId="6" xfId="3" applyNumberFormat="1" applyFont="1" applyFill="1" applyBorder="1" applyAlignment="1"/>
    <xf numFmtId="10" fontId="7" fillId="3" borderId="6" xfId="3" applyNumberFormat="1" applyFont="1" applyFill="1" applyBorder="1" applyAlignment="1"/>
    <xf numFmtId="0" fontId="6" fillId="2" borderId="11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6" fillId="2" borderId="11" xfId="0" applyFont="1" applyFill="1" applyBorder="1" applyAlignment="1">
      <alignment horizontal="right"/>
    </xf>
    <xf numFmtId="0" fontId="15" fillId="2" borderId="11" xfId="0" applyFont="1" applyFill="1" applyBorder="1" applyAlignment="1">
      <alignment horizontal="center"/>
    </xf>
    <xf numFmtId="0" fontId="5" fillId="3" borderId="11" xfId="0" applyFont="1" applyFill="1" applyBorder="1" applyAlignment="1"/>
    <xf numFmtId="0" fontId="6" fillId="2" borderId="8" xfId="0" applyFont="1" applyFill="1" applyBorder="1" applyAlignment="1">
      <alignment horizontal="left"/>
    </xf>
    <xf numFmtId="0" fontId="5" fillId="2" borderId="18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right"/>
    </xf>
    <xf numFmtId="0" fontId="6" fillId="2" borderId="10" xfId="0" applyFont="1" applyFill="1" applyBorder="1" applyAlignment="1">
      <alignment horizontal="center"/>
    </xf>
    <xf numFmtId="0" fontId="5" fillId="3" borderId="0" xfId="0" applyFont="1" applyFill="1" applyBorder="1" applyAlignment="1"/>
    <xf numFmtId="0" fontId="6" fillId="2" borderId="19" xfId="0" applyFont="1" applyFill="1" applyBorder="1" applyAlignment="1">
      <alignment horizontal="center"/>
    </xf>
    <xf numFmtId="0" fontId="6" fillId="2" borderId="20" xfId="0" applyFont="1" applyFill="1" applyBorder="1" applyAlignment="1">
      <alignment horizontal="right"/>
    </xf>
    <xf numFmtId="0" fontId="6" fillId="0" borderId="4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2" fontId="6" fillId="0" borderId="4" xfId="0" applyNumberFormat="1" applyFont="1" applyBorder="1" applyAlignment="1">
      <alignment horizontal="center"/>
    </xf>
    <xf numFmtId="2" fontId="5" fillId="2" borderId="3" xfId="0" applyNumberFormat="1" applyFont="1" applyFill="1" applyBorder="1" applyAlignment="1">
      <alignment horizontal="right"/>
    </xf>
    <xf numFmtId="2" fontId="5" fillId="3" borderId="0" xfId="0" applyNumberFormat="1" applyFont="1" applyFill="1" applyBorder="1" applyAlignment="1">
      <alignment horizontal="right"/>
    </xf>
    <xf numFmtId="2" fontId="7" fillId="2" borderId="21" xfId="0" applyNumberFormat="1" applyFont="1" applyFill="1" applyBorder="1" applyAlignment="1"/>
    <xf numFmtId="0" fontId="6" fillId="0" borderId="4" xfId="0" applyFont="1" applyBorder="1" applyAlignment="1">
      <alignment horizontal="center"/>
    </xf>
    <xf numFmtId="0" fontId="6" fillId="2" borderId="4" xfId="0" applyFont="1" applyFill="1" applyBorder="1" applyAlignment="1">
      <alignment horizontal="left"/>
    </xf>
    <xf numFmtId="2" fontId="6" fillId="0" borderId="2" xfId="0" applyNumberFormat="1" applyFont="1" applyBorder="1" applyAlignment="1">
      <alignment horizontal="center"/>
    </xf>
    <xf numFmtId="0" fontId="7" fillId="2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2" fontId="5" fillId="2" borderId="0" xfId="0" applyNumberFormat="1" applyFont="1" applyFill="1" applyAlignment="1">
      <alignment horizontal="right"/>
    </xf>
    <xf numFmtId="0" fontId="13" fillId="2" borderId="4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2" fontId="13" fillId="2" borderId="3" xfId="0" applyNumberFormat="1" applyFont="1" applyFill="1" applyBorder="1" applyAlignment="1">
      <alignment horizontal="right"/>
    </xf>
    <xf numFmtId="2" fontId="6" fillId="2" borderId="3" xfId="0" applyNumberFormat="1" applyFont="1" applyFill="1" applyBorder="1" applyAlignment="1">
      <alignment horizontal="right"/>
    </xf>
    <xf numFmtId="2" fontId="6" fillId="2" borderId="0" xfId="0" applyNumberFormat="1" applyFont="1" applyFill="1" applyAlignment="1">
      <alignment horizontal="right"/>
    </xf>
    <xf numFmtId="0" fontId="13" fillId="3" borderId="0" xfId="0" applyFont="1" applyFill="1" applyAlignment="1">
      <alignment horizontal="left"/>
    </xf>
    <xf numFmtId="0" fontId="13" fillId="2" borderId="0" xfId="0" applyFont="1" applyFill="1" applyAlignment="1">
      <alignment horizontal="left"/>
    </xf>
    <xf numFmtId="2" fontId="6" fillId="2" borderId="0" xfId="0" applyNumberFormat="1" applyFont="1" applyFill="1" applyAlignment="1">
      <alignment horizontal="left"/>
    </xf>
    <xf numFmtId="0" fontId="7" fillId="6" borderId="7" xfId="2" applyFont="1" applyFill="1" applyBorder="1" applyAlignment="1">
      <alignment horizontal="center"/>
    </xf>
    <xf numFmtId="0" fontId="10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 vertical="top"/>
    </xf>
    <xf numFmtId="0" fontId="6" fillId="4" borderId="22" xfId="0" applyFont="1" applyFill="1" applyBorder="1" applyAlignment="1">
      <alignment horizontal="left" vertical="top"/>
    </xf>
    <xf numFmtId="0" fontId="6" fillId="4" borderId="23" xfId="0" applyFont="1" applyFill="1" applyBorder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15" fillId="2" borderId="1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6" fillId="4" borderId="22" xfId="0" applyFont="1" applyFill="1" applyBorder="1" applyAlignment="1">
      <alignment horizontal="left"/>
    </xf>
    <xf numFmtId="0" fontId="6" fillId="4" borderId="23" xfId="0" applyFont="1" applyFill="1" applyBorder="1" applyAlignment="1">
      <alignment horizontal="left"/>
    </xf>
    <xf numFmtId="0" fontId="7" fillId="0" borderId="24" xfId="0" applyFont="1" applyFill="1" applyBorder="1" applyAlignment="1">
      <alignment horizontal="left"/>
    </xf>
    <xf numFmtId="0" fontId="6" fillId="0" borderId="25" xfId="0" applyFont="1" applyFill="1" applyBorder="1" applyAlignment="1">
      <alignment horizontal="left"/>
    </xf>
    <xf numFmtId="0" fontId="7" fillId="5" borderId="26" xfId="0" applyFont="1" applyFill="1" applyBorder="1" applyAlignment="1">
      <alignment horizontal="right"/>
    </xf>
    <xf numFmtId="0" fontId="6" fillId="3" borderId="0" xfId="0" applyFont="1" applyFill="1" applyBorder="1" applyAlignment="1"/>
    <xf numFmtId="0" fontId="5" fillId="4" borderId="22" xfId="0" applyFont="1" applyFill="1" applyBorder="1" applyAlignment="1"/>
    <xf numFmtId="0" fontId="5" fillId="4" borderId="23" xfId="0" applyFont="1" applyFill="1" applyBorder="1" applyAlignment="1"/>
    <xf numFmtId="0" fontId="7" fillId="0" borderId="13" xfId="0" applyFont="1" applyFill="1" applyBorder="1" applyAlignment="1">
      <alignment horizontal="left"/>
    </xf>
    <xf numFmtId="0" fontId="6" fillId="0" borderId="12" xfId="0" applyFont="1" applyFill="1" applyBorder="1" applyAlignment="1">
      <alignment horizontal="left"/>
    </xf>
    <xf numFmtId="0" fontId="7" fillId="5" borderId="14" xfId="0" applyFont="1" applyFill="1" applyBorder="1" applyAlignment="1">
      <alignment horizontal="right"/>
    </xf>
    <xf numFmtId="0" fontId="6" fillId="0" borderId="13" xfId="0" applyFont="1" applyFill="1" applyBorder="1" applyAlignment="1">
      <alignment horizontal="left"/>
    </xf>
    <xf numFmtId="0" fontId="6" fillId="0" borderId="27" xfId="0" applyFont="1" applyFill="1" applyBorder="1" applyAlignment="1">
      <alignment horizontal="left"/>
    </xf>
    <xf numFmtId="0" fontId="6" fillId="0" borderId="28" xfId="0" applyFont="1" applyFill="1" applyBorder="1" applyAlignment="1">
      <alignment horizontal="left"/>
    </xf>
    <xf numFmtId="0" fontId="7" fillId="5" borderId="29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7" fillId="2" borderId="30" xfId="0" applyFont="1" applyFill="1" applyBorder="1" applyAlignment="1">
      <alignment horizontal="left"/>
    </xf>
    <xf numFmtId="0" fontId="14" fillId="2" borderId="31" xfId="0" applyFont="1" applyFill="1" applyBorder="1" applyAlignment="1">
      <alignment horizontal="right"/>
    </xf>
    <xf numFmtId="0" fontId="7" fillId="5" borderId="32" xfId="0" applyFont="1" applyFill="1" applyBorder="1" applyAlignment="1">
      <alignment horizontal="right"/>
    </xf>
    <xf numFmtId="0" fontId="7" fillId="2" borderId="3" xfId="0" applyFont="1" applyFill="1" applyBorder="1" applyAlignment="1"/>
    <xf numFmtId="0" fontId="7" fillId="5" borderId="33" xfId="0" applyFont="1" applyFill="1" applyBorder="1" applyAlignment="1">
      <alignment horizontal="right"/>
    </xf>
    <xf numFmtId="0" fontId="7" fillId="5" borderId="34" xfId="0" applyFont="1" applyFill="1" applyBorder="1" applyAlignment="1">
      <alignment horizontal="right"/>
    </xf>
    <xf numFmtId="2" fontId="7" fillId="2" borderId="3" xfId="0" applyNumberFormat="1" applyFont="1" applyFill="1" applyBorder="1" applyAlignment="1"/>
    <xf numFmtId="10" fontId="7" fillId="2" borderId="7" xfId="3" applyNumberFormat="1" applyFont="1" applyFill="1" applyBorder="1" applyAlignment="1"/>
    <xf numFmtId="0" fontId="6" fillId="2" borderId="7" xfId="0" applyFont="1" applyFill="1" applyBorder="1" applyAlignment="1">
      <alignment horizontal="center" vertical="top"/>
    </xf>
    <xf numFmtId="0" fontId="7" fillId="2" borderId="3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192" fontId="5" fillId="0" borderId="0" xfId="0" applyNumberFormat="1" applyFont="1"/>
    <xf numFmtId="189" fontId="7" fillId="2" borderId="6" xfId="1" applyFont="1" applyFill="1" applyBorder="1" applyAlignment="1"/>
    <xf numFmtId="2" fontId="5" fillId="2" borderId="21" xfId="0" applyNumberFormat="1" applyFont="1" applyFill="1" applyBorder="1" applyAlignment="1"/>
    <xf numFmtId="2" fontId="6" fillId="2" borderId="21" xfId="0" applyNumberFormat="1" applyFont="1" applyFill="1" applyBorder="1" applyAlignment="1"/>
    <xf numFmtId="0" fontId="5" fillId="8" borderId="0" xfId="0" applyFont="1" applyFill="1" applyAlignment="1">
      <alignment horizontal="left"/>
    </xf>
    <xf numFmtId="2" fontId="5" fillId="8" borderId="0" xfId="0" applyNumberFormat="1" applyFont="1" applyFill="1" applyAlignment="1">
      <alignment horizontal="left"/>
    </xf>
    <xf numFmtId="2" fontId="5" fillId="8" borderId="3" xfId="0" applyNumberFormat="1" applyFont="1" applyFill="1" applyBorder="1" applyAlignment="1">
      <alignment horizontal="right"/>
    </xf>
    <xf numFmtId="0" fontId="5" fillId="9" borderId="0" xfId="0" applyFont="1" applyFill="1" applyAlignment="1">
      <alignment horizontal="left"/>
    </xf>
    <xf numFmtId="2" fontId="5" fillId="9" borderId="0" xfId="0" applyNumberFormat="1" applyFont="1" applyFill="1" applyAlignment="1">
      <alignment horizontal="left"/>
    </xf>
    <xf numFmtId="2" fontId="13" fillId="9" borderId="3" xfId="0" applyNumberFormat="1" applyFont="1" applyFill="1" applyBorder="1" applyAlignment="1">
      <alignment horizontal="center"/>
    </xf>
    <xf numFmtId="2" fontId="5" fillId="9" borderId="3" xfId="0" applyNumberFormat="1" applyFont="1" applyFill="1" applyBorder="1" applyAlignment="1">
      <alignment horizontal="right"/>
    </xf>
    <xf numFmtId="2" fontId="6" fillId="10" borderId="0" xfId="0" applyNumberFormat="1" applyFont="1" applyFill="1" applyAlignment="1">
      <alignment horizontal="left"/>
    </xf>
    <xf numFmtId="2" fontId="5" fillId="10" borderId="0" xfId="0" applyNumberFormat="1" applyFont="1" applyFill="1" applyAlignment="1">
      <alignment horizontal="left"/>
    </xf>
    <xf numFmtId="0" fontId="5" fillId="10" borderId="0" xfId="0" applyFont="1" applyFill="1" applyAlignment="1">
      <alignment horizontal="left"/>
    </xf>
    <xf numFmtId="2" fontId="13" fillId="10" borderId="3" xfId="0" applyNumberFormat="1" applyFont="1" applyFill="1" applyBorder="1" applyAlignment="1">
      <alignment horizontal="center"/>
    </xf>
    <xf numFmtId="2" fontId="5" fillId="10" borderId="3" xfId="0" applyNumberFormat="1" applyFont="1" applyFill="1" applyBorder="1" applyAlignment="1">
      <alignment horizontal="right"/>
    </xf>
    <xf numFmtId="2" fontId="5" fillId="0" borderId="4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6" fillId="7" borderId="3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2" fontId="5" fillId="7" borderId="3" xfId="0" applyNumberFormat="1" applyFont="1" applyFill="1" applyBorder="1" applyAlignment="1">
      <alignment horizontal="left"/>
    </xf>
    <xf numFmtId="0" fontId="13" fillId="8" borderId="4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left"/>
    </xf>
    <xf numFmtId="2" fontId="13" fillId="8" borderId="3" xfId="0" applyNumberFormat="1" applyFont="1" applyFill="1" applyBorder="1" applyAlignment="1">
      <alignment horizontal="right"/>
    </xf>
    <xf numFmtId="0" fontId="6" fillId="8" borderId="4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2" fontId="6" fillId="8" borderId="3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center"/>
    </xf>
    <xf numFmtId="2" fontId="0" fillId="0" borderId="0" xfId="0" applyNumberFormat="1"/>
    <xf numFmtId="0" fontId="13" fillId="7" borderId="4" xfId="0" applyFont="1" applyFill="1" applyBorder="1" applyAlignment="1">
      <alignment horizontal="left"/>
    </xf>
    <xf numFmtId="2" fontId="13" fillId="7" borderId="3" xfId="0" applyNumberFormat="1" applyFont="1" applyFill="1" applyBorder="1" applyAlignment="1">
      <alignment horizontal="center"/>
    </xf>
    <xf numFmtId="2" fontId="13" fillId="7" borderId="3" xfId="0" applyNumberFormat="1" applyFont="1" applyFill="1" applyBorder="1" applyAlignment="1">
      <alignment horizontal="right"/>
    </xf>
    <xf numFmtId="0" fontId="5" fillId="7" borderId="0" xfId="0" applyFont="1" applyFill="1" applyAlignment="1">
      <alignment horizontal="left"/>
    </xf>
    <xf numFmtId="0" fontId="6" fillId="7" borderId="4" xfId="0" applyFont="1" applyFill="1" applyBorder="1" applyAlignment="1">
      <alignment horizontal="left"/>
    </xf>
    <xf numFmtId="2" fontId="6" fillId="7" borderId="3" xfId="0" applyNumberFormat="1" applyFont="1" applyFill="1" applyBorder="1" applyAlignment="1">
      <alignment horizontal="right"/>
    </xf>
    <xf numFmtId="2" fontId="5" fillId="7" borderId="3" xfId="0" applyNumberFormat="1" applyFont="1" applyFill="1" applyBorder="1" applyAlignment="1">
      <alignment horizontal="right"/>
    </xf>
    <xf numFmtId="2" fontId="17" fillId="7" borderId="3" xfId="0" applyNumberFormat="1" applyFont="1" applyFill="1" applyBorder="1" applyAlignment="1">
      <alignment horizontal="right"/>
    </xf>
    <xf numFmtId="0" fontId="2" fillId="7" borderId="3" xfId="0" applyFont="1" applyFill="1" applyBorder="1" applyAlignment="1">
      <alignment horizontal="center"/>
    </xf>
    <xf numFmtId="192" fontId="0" fillId="11" borderId="0" xfId="0" applyNumberFormat="1" applyFill="1"/>
    <xf numFmtId="0" fontId="4" fillId="0" borderId="0" xfId="2" applyFont="1"/>
    <xf numFmtId="0" fontId="5" fillId="0" borderId="0" xfId="2" applyFont="1" applyAlignment="1">
      <alignment horizontal="center"/>
    </xf>
    <xf numFmtId="0" fontId="6" fillId="0" borderId="0" xfId="2" applyFont="1"/>
    <xf numFmtId="0" fontId="5" fillId="0" borderId="0" xfId="2" applyFont="1"/>
    <xf numFmtId="0" fontId="5" fillId="0" borderId="0" xfId="2" applyFont="1" applyAlignment="1">
      <alignment horizontal="justify"/>
    </xf>
    <xf numFmtId="0" fontId="20" fillId="12" borderId="7" xfId="2" applyFont="1" applyFill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35" xfId="2" applyFont="1" applyBorder="1" applyAlignment="1">
      <alignment horizontal="center"/>
    </xf>
    <xf numFmtId="0" fontId="6" fillId="0" borderId="7" xfId="2" applyFont="1" applyBorder="1" applyAlignment="1">
      <alignment horizontal="justify"/>
    </xf>
    <xf numFmtId="0" fontId="20" fillId="12" borderId="9" xfId="2" applyFont="1" applyFill="1" applyBorder="1" applyAlignment="1">
      <alignment horizontal="center"/>
    </xf>
    <xf numFmtId="0" fontId="6" fillId="0" borderId="8" xfId="2" applyFont="1" applyBorder="1" applyAlignment="1">
      <alignment horizontal="center"/>
    </xf>
    <xf numFmtId="0" fontId="6" fillId="0" borderId="36" xfId="2" applyFont="1" applyBorder="1" applyAlignment="1">
      <alignment horizontal="center"/>
    </xf>
    <xf numFmtId="0" fontId="6" fillId="0" borderId="18" xfId="2" applyFont="1" applyBorder="1" applyAlignment="1">
      <alignment horizontal="center"/>
    </xf>
    <xf numFmtId="0" fontId="6" fillId="0" borderId="9" xfId="2" applyFont="1" applyBorder="1" applyAlignment="1">
      <alignment horizontal="center"/>
    </xf>
    <xf numFmtId="0" fontId="6" fillId="0" borderId="9" xfId="2" applyFont="1" applyBorder="1" applyAlignment="1">
      <alignment horizontal="justify"/>
    </xf>
    <xf numFmtId="0" fontId="20" fillId="12" borderId="10" xfId="2" applyFont="1" applyFill="1" applyBorder="1" applyAlignment="1">
      <alignment horizontal="center"/>
    </xf>
    <xf numFmtId="0" fontId="6" fillId="0" borderId="2" xfId="2" applyFont="1" applyBorder="1" applyAlignment="1">
      <alignment horizontal="center"/>
    </xf>
    <xf numFmtId="0" fontId="6" fillId="0" borderId="37" xfId="2" applyFont="1" applyBorder="1" applyAlignment="1">
      <alignment horizontal="center"/>
    </xf>
    <xf numFmtId="0" fontId="6" fillId="0" borderId="38" xfId="2" applyFont="1" applyBorder="1" applyAlignment="1">
      <alignment horizontal="center"/>
    </xf>
    <xf numFmtId="0" fontId="6" fillId="0" borderId="10" xfId="2" applyFont="1" applyBorder="1" applyAlignment="1">
      <alignment horizontal="center"/>
    </xf>
    <xf numFmtId="0" fontId="6" fillId="0" borderId="10" xfId="2" applyFont="1" applyBorder="1" applyAlignment="1">
      <alignment horizontal="justify"/>
    </xf>
    <xf numFmtId="0" fontId="6" fillId="0" borderId="10" xfId="2" applyFont="1" applyBorder="1" applyAlignment="1">
      <alignment horizontal="left"/>
    </xf>
    <xf numFmtId="0" fontId="6" fillId="0" borderId="3" xfId="2" applyFont="1" applyBorder="1" applyAlignment="1">
      <alignment horizontal="left"/>
    </xf>
    <xf numFmtId="0" fontId="5" fillId="0" borderId="4" xfId="2" applyFont="1" applyBorder="1" applyAlignment="1">
      <alignment horizontal="center"/>
    </xf>
    <xf numFmtId="2" fontId="7" fillId="0" borderId="39" xfId="2" applyNumberFormat="1" applyFont="1" applyBorder="1"/>
    <xf numFmtId="2" fontId="5" fillId="0" borderId="1" xfId="2" applyNumberFormat="1" applyFont="1" applyBorder="1"/>
    <xf numFmtId="2" fontId="5" fillId="0" borderId="3" xfId="2" applyNumberFormat="1" applyFont="1" applyBorder="1"/>
    <xf numFmtId="0" fontId="5" fillId="0" borderId="3" xfId="2" applyFont="1" applyBorder="1" applyAlignment="1">
      <alignment horizontal="justify"/>
    </xf>
    <xf numFmtId="0" fontId="5" fillId="7" borderId="3" xfId="2" applyFont="1" applyFill="1" applyBorder="1" applyAlignment="1">
      <alignment horizontal="justify"/>
    </xf>
    <xf numFmtId="2" fontId="5" fillId="0" borderId="0" xfId="2" applyNumberFormat="1" applyFont="1"/>
    <xf numFmtId="2" fontId="5" fillId="0" borderId="38" xfId="2" applyNumberFormat="1" applyFont="1" applyBorder="1"/>
    <xf numFmtId="0" fontId="5" fillId="0" borderId="2" xfId="2" applyFont="1" applyBorder="1" applyAlignment="1">
      <alignment horizontal="center"/>
    </xf>
    <xf numFmtId="2" fontId="5" fillId="0" borderId="10" xfId="2" applyNumberFormat="1" applyFont="1" applyBorder="1"/>
    <xf numFmtId="0" fontId="5" fillId="7" borderId="10" xfId="2" applyFont="1" applyFill="1" applyBorder="1" applyAlignment="1">
      <alignment horizontal="justify"/>
    </xf>
    <xf numFmtId="0" fontId="5" fillId="0" borderId="10" xfId="2" applyFont="1" applyBorder="1" applyAlignment="1">
      <alignment horizontal="justify"/>
    </xf>
    <xf numFmtId="0" fontId="9" fillId="0" borderId="10" xfId="2" applyFont="1" applyBorder="1" applyAlignment="1">
      <alignment horizontal="left"/>
    </xf>
    <xf numFmtId="2" fontId="6" fillId="0" borderId="38" xfId="2" applyNumberFormat="1" applyFont="1" applyBorder="1" applyAlignment="1">
      <alignment horizontal="center"/>
    </xf>
    <xf numFmtId="2" fontId="6" fillId="0" borderId="10" xfId="2" applyNumberFormat="1" applyFont="1" applyBorder="1" applyAlignment="1">
      <alignment horizontal="center"/>
    </xf>
    <xf numFmtId="2" fontId="5" fillId="7" borderId="0" xfId="2" applyNumberFormat="1" applyFont="1" applyFill="1"/>
    <xf numFmtId="0" fontId="20" fillId="7" borderId="3" xfId="2" applyFont="1" applyFill="1" applyBorder="1" applyAlignment="1">
      <alignment horizontal="left" vertical="center"/>
    </xf>
    <xf numFmtId="0" fontId="5" fillId="11" borderId="3" xfId="2" applyFont="1" applyFill="1" applyBorder="1" applyAlignment="1">
      <alignment horizontal="justify"/>
    </xf>
    <xf numFmtId="0" fontId="5" fillId="13" borderId="3" xfId="2" applyFont="1" applyFill="1" applyBorder="1" applyAlignment="1">
      <alignment horizontal="justify"/>
    </xf>
    <xf numFmtId="0" fontId="6" fillId="0" borderId="3" xfId="2" applyFont="1" applyBorder="1"/>
    <xf numFmtId="0" fontId="5" fillId="0" borderId="3" xfId="2" applyFont="1" applyBorder="1"/>
    <xf numFmtId="0" fontId="3" fillId="0" borderId="0" xfId="2"/>
    <xf numFmtId="0" fontId="7" fillId="0" borderId="4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2" fontId="6" fillId="2" borderId="0" xfId="0" applyNumberFormat="1" applyFont="1" applyFill="1" applyBorder="1" applyAlignment="1">
      <alignment horizontal="right"/>
    </xf>
    <xf numFmtId="2" fontId="5" fillId="2" borderId="0" xfId="0" applyNumberFormat="1" applyFont="1" applyFill="1" applyBorder="1" applyAlignment="1">
      <alignment horizontal="right"/>
    </xf>
    <xf numFmtId="2" fontId="7" fillId="2" borderId="0" xfId="0" applyNumberFormat="1" applyFont="1" applyFill="1" applyBorder="1" applyAlignment="1"/>
    <xf numFmtId="2" fontId="6" fillId="0" borderId="0" xfId="0" applyNumberFormat="1" applyFont="1" applyBorder="1" applyAlignment="1">
      <alignment horizontal="center"/>
    </xf>
    <xf numFmtId="0" fontId="6" fillId="0" borderId="1" xfId="2" applyFont="1" applyBorder="1" applyAlignment="1">
      <alignment horizontal="center"/>
    </xf>
    <xf numFmtId="0" fontId="6" fillId="0" borderId="3" xfId="2" applyFont="1" applyBorder="1" applyAlignment="1">
      <alignment horizontal="center"/>
    </xf>
    <xf numFmtId="0" fontId="18" fillId="11" borderId="3" xfId="0" applyFont="1" applyFill="1" applyBorder="1" applyAlignment="1">
      <alignment horizontal="center"/>
    </xf>
    <xf numFmtId="0" fontId="12" fillId="4" borderId="40" xfId="0" applyFont="1" applyFill="1" applyBorder="1" applyAlignment="1">
      <alignment horizontal="center"/>
    </xf>
    <xf numFmtId="0" fontId="12" fillId="4" borderId="41" xfId="0" applyFont="1" applyFill="1" applyBorder="1" applyAlignment="1">
      <alignment horizontal="center"/>
    </xf>
    <xf numFmtId="0" fontId="21" fillId="12" borderId="42" xfId="2" applyFont="1" applyFill="1" applyBorder="1" applyAlignment="1">
      <alignment horizontal="center" vertical="center" wrapText="1"/>
    </xf>
    <xf numFmtId="0" fontId="22" fillId="12" borderId="43" xfId="2" applyFont="1" applyFill="1" applyBorder="1" applyAlignment="1">
      <alignment horizontal="center" vertical="center" wrapText="1"/>
    </xf>
    <xf numFmtId="0" fontId="22" fillId="12" borderId="44" xfId="2" applyFont="1" applyFill="1" applyBorder="1" applyAlignment="1">
      <alignment horizontal="center" vertical="center" wrapText="1"/>
    </xf>
    <xf numFmtId="0" fontId="23" fillId="12" borderId="40" xfId="2" applyFont="1" applyFill="1" applyBorder="1" applyAlignment="1">
      <alignment horizontal="center" vertical="center" wrapText="1"/>
    </xf>
    <xf numFmtId="0" fontId="23" fillId="12" borderId="41" xfId="2" applyFont="1" applyFill="1" applyBorder="1" applyAlignment="1">
      <alignment horizontal="center" vertical="center" wrapText="1"/>
    </xf>
    <xf numFmtId="0" fontId="23" fillId="12" borderId="45" xfId="2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16" fillId="7" borderId="2" xfId="0" applyFont="1" applyFill="1" applyBorder="1" applyAlignment="1">
      <alignment horizontal="justify" vertical="top"/>
    </xf>
    <xf numFmtId="0" fontId="16" fillId="7" borderId="11" xfId="0" applyFont="1" applyFill="1" applyBorder="1" applyAlignment="1">
      <alignment horizontal="justify" vertical="top"/>
    </xf>
    <xf numFmtId="0" fontId="16" fillId="7" borderId="38" xfId="0" applyFont="1" applyFill="1" applyBorder="1" applyAlignment="1">
      <alignment horizontal="justify" vertical="top"/>
    </xf>
    <xf numFmtId="0" fontId="16" fillId="7" borderId="5" xfId="0" applyFont="1" applyFill="1" applyBorder="1" applyAlignment="1">
      <alignment horizontal="center"/>
    </xf>
    <xf numFmtId="0" fontId="16" fillId="7" borderId="6" xfId="0" applyFont="1" applyFill="1" applyBorder="1" applyAlignment="1">
      <alignment horizontal="center"/>
    </xf>
    <xf numFmtId="0" fontId="16" fillId="7" borderId="17" xfId="0" applyFont="1" applyFill="1" applyBorder="1" applyAlignment="1">
      <alignment horizontal="center"/>
    </xf>
  </cellXfs>
  <cellStyles count="5">
    <cellStyle name="Millares" xfId="1" builtinId="3"/>
    <cellStyle name="Normal" xfId="0" builtinId="0"/>
    <cellStyle name="Normal 2" xfId="2"/>
    <cellStyle name="Porcentaje" xfId="3" builtinId="5"/>
    <cellStyle name="Porcentual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175260</xdr:colOff>
      <xdr:row>2</xdr:row>
      <xdr:rowOff>160020</xdr:rowOff>
    </xdr:from>
    <xdr:to>
      <xdr:col>3</xdr:col>
      <xdr:colOff>624840</xdr:colOff>
      <xdr:row>5</xdr:row>
      <xdr:rowOff>22860</xdr:rowOff>
    </xdr:to>
    <xdr:grpSp>
      <xdr:nvGrpSpPr>
        <xdr:cNvPr id="520510" name="Group 853">
          <a:extLst>
            <a:ext uri="{FF2B5EF4-FFF2-40B4-BE49-F238E27FC236}">
              <a16:creationId xmlns:a16="http://schemas.microsoft.com/office/drawing/2014/main" id="{EBCEFA8A-CB91-D775-2B67-C8EA0AA4499B}"/>
            </a:ext>
          </a:extLst>
        </xdr:cNvPr>
        <xdr:cNvGrpSpPr>
          <a:grpSpLocks/>
        </xdr:cNvGrpSpPr>
      </xdr:nvGrpSpPr>
      <xdr:grpSpPr bwMode="auto">
        <a:xfrm>
          <a:off x="2559231" y="551906"/>
          <a:ext cx="449580" cy="352697"/>
          <a:chOff x="675" y="362"/>
          <a:chExt cx="278" cy="249"/>
        </a:xfrm>
      </xdr:grpSpPr>
      <xdr:sp macro="" textlink="">
        <xdr:nvSpPr>
          <xdr:cNvPr id="520785" name="Rectangle 854">
            <a:extLst>
              <a:ext uri="{FF2B5EF4-FFF2-40B4-BE49-F238E27FC236}">
                <a16:creationId xmlns:a16="http://schemas.microsoft.com/office/drawing/2014/main" id="{FE0A670B-DE87-3630-E81C-48D81301116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6" name="Rectangle 855">
            <a:extLst>
              <a:ext uri="{FF2B5EF4-FFF2-40B4-BE49-F238E27FC236}">
                <a16:creationId xmlns:a16="http://schemas.microsoft.com/office/drawing/2014/main" id="{55188380-CA3E-20B8-B8A1-FDFD79E11C8F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7" name="Rectangle 856">
            <a:extLst>
              <a:ext uri="{FF2B5EF4-FFF2-40B4-BE49-F238E27FC236}">
                <a16:creationId xmlns:a16="http://schemas.microsoft.com/office/drawing/2014/main" id="{3382BBCB-1463-AA45-250C-FC8FFDD47B9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8" name="Rectangle 857">
            <a:extLst>
              <a:ext uri="{FF2B5EF4-FFF2-40B4-BE49-F238E27FC236}">
                <a16:creationId xmlns:a16="http://schemas.microsoft.com/office/drawing/2014/main" id="{D9A84573-389F-CC34-7941-D6A00149E09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9" name="Rectangle 858">
            <a:extLst>
              <a:ext uri="{FF2B5EF4-FFF2-40B4-BE49-F238E27FC236}">
                <a16:creationId xmlns:a16="http://schemas.microsoft.com/office/drawing/2014/main" id="{DC2030AF-DC8E-782F-1C26-5E34D974358D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90" name="Oval 859">
            <a:extLst>
              <a:ext uri="{FF2B5EF4-FFF2-40B4-BE49-F238E27FC236}">
                <a16:creationId xmlns:a16="http://schemas.microsoft.com/office/drawing/2014/main" id="{D6C74AE4-8C60-8D71-E60B-1125503A1C5E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91" name="Oval 860">
            <a:extLst>
              <a:ext uri="{FF2B5EF4-FFF2-40B4-BE49-F238E27FC236}">
                <a16:creationId xmlns:a16="http://schemas.microsoft.com/office/drawing/2014/main" id="{B75173A4-7504-0DEC-32E7-70D0AA14A8B8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92" name="AutoShape 861">
            <a:extLst>
              <a:ext uri="{FF2B5EF4-FFF2-40B4-BE49-F238E27FC236}">
                <a16:creationId xmlns:a16="http://schemas.microsoft.com/office/drawing/2014/main" id="{10DC7796-37E2-D7FD-03E2-1D52BA338B2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167640</xdr:colOff>
      <xdr:row>7</xdr:row>
      <xdr:rowOff>152400</xdr:rowOff>
    </xdr:from>
    <xdr:to>
      <xdr:col>3</xdr:col>
      <xdr:colOff>647700</xdr:colOff>
      <xdr:row>10</xdr:row>
      <xdr:rowOff>38100</xdr:rowOff>
    </xdr:to>
    <xdr:grpSp>
      <xdr:nvGrpSpPr>
        <xdr:cNvPr id="520511" name="Group 862">
          <a:extLst>
            <a:ext uri="{FF2B5EF4-FFF2-40B4-BE49-F238E27FC236}">
              <a16:creationId xmlns:a16="http://schemas.microsoft.com/office/drawing/2014/main" id="{73150169-7828-3895-C071-500E4DD75FFD}"/>
            </a:ext>
          </a:extLst>
        </xdr:cNvPr>
        <xdr:cNvGrpSpPr>
          <a:grpSpLocks/>
        </xdr:cNvGrpSpPr>
      </xdr:nvGrpSpPr>
      <xdr:grpSpPr bwMode="auto">
        <a:xfrm>
          <a:off x="2551611" y="1393371"/>
          <a:ext cx="480060" cy="440872"/>
          <a:chOff x="624" y="37"/>
          <a:chExt cx="552" cy="248"/>
        </a:xfrm>
      </xdr:grpSpPr>
      <xdr:sp macro="" textlink="">
        <xdr:nvSpPr>
          <xdr:cNvPr id="520771" name="Rectangle 863">
            <a:extLst>
              <a:ext uri="{FF2B5EF4-FFF2-40B4-BE49-F238E27FC236}">
                <a16:creationId xmlns:a16="http://schemas.microsoft.com/office/drawing/2014/main" id="{BA5BD93F-6631-0555-73F5-91E9C0ED893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2" name="Rectangle 864">
            <a:extLst>
              <a:ext uri="{FF2B5EF4-FFF2-40B4-BE49-F238E27FC236}">
                <a16:creationId xmlns:a16="http://schemas.microsoft.com/office/drawing/2014/main" id="{CE6A15A3-0F62-6737-3A97-801F69DDE59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3" name="Rectangle 865">
            <a:extLst>
              <a:ext uri="{FF2B5EF4-FFF2-40B4-BE49-F238E27FC236}">
                <a16:creationId xmlns:a16="http://schemas.microsoft.com/office/drawing/2014/main" id="{6EF3617F-E5BC-3A7D-0FDE-9A2984B616D2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4" name="Rectangle 866">
            <a:extLst>
              <a:ext uri="{FF2B5EF4-FFF2-40B4-BE49-F238E27FC236}">
                <a16:creationId xmlns:a16="http://schemas.microsoft.com/office/drawing/2014/main" id="{568D9315-A1D4-51D6-A76E-1A41125CABC5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5" name="Rectangle 867">
            <a:extLst>
              <a:ext uri="{FF2B5EF4-FFF2-40B4-BE49-F238E27FC236}">
                <a16:creationId xmlns:a16="http://schemas.microsoft.com/office/drawing/2014/main" id="{F44BDE1E-AF74-3E85-F52B-448F4972FB6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6" name="Rectangle 868">
            <a:extLst>
              <a:ext uri="{FF2B5EF4-FFF2-40B4-BE49-F238E27FC236}">
                <a16:creationId xmlns:a16="http://schemas.microsoft.com/office/drawing/2014/main" id="{986F4991-97EB-0E8F-3DFC-58A704C3B3A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7" name="Rectangle 869">
            <a:extLst>
              <a:ext uri="{FF2B5EF4-FFF2-40B4-BE49-F238E27FC236}">
                <a16:creationId xmlns:a16="http://schemas.microsoft.com/office/drawing/2014/main" id="{DE7ADA13-7192-DA4F-7856-B8D27D25119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8" name="Rectangle 870">
            <a:extLst>
              <a:ext uri="{FF2B5EF4-FFF2-40B4-BE49-F238E27FC236}">
                <a16:creationId xmlns:a16="http://schemas.microsoft.com/office/drawing/2014/main" id="{7A25FCFA-9E37-1F1E-9249-6E4DF915E7B6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79" name="Oval 871">
            <a:extLst>
              <a:ext uri="{FF2B5EF4-FFF2-40B4-BE49-F238E27FC236}">
                <a16:creationId xmlns:a16="http://schemas.microsoft.com/office/drawing/2014/main" id="{38896484-2F52-58A2-E629-6FFB1B82FFDD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80" name="Oval 872">
            <a:extLst>
              <a:ext uri="{FF2B5EF4-FFF2-40B4-BE49-F238E27FC236}">
                <a16:creationId xmlns:a16="http://schemas.microsoft.com/office/drawing/2014/main" id="{C1F53E56-CC1E-448A-2A7D-802DFE856D4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81" name="Oval 873">
            <a:extLst>
              <a:ext uri="{FF2B5EF4-FFF2-40B4-BE49-F238E27FC236}">
                <a16:creationId xmlns:a16="http://schemas.microsoft.com/office/drawing/2014/main" id="{AB914452-25EC-A487-67B0-2A9A392C0274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82" name="Oval 874">
            <a:extLst>
              <a:ext uri="{FF2B5EF4-FFF2-40B4-BE49-F238E27FC236}">
                <a16:creationId xmlns:a16="http://schemas.microsoft.com/office/drawing/2014/main" id="{51425C4B-2322-545C-AD97-A89BD56A7CF4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83" name="AutoShape 875">
            <a:extLst>
              <a:ext uri="{FF2B5EF4-FFF2-40B4-BE49-F238E27FC236}">
                <a16:creationId xmlns:a16="http://schemas.microsoft.com/office/drawing/2014/main" id="{C5249662-D79E-19BC-55CE-39C81CEC61A1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84" name="AutoShape 876">
            <a:extLst>
              <a:ext uri="{FF2B5EF4-FFF2-40B4-BE49-F238E27FC236}">
                <a16:creationId xmlns:a16="http://schemas.microsoft.com/office/drawing/2014/main" id="{28BC8C46-47B1-7754-F796-564D1F24863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190500</xdr:colOff>
      <xdr:row>13</xdr:row>
      <xdr:rowOff>7620</xdr:rowOff>
    </xdr:from>
    <xdr:to>
      <xdr:col>3</xdr:col>
      <xdr:colOff>632460</xdr:colOff>
      <xdr:row>15</xdr:row>
      <xdr:rowOff>38100</xdr:rowOff>
    </xdr:to>
    <xdr:grpSp>
      <xdr:nvGrpSpPr>
        <xdr:cNvPr id="520512" name="Group 853">
          <a:extLst>
            <a:ext uri="{FF2B5EF4-FFF2-40B4-BE49-F238E27FC236}">
              <a16:creationId xmlns:a16="http://schemas.microsoft.com/office/drawing/2014/main" id="{73CF17BB-1C40-784C-1A85-EDCB6BCB76C7}"/>
            </a:ext>
          </a:extLst>
        </xdr:cNvPr>
        <xdr:cNvGrpSpPr>
          <a:grpSpLocks/>
        </xdr:cNvGrpSpPr>
      </xdr:nvGrpSpPr>
      <xdr:grpSpPr bwMode="auto">
        <a:xfrm>
          <a:off x="2574471" y="2326277"/>
          <a:ext cx="441960" cy="389709"/>
          <a:chOff x="675" y="362"/>
          <a:chExt cx="278" cy="249"/>
        </a:xfrm>
      </xdr:grpSpPr>
      <xdr:sp macro="" textlink="">
        <xdr:nvSpPr>
          <xdr:cNvPr id="520763" name="Rectangle 854">
            <a:extLst>
              <a:ext uri="{FF2B5EF4-FFF2-40B4-BE49-F238E27FC236}">
                <a16:creationId xmlns:a16="http://schemas.microsoft.com/office/drawing/2014/main" id="{FC1EC225-6862-F7BA-0A5F-3C4531A22839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4" name="Rectangle 855">
            <a:extLst>
              <a:ext uri="{FF2B5EF4-FFF2-40B4-BE49-F238E27FC236}">
                <a16:creationId xmlns:a16="http://schemas.microsoft.com/office/drawing/2014/main" id="{19D9453C-BCDA-6293-E44C-564F740F1612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5" name="Rectangle 856">
            <a:extLst>
              <a:ext uri="{FF2B5EF4-FFF2-40B4-BE49-F238E27FC236}">
                <a16:creationId xmlns:a16="http://schemas.microsoft.com/office/drawing/2014/main" id="{11FBCA9C-2A0F-65EF-301E-60EDDB110CD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6" name="Rectangle 857">
            <a:extLst>
              <a:ext uri="{FF2B5EF4-FFF2-40B4-BE49-F238E27FC236}">
                <a16:creationId xmlns:a16="http://schemas.microsoft.com/office/drawing/2014/main" id="{AAE98801-3723-9123-BBBC-155A9107999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7" name="Rectangle 858">
            <a:extLst>
              <a:ext uri="{FF2B5EF4-FFF2-40B4-BE49-F238E27FC236}">
                <a16:creationId xmlns:a16="http://schemas.microsoft.com/office/drawing/2014/main" id="{5C847B24-98C2-7691-6BC1-F8E76C07558F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8" name="Oval 859">
            <a:extLst>
              <a:ext uri="{FF2B5EF4-FFF2-40B4-BE49-F238E27FC236}">
                <a16:creationId xmlns:a16="http://schemas.microsoft.com/office/drawing/2014/main" id="{E181E01D-862A-0171-DF65-049BFF77EC86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69" name="Oval 860">
            <a:extLst>
              <a:ext uri="{FF2B5EF4-FFF2-40B4-BE49-F238E27FC236}">
                <a16:creationId xmlns:a16="http://schemas.microsoft.com/office/drawing/2014/main" id="{57B15BD8-B5CB-724D-6BE8-C8641AF1D7DE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70" name="AutoShape 861">
            <a:extLst>
              <a:ext uri="{FF2B5EF4-FFF2-40B4-BE49-F238E27FC236}">
                <a16:creationId xmlns:a16="http://schemas.microsoft.com/office/drawing/2014/main" id="{28CBF3A3-7DFB-9E66-B9EE-8B2C6A45D9AB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175260</xdr:colOff>
      <xdr:row>18</xdr:row>
      <xdr:rowOff>7620</xdr:rowOff>
    </xdr:from>
    <xdr:to>
      <xdr:col>3</xdr:col>
      <xdr:colOff>655320</xdr:colOff>
      <xdr:row>20</xdr:row>
      <xdr:rowOff>60960</xdr:rowOff>
    </xdr:to>
    <xdr:grpSp>
      <xdr:nvGrpSpPr>
        <xdr:cNvPr id="520513" name="Group 862">
          <a:extLst>
            <a:ext uri="{FF2B5EF4-FFF2-40B4-BE49-F238E27FC236}">
              <a16:creationId xmlns:a16="http://schemas.microsoft.com/office/drawing/2014/main" id="{6B554E55-003D-8558-0613-D11DF78D4CF0}"/>
            </a:ext>
          </a:extLst>
        </xdr:cNvPr>
        <xdr:cNvGrpSpPr>
          <a:grpSpLocks/>
        </xdr:cNvGrpSpPr>
      </xdr:nvGrpSpPr>
      <xdr:grpSpPr bwMode="auto">
        <a:xfrm>
          <a:off x="2559231" y="3208020"/>
          <a:ext cx="480060" cy="379911"/>
          <a:chOff x="624" y="37"/>
          <a:chExt cx="552" cy="248"/>
        </a:xfrm>
      </xdr:grpSpPr>
      <xdr:sp macro="" textlink="">
        <xdr:nvSpPr>
          <xdr:cNvPr id="520749" name="Rectangle 863">
            <a:extLst>
              <a:ext uri="{FF2B5EF4-FFF2-40B4-BE49-F238E27FC236}">
                <a16:creationId xmlns:a16="http://schemas.microsoft.com/office/drawing/2014/main" id="{D102145C-9A78-E14C-8A88-4F50C1386766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0" name="Rectangle 864">
            <a:extLst>
              <a:ext uri="{FF2B5EF4-FFF2-40B4-BE49-F238E27FC236}">
                <a16:creationId xmlns:a16="http://schemas.microsoft.com/office/drawing/2014/main" id="{255576AA-88F3-19D2-A22E-9269890F24CE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1" name="Rectangle 865">
            <a:extLst>
              <a:ext uri="{FF2B5EF4-FFF2-40B4-BE49-F238E27FC236}">
                <a16:creationId xmlns:a16="http://schemas.microsoft.com/office/drawing/2014/main" id="{FEDA7456-8F3D-FACD-4141-BA51049A1DAF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2" name="Rectangle 866">
            <a:extLst>
              <a:ext uri="{FF2B5EF4-FFF2-40B4-BE49-F238E27FC236}">
                <a16:creationId xmlns:a16="http://schemas.microsoft.com/office/drawing/2014/main" id="{C868B226-726B-E433-C0D4-EC7F71DEFE2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3" name="Rectangle 867">
            <a:extLst>
              <a:ext uri="{FF2B5EF4-FFF2-40B4-BE49-F238E27FC236}">
                <a16:creationId xmlns:a16="http://schemas.microsoft.com/office/drawing/2014/main" id="{8B9D522F-82B6-B709-0997-7F74092C545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4" name="Rectangle 868">
            <a:extLst>
              <a:ext uri="{FF2B5EF4-FFF2-40B4-BE49-F238E27FC236}">
                <a16:creationId xmlns:a16="http://schemas.microsoft.com/office/drawing/2014/main" id="{B274D1DB-96A9-AE17-FA12-94424C7FF1F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5" name="Rectangle 869">
            <a:extLst>
              <a:ext uri="{FF2B5EF4-FFF2-40B4-BE49-F238E27FC236}">
                <a16:creationId xmlns:a16="http://schemas.microsoft.com/office/drawing/2014/main" id="{656AE81D-7E03-99B2-1A85-C03FB4526BD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6" name="Rectangle 870">
            <a:extLst>
              <a:ext uri="{FF2B5EF4-FFF2-40B4-BE49-F238E27FC236}">
                <a16:creationId xmlns:a16="http://schemas.microsoft.com/office/drawing/2014/main" id="{3AEADF55-54DA-A2C3-BA22-5D12D7922BC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57" name="Oval 871">
            <a:extLst>
              <a:ext uri="{FF2B5EF4-FFF2-40B4-BE49-F238E27FC236}">
                <a16:creationId xmlns:a16="http://schemas.microsoft.com/office/drawing/2014/main" id="{531D2E67-B6F8-DD97-7A07-5F73C9466E6B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58" name="Oval 872">
            <a:extLst>
              <a:ext uri="{FF2B5EF4-FFF2-40B4-BE49-F238E27FC236}">
                <a16:creationId xmlns:a16="http://schemas.microsoft.com/office/drawing/2014/main" id="{F4EDA22A-1B52-87C9-271A-A4A2A56DAA4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59" name="Oval 873">
            <a:extLst>
              <a:ext uri="{FF2B5EF4-FFF2-40B4-BE49-F238E27FC236}">
                <a16:creationId xmlns:a16="http://schemas.microsoft.com/office/drawing/2014/main" id="{2F565FB5-A247-E42E-1A48-438491E2E3EC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60" name="Oval 874">
            <a:extLst>
              <a:ext uri="{FF2B5EF4-FFF2-40B4-BE49-F238E27FC236}">
                <a16:creationId xmlns:a16="http://schemas.microsoft.com/office/drawing/2014/main" id="{AC8C4FBE-1C01-C5DA-C54B-C34ADC6FF477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61" name="AutoShape 875">
            <a:extLst>
              <a:ext uri="{FF2B5EF4-FFF2-40B4-BE49-F238E27FC236}">
                <a16:creationId xmlns:a16="http://schemas.microsoft.com/office/drawing/2014/main" id="{A9838CBE-987B-97E5-6FCD-8EF6107BA001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62" name="AutoShape 876">
            <a:extLst>
              <a:ext uri="{FF2B5EF4-FFF2-40B4-BE49-F238E27FC236}">
                <a16:creationId xmlns:a16="http://schemas.microsoft.com/office/drawing/2014/main" id="{DDC319AB-F52D-1F1B-F9C6-08795F1E993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274320</xdr:colOff>
      <xdr:row>8</xdr:row>
      <xdr:rowOff>76200</xdr:rowOff>
    </xdr:from>
    <xdr:to>
      <xdr:col>10</xdr:col>
      <xdr:colOff>548640</xdr:colOff>
      <xdr:row>10</xdr:row>
      <xdr:rowOff>137160</xdr:rowOff>
    </xdr:to>
    <xdr:grpSp>
      <xdr:nvGrpSpPr>
        <xdr:cNvPr id="520514" name="Group 365">
          <a:extLst>
            <a:ext uri="{FF2B5EF4-FFF2-40B4-BE49-F238E27FC236}">
              <a16:creationId xmlns:a16="http://schemas.microsoft.com/office/drawing/2014/main" id="{38A294A7-882F-C795-78D6-BB6B840AF47A}"/>
            </a:ext>
          </a:extLst>
        </xdr:cNvPr>
        <xdr:cNvGrpSpPr>
          <a:grpSpLocks/>
        </xdr:cNvGrpSpPr>
      </xdr:nvGrpSpPr>
      <xdr:grpSpPr bwMode="auto">
        <a:xfrm>
          <a:off x="9962606" y="1513114"/>
          <a:ext cx="274320" cy="420189"/>
          <a:chOff x="333" y="153"/>
          <a:chExt cx="219" cy="333"/>
        </a:xfrm>
      </xdr:grpSpPr>
      <xdr:sp macro="" textlink="">
        <xdr:nvSpPr>
          <xdr:cNvPr id="520739" name="Rectangle 3">
            <a:extLst>
              <a:ext uri="{FF2B5EF4-FFF2-40B4-BE49-F238E27FC236}">
                <a16:creationId xmlns:a16="http://schemas.microsoft.com/office/drawing/2014/main" id="{02131719-B9A9-7AD2-57DD-D5527D48E48A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0" name="Line 355">
            <a:extLst>
              <a:ext uri="{FF2B5EF4-FFF2-40B4-BE49-F238E27FC236}">
                <a16:creationId xmlns:a16="http://schemas.microsoft.com/office/drawing/2014/main" id="{D8F0AB93-DD29-E246-9921-CA242D7D675C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741" name="Line 356">
            <a:extLst>
              <a:ext uri="{FF2B5EF4-FFF2-40B4-BE49-F238E27FC236}">
                <a16:creationId xmlns:a16="http://schemas.microsoft.com/office/drawing/2014/main" id="{F1A948EB-7B13-855B-0F36-8FCFB4481E6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742" name="Rectangle 358">
            <a:extLst>
              <a:ext uri="{FF2B5EF4-FFF2-40B4-BE49-F238E27FC236}">
                <a16:creationId xmlns:a16="http://schemas.microsoft.com/office/drawing/2014/main" id="{E8E8DFB4-6501-3883-2670-35425C9FA038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3" name="Oval 359">
            <a:extLst>
              <a:ext uri="{FF2B5EF4-FFF2-40B4-BE49-F238E27FC236}">
                <a16:creationId xmlns:a16="http://schemas.microsoft.com/office/drawing/2014/main" id="{CD145001-4857-3A61-788C-F03071731B35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44" name="Oval 360">
            <a:extLst>
              <a:ext uri="{FF2B5EF4-FFF2-40B4-BE49-F238E27FC236}">
                <a16:creationId xmlns:a16="http://schemas.microsoft.com/office/drawing/2014/main" id="{E482C837-6250-8C82-F32D-ED0A3CD168CD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45" name="Rectangle 361">
            <a:extLst>
              <a:ext uri="{FF2B5EF4-FFF2-40B4-BE49-F238E27FC236}">
                <a16:creationId xmlns:a16="http://schemas.microsoft.com/office/drawing/2014/main" id="{B6566854-5443-B01D-19A5-A5FA2A2D025F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6" name="Rectangle 362">
            <a:extLst>
              <a:ext uri="{FF2B5EF4-FFF2-40B4-BE49-F238E27FC236}">
                <a16:creationId xmlns:a16="http://schemas.microsoft.com/office/drawing/2014/main" id="{5007B142-2A23-6C46-D4D2-0CF6BFC4A21F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7" name="Rectangle 363">
            <a:extLst>
              <a:ext uri="{FF2B5EF4-FFF2-40B4-BE49-F238E27FC236}">
                <a16:creationId xmlns:a16="http://schemas.microsoft.com/office/drawing/2014/main" id="{91BD885A-4980-8F63-3E87-05D55C391295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48" name="Rectangle 364">
            <a:extLst>
              <a:ext uri="{FF2B5EF4-FFF2-40B4-BE49-F238E27FC236}">
                <a16:creationId xmlns:a16="http://schemas.microsoft.com/office/drawing/2014/main" id="{1C94439F-6037-8F1B-FDF0-C7E66A3ABCAD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220980</xdr:colOff>
      <xdr:row>11</xdr:row>
      <xdr:rowOff>91440</xdr:rowOff>
    </xdr:from>
    <xdr:to>
      <xdr:col>10</xdr:col>
      <xdr:colOff>647700</xdr:colOff>
      <xdr:row>13</xdr:row>
      <xdr:rowOff>121920</xdr:rowOff>
    </xdr:to>
    <xdr:grpSp>
      <xdr:nvGrpSpPr>
        <xdr:cNvPr id="520515" name="Group 388">
          <a:extLst>
            <a:ext uri="{FF2B5EF4-FFF2-40B4-BE49-F238E27FC236}">
              <a16:creationId xmlns:a16="http://schemas.microsoft.com/office/drawing/2014/main" id="{E48FC8EB-0E81-688E-8A6C-A0A17AB3628D}"/>
            </a:ext>
          </a:extLst>
        </xdr:cNvPr>
        <xdr:cNvGrpSpPr>
          <a:grpSpLocks/>
        </xdr:cNvGrpSpPr>
      </xdr:nvGrpSpPr>
      <xdr:grpSpPr bwMode="auto">
        <a:xfrm>
          <a:off x="9909266" y="2050869"/>
          <a:ext cx="426720" cy="389708"/>
          <a:chOff x="335" y="195"/>
          <a:chExt cx="352" cy="282"/>
        </a:xfrm>
      </xdr:grpSpPr>
      <xdr:grpSp>
        <xdr:nvGrpSpPr>
          <xdr:cNvPr id="520717" name="Group 366">
            <a:extLst>
              <a:ext uri="{FF2B5EF4-FFF2-40B4-BE49-F238E27FC236}">
                <a16:creationId xmlns:a16="http://schemas.microsoft.com/office/drawing/2014/main" id="{523A85AB-716C-4EBD-BF66-E32B7B0C68E5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20729" name="Rectangle 367">
              <a:extLst>
                <a:ext uri="{FF2B5EF4-FFF2-40B4-BE49-F238E27FC236}">
                  <a16:creationId xmlns:a16="http://schemas.microsoft.com/office/drawing/2014/main" id="{A715F2C0-A6B8-56EE-CF4F-038BC1DAE3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0" name="Line 368">
              <a:extLst>
                <a:ext uri="{FF2B5EF4-FFF2-40B4-BE49-F238E27FC236}">
                  <a16:creationId xmlns:a16="http://schemas.microsoft.com/office/drawing/2014/main" id="{4F7D0810-039E-3A49-E515-A6C890AAC5D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31" name="Line 369">
              <a:extLst>
                <a:ext uri="{FF2B5EF4-FFF2-40B4-BE49-F238E27FC236}">
                  <a16:creationId xmlns:a16="http://schemas.microsoft.com/office/drawing/2014/main" id="{B2979F9B-6DF3-3457-7D96-391B283DBFD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32" name="Rectangle 370">
              <a:extLst>
                <a:ext uri="{FF2B5EF4-FFF2-40B4-BE49-F238E27FC236}">
                  <a16:creationId xmlns:a16="http://schemas.microsoft.com/office/drawing/2014/main" id="{6A886416-BC01-7789-2333-EC027DFDD0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3" name="Oval 371">
              <a:extLst>
                <a:ext uri="{FF2B5EF4-FFF2-40B4-BE49-F238E27FC236}">
                  <a16:creationId xmlns:a16="http://schemas.microsoft.com/office/drawing/2014/main" id="{EC4D148A-6559-11F1-1030-C87100AC96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34" name="Oval 372">
              <a:extLst>
                <a:ext uri="{FF2B5EF4-FFF2-40B4-BE49-F238E27FC236}">
                  <a16:creationId xmlns:a16="http://schemas.microsoft.com/office/drawing/2014/main" id="{13C7FF5E-8105-10E1-D66B-D3EA25BC35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35" name="Rectangle 373">
              <a:extLst>
                <a:ext uri="{FF2B5EF4-FFF2-40B4-BE49-F238E27FC236}">
                  <a16:creationId xmlns:a16="http://schemas.microsoft.com/office/drawing/2014/main" id="{1E7FAFD0-D5BF-895D-C097-570C31E67F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6" name="Rectangle 374">
              <a:extLst>
                <a:ext uri="{FF2B5EF4-FFF2-40B4-BE49-F238E27FC236}">
                  <a16:creationId xmlns:a16="http://schemas.microsoft.com/office/drawing/2014/main" id="{84F689E0-C45A-2837-62E7-CE8235A738C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7" name="Rectangle 375">
              <a:extLst>
                <a:ext uri="{FF2B5EF4-FFF2-40B4-BE49-F238E27FC236}">
                  <a16:creationId xmlns:a16="http://schemas.microsoft.com/office/drawing/2014/main" id="{BB0A447D-0F73-AC96-611A-83CDB32D882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38" name="Rectangle 376">
              <a:extLst>
                <a:ext uri="{FF2B5EF4-FFF2-40B4-BE49-F238E27FC236}">
                  <a16:creationId xmlns:a16="http://schemas.microsoft.com/office/drawing/2014/main" id="{823D9898-6486-83B4-641F-F4AD311221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20718" name="Group 377">
            <a:extLst>
              <a:ext uri="{FF2B5EF4-FFF2-40B4-BE49-F238E27FC236}">
                <a16:creationId xmlns:a16="http://schemas.microsoft.com/office/drawing/2014/main" id="{34C6A399-9058-F832-00F6-6F8A6653E446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20719" name="Rectangle 378">
              <a:extLst>
                <a:ext uri="{FF2B5EF4-FFF2-40B4-BE49-F238E27FC236}">
                  <a16:creationId xmlns:a16="http://schemas.microsoft.com/office/drawing/2014/main" id="{8F6F202F-FA9B-823A-F3FC-BD5F2151D1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0" name="Line 379">
              <a:extLst>
                <a:ext uri="{FF2B5EF4-FFF2-40B4-BE49-F238E27FC236}">
                  <a16:creationId xmlns:a16="http://schemas.microsoft.com/office/drawing/2014/main" id="{3BBD351C-D4E5-0FDA-73B1-D44D61C5830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21" name="Line 380">
              <a:extLst>
                <a:ext uri="{FF2B5EF4-FFF2-40B4-BE49-F238E27FC236}">
                  <a16:creationId xmlns:a16="http://schemas.microsoft.com/office/drawing/2014/main" id="{6D3E8DA5-2D33-FAC4-B2A5-50BD1169D81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22" name="Rectangle 381">
              <a:extLst>
                <a:ext uri="{FF2B5EF4-FFF2-40B4-BE49-F238E27FC236}">
                  <a16:creationId xmlns:a16="http://schemas.microsoft.com/office/drawing/2014/main" id="{A90D5DCA-C860-E50D-B716-49378960A0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3" name="Oval 382">
              <a:extLst>
                <a:ext uri="{FF2B5EF4-FFF2-40B4-BE49-F238E27FC236}">
                  <a16:creationId xmlns:a16="http://schemas.microsoft.com/office/drawing/2014/main" id="{8CDAAA8F-88B5-9CCC-9FD2-6D6AA1EE13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24" name="Oval 383">
              <a:extLst>
                <a:ext uri="{FF2B5EF4-FFF2-40B4-BE49-F238E27FC236}">
                  <a16:creationId xmlns:a16="http://schemas.microsoft.com/office/drawing/2014/main" id="{55C73A54-BCBD-45BF-76FE-49B719BD81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25" name="Rectangle 384">
              <a:extLst>
                <a:ext uri="{FF2B5EF4-FFF2-40B4-BE49-F238E27FC236}">
                  <a16:creationId xmlns:a16="http://schemas.microsoft.com/office/drawing/2014/main" id="{8CED58A0-6DB1-492C-C733-C8CEA75145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6" name="Rectangle 385">
              <a:extLst>
                <a:ext uri="{FF2B5EF4-FFF2-40B4-BE49-F238E27FC236}">
                  <a16:creationId xmlns:a16="http://schemas.microsoft.com/office/drawing/2014/main" id="{86B5074A-8143-8D4B-4ADC-5CBF12CDE2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7" name="Rectangle 386">
              <a:extLst>
                <a:ext uri="{FF2B5EF4-FFF2-40B4-BE49-F238E27FC236}">
                  <a16:creationId xmlns:a16="http://schemas.microsoft.com/office/drawing/2014/main" id="{0FDC80B4-48EB-EBD3-70E6-B6413E9417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28" name="Rectangle 387">
              <a:extLst>
                <a:ext uri="{FF2B5EF4-FFF2-40B4-BE49-F238E27FC236}">
                  <a16:creationId xmlns:a16="http://schemas.microsoft.com/office/drawing/2014/main" id="{259FC6B0-B0C2-6C5C-4197-50B94EF84A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152400</xdr:colOff>
      <xdr:row>14</xdr:row>
      <xdr:rowOff>68580</xdr:rowOff>
    </xdr:from>
    <xdr:to>
      <xdr:col>10</xdr:col>
      <xdr:colOff>723900</xdr:colOff>
      <xdr:row>16</xdr:row>
      <xdr:rowOff>114300</xdr:rowOff>
    </xdr:to>
    <xdr:grpSp>
      <xdr:nvGrpSpPr>
        <xdr:cNvPr id="520516" name="Group 425">
          <a:extLst>
            <a:ext uri="{FF2B5EF4-FFF2-40B4-BE49-F238E27FC236}">
              <a16:creationId xmlns:a16="http://schemas.microsoft.com/office/drawing/2014/main" id="{65F2F8B8-F0F5-3AF3-D45E-F34192ADAF2D}"/>
            </a:ext>
          </a:extLst>
        </xdr:cNvPr>
        <xdr:cNvGrpSpPr>
          <a:grpSpLocks/>
        </xdr:cNvGrpSpPr>
      </xdr:nvGrpSpPr>
      <xdr:grpSpPr bwMode="auto">
        <a:xfrm>
          <a:off x="9840686" y="2550523"/>
          <a:ext cx="571500" cy="404948"/>
          <a:chOff x="220" y="176"/>
          <a:chExt cx="556" cy="247"/>
        </a:xfrm>
      </xdr:grpSpPr>
      <xdr:sp macro="" textlink="">
        <xdr:nvSpPr>
          <xdr:cNvPr id="520694" name="Rectangle 391">
            <a:extLst>
              <a:ext uri="{FF2B5EF4-FFF2-40B4-BE49-F238E27FC236}">
                <a16:creationId xmlns:a16="http://schemas.microsoft.com/office/drawing/2014/main" id="{3D481855-9CEE-3B2F-64EF-716C49C38EB9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5" name="Line 392">
            <a:extLst>
              <a:ext uri="{FF2B5EF4-FFF2-40B4-BE49-F238E27FC236}">
                <a16:creationId xmlns:a16="http://schemas.microsoft.com/office/drawing/2014/main" id="{FF4F42A6-4C7A-A3F1-AF75-2CFAE44012F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696" name="Line 393">
            <a:extLst>
              <a:ext uri="{FF2B5EF4-FFF2-40B4-BE49-F238E27FC236}">
                <a16:creationId xmlns:a16="http://schemas.microsoft.com/office/drawing/2014/main" id="{B07048E4-5BA3-C06A-FB0B-317086E8911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0697" name="Rectangle 394">
            <a:extLst>
              <a:ext uri="{FF2B5EF4-FFF2-40B4-BE49-F238E27FC236}">
                <a16:creationId xmlns:a16="http://schemas.microsoft.com/office/drawing/2014/main" id="{C8068015-8137-FC91-0E70-0CC2191C2A2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8" name="Oval 395">
            <a:extLst>
              <a:ext uri="{FF2B5EF4-FFF2-40B4-BE49-F238E27FC236}">
                <a16:creationId xmlns:a16="http://schemas.microsoft.com/office/drawing/2014/main" id="{C80F4E4C-332C-E66E-D6AE-E2F14543E049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699" name="Oval 396">
            <a:extLst>
              <a:ext uri="{FF2B5EF4-FFF2-40B4-BE49-F238E27FC236}">
                <a16:creationId xmlns:a16="http://schemas.microsoft.com/office/drawing/2014/main" id="{E74EBA81-54E4-1778-E6B4-BC94E5C9758D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0700" name="Rectangle 397">
            <a:extLst>
              <a:ext uri="{FF2B5EF4-FFF2-40B4-BE49-F238E27FC236}">
                <a16:creationId xmlns:a16="http://schemas.microsoft.com/office/drawing/2014/main" id="{C5AE5938-A0FC-5589-6FE7-830ACBDFA91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01" name="Rectangle 398">
            <a:extLst>
              <a:ext uri="{FF2B5EF4-FFF2-40B4-BE49-F238E27FC236}">
                <a16:creationId xmlns:a16="http://schemas.microsoft.com/office/drawing/2014/main" id="{84EA92E8-6C38-A54A-E4C6-884C3482216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02" name="Rectangle 399">
            <a:extLst>
              <a:ext uri="{FF2B5EF4-FFF2-40B4-BE49-F238E27FC236}">
                <a16:creationId xmlns:a16="http://schemas.microsoft.com/office/drawing/2014/main" id="{1E12BA6C-4B1B-EF1A-024E-9CE1AC05A59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03" name="Rectangle 400">
            <a:extLst>
              <a:ext uri="{FF2B5EF4-FFF2-40B4-BE49-F238E27FC236}">
                <a16:creationId xmlns:a16="http://schemas.microsoft.com/office/drawing/2014/main" id="{B10343DD-0240-793C-7DD5-B08FEACD47E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0704" name="Group 401">
            <a:extLst>
              <a:ext uri="{FF2B5EF4-FFF2-40B4-BE49-F238E27FC236}">
                <a16:creationId xmlns:a16="http://schemas.microsoft.com/office/drawing/2014/main" id="{DF9F6ABD-1B4C-8C75-92DB-C180637EA82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0707" name="Rectangle 402">
              <a:extLst>
                <a:ext uri="{FF2B5EF4-FFF2-40B4-BE49-F238E27FC236}">
                  <a16:creationId xmlns:a16="http://schemas.microsoft.com/office/drawing/2014/main" id="{15DBB952-7143-7B1B-35F5-026BEB8B8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08" name="Line 403">
              <a:extLst>
                <a:ext uri="{FF2B5EF4-FFF2-40B4-BE49-F238E27FC236}">
                  <a16:creationId xmlns:a16="http://schemas.microsoft.com/office/drawing/2014/main" id="{4FA9F3A1-7334-EFB8-81EC-26B2250FC3C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09" name="Line 404">
              <a:extLst>
                <a:ext uri="{FF2B5EF4-FFF2-40B4-BE49-F238E27FC236}">
                  <a16:creationId xmlns:a16="http://schemas.microsoft.com/office/drawing/2014/main" id="{F813A313-5D64-F4A8-7E27-3423FE96135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0710" name="Rectangle 405">
              <a:extLst>
                <a:ext uri="{FF2B5EF4-FFF2-40B4-BE49-F238E27FC236}">
                  <a16:creationId xmlns:a16="http://schemas.microsoft.com/office/drawing/2014/main" id="{302D44AB-5C4F-4E9D-C524-D2C72E1E98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11" name="Oval 406">
              <a:extLst>
                <a:ext uri="{FF2B5EF4-FFF2-40B4-BE49-F238E27FC236}">
                  <a16:creationId xmlns:a16="http://schemas.microsoft.com/office/drawing/2014/main" id="{75355C92-1CE5-3FB9-5B20-C5D8AF2B43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12" name="Oval 407">
              <a:extLst>
                <a:ext uri="{FF2B5EF4-FFF2-40B4-BE49-F238E27FC236}">
                  <a16:creationId xmlns:a16="http://schemas.microsoft.com/office/drawing/2014/main" id="{0DD4221A-4FC9-AA0D-7BFC-8BA257D22F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0713" name="Rectangle 408">
              <a:extLst>
                <a:ext uri="{FF2B5EF4-FFF2-40B4-BE49-F238E27FC236}">
                  <a16:creationId xmlns:a16="http://schemas.microsoft.com/office/drawing/2014/main" id="{34355D9D-1FF8-48B2-7ADF-A4EF652895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14" name="Rectangle 409">
              <a:extLst>
                <a:ext uri="{FF2B5EF4-FFF2-40B4-BE49-F238E27FC236}">
                  <a16:creationId xmlns:a16="http://schemas.microsoft.com/office/drawing/2014/main" id="{D7BE0206-52CD-9BC4-14CF-64BB5EE70C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15" name="Rectangle 410">
              <a:extLst>
                <a:ext uri="{FF2B5EF4-FFF2-40B4-BE49-F238E27FC236}">
                  <a16:creationId xmlns:a16="http://schemas.microsoft.com/office/drawing/2014/main" id="{42DC2BF5-9976-C9C0-E6AA-0E3A3F031F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0716" name="Rectangle 411">
              <a:extLst>
                <a:ext uri="{FF2B5EF4-FFF2-40B4-BE49-F238E27FC236}">
                  <a16:creationId xmlns:a16="http://schemas.microsoft.com/office/drawing/2014/main" id="{2B791908-496B-56B0-53A8-8E30C62F33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0705" name="Rectangle 423">
            <a:extLst>
              <a:ext uri="{FF2B5EF4-FFF2-40B4-BE49-F238E27FC236}">
                <a16:creationId xmlns:a16="http://schemas.microsoft.com/office/drawing/2014/main" id="{07DECC5D-5E0A-8C76-0CC0-89DC5304436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706" name="Rectangle 424">
            <a:extLst>
              <a:ext uri="{FF2B5EF4-FFF2-40B4-BE49-F238E27FC236}">
                <a16:creationId xmlns:a16="http://schemas.microsoft.com/office/drawing/2014/main" id="{3CC2F376-B7BC-1198-4EB9-B028CDEAA6F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152400</xdr:colOff>
      <xdr:row>2</xdr:row>
      <xdr:rowOff>68580</xdr:rowOff>
    </xdr:from>
    <xdr:to>
      <xdr:col>10</xdr:col>
      <xdr:colOff>647700</xdr:colOff>
      <xdr:row>4</xdr:row>
      <xdr:rowOff>99060</xdr:rowOff>
    </xdr:to>
    <xdr:grpSp>
      <xdr:nvGrpSpPr>
        <xdr:cNvPr id="520517" name="Group 1091">
          <a:extLst>
            <a:ext uri="{FF2B5EF4-FFF2-40B4-BE49-F238E27FC236}">
              <a16:creationId xmlns:a16="http://schemas.microsoft.com/office/drawing/2014/main" id="{D83BFCE3-4292-22D5-6AE0-9C3F3F4E86A4}"/>
            </a:ext>
          </a:extLst>
        </xdr:cNvPr>
        <xdr:cNvGrpSpPr>
          <a:grpSpLocks/>
        </xdr:cNvGrpSpPr>
      </xdr:nvGrpSpPr>
      <xdr:grpSpPr bwMode="auto">
        <a:xfrm>
          <a:off x="9840686" y="460466"/>
          <a:ext cx="495300" cy="357051"/>
          <a:chOff x="727" y="291"/>
          <a:chExt cx="534" cy="327"/>
        </a:xfrm>
      </xdr:grpSpPr>
      <xdr:sp macro="" textlink="">
        <xdr:nvSpPr>
          <xdr:cNvPr id="520686" name="Rectangle 1092">
            <a:extLst>
              <a:ext uri="{FF2B5EF4-FFF2-40B4-BE49-F238E27FC236}">
                <a16:creationId xmlns:a16="http://schemas.microsoft.com/office/drawing/2014/main" id="{114DC728-8DFE-E60A-9170-8F761C23F047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87" name="Rectangle 1093">
            <a:extLst>
              <a:ext uri="{FF2B5EF4-FFF2-40B4-BE49-F238E27FC236}">
                <a16:creationId xmlns:a16="http://schemas.microsoft.com/office/drawing/2014/main" id="{E7C124CE-D780-1EA8-D4E7-BE6206DF7F98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88" name="Rectangle 1094">
            <a:extLst>
              <a:ext uri="{FF2B5EF4-FFF2-40B4-BE49-F238E27FC236}">
                <a16:creationId xmlns:a16="http://schemas.microsoft.com/office/drawing/2014/main" id="{DFCA19AD-E4DD-D7E1-C517-5A95C09F8D45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89" name="Rectangle 1095">
            <a:extLst>
              <a:ext uri="{FF2B5EF4-FFF2-40B4-BE49-F238E27FC236}">
                <a16:creationId xmlns:a16="http://schemas.microsoft.com/office/drawing/2014/main" id="{630A391B-7526-66FA-E94B-306A2E424C25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0" name="Rectangle 1096">
            <a:extLst>
              <a:ext uri="{FF2B5EF4-FFF2-40B4-BE49-F238E27FC236}">
                <a16:creationId xmlns:a16="http://schemas.microsoft.com/office/drawing/2014/main" id="{713AFD51-5217-BF40-0952-03446B244D9D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1" name="Rectangle 1097">
            <a:extLst>
              <a:ext uri="{FF2B5EF4-FFF2-40B4-BE49-F238E27FC236}">
                <a16:creationId xmlns:a16="http://schemas.microsoft.com/office/drawing/2014/main" id="{9FB1787C-8E96-62C9-29B7-5BA44D6E0C73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2" name="Rectangle 1098">
            <a:extLst>
              <a:ext uri="{FF2B5EF4-FFF2-40B4-BE49-F238E27FC236}">
                <a16:creationId xmlns:a16="http://schemas.microsoft.com/office/drawing/2014/main" id="{84B7DD73-3F0F-F6BF-A0CC-EA9EC9F6D93D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0693" name="Rectangle 1099">
            <a:extLst>
              <a:ext uri="{FF2B5EF4-FFF2-40B4-BE49-F238E27FC236}">
                <a16:creationId xmlns:a16="http://schemas.microsoft.com/office/drawing/2014/main" id="{1EDA804A-DA94-1F19-4782-5B3188B02AE9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121920</xdr:colOff>
      <xdr:row>24</xdr:row>
      <xdr:rowOff>0</xdr:rowOff>
    </xdr:from>
    <xdr:to>
      <xdr:col>3</xdr:col>
      <xdr:colOff>685800</xdr:colOff>
      <xdr:row>27</xdr:row>
      <xdr:rowOff>38100</xdr:rowOff>
    </xdr:to>
    <xdr:grpSp>
      <xdr:nvGrpSpPr>
        <xdr:cNvPr id="520518" name="1187 Grupo">
          <a:extLst>
            <a:ext uri="{FF2B5EF4-FFF2-40B4-BE49-F238E27FC236}">
              <a16:creationId xmlns:a16="http://schemas.microsoft.com/office/drawing/2014/main" id="{1D3E02FA-E99C-4D0C-90D7-FCB2A6CC492C}"/>
            </a:ext>
          </a:extLst>
        </xdr:cNvPr>
        <xdr:cNvGrpSpPr>
          <a:grpSpLocks/>
        </xdr:cNvGrpSpPr>
      </xdr:nvGrpSpPr>
      <xdr:grpSpPr bwMode="auto">
        <a:xfrm>
          <a:off x="2505891" y="4245429"/>
          <a:ext cx="563880" cy="527957"/>
          <a:chOff x="12578073" y="988919"/>
          <a:chExt cx="9678677" cy="8510681"/>
        </a:xfrm>
      </xdr:grpSpPr>
      <xdr:grpSp>
        <xdr:nvGrpSpPr>
          <xdr:cNvPr id="520603" name="629 Grupo">
            <a:extLst>
              <a:ext uri="{FF2B5EF4-FFF2-40B4-BE49-F238E27FC236}">
                <a16:creationId xmlns:a16="http://schemas.microsoft.com/office/drawing/2014/main" id="{7EAA462E-F425-8203-FA29-F0349510011B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0669" name="410 Grupo">
              <a:extLst>
                <a:ext uri="{FF2B5EF4-FFF2-40B4-BE49-F238E27FC236}">
                  <a16:creationId xmlns:a16="http://schemas.microsoft.com/office/drawing/2014/main" id="{1638E7E9-A733-336B-F61C-0A0AD0AD2C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0674" name="Group 1078">
                <a:extLst>
                  <a:ext uri="{FF2B5EF4-FFF2-40B4-BE49-F238E27FC236}">
                    <a16:creationId xmlns:a16="http://schemas.microsoft.com/office/drawing/2014/main" id="{E44DE3A3-F55E-870A-3C22-6329ABF4C796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0676" name="Rectangle 1079">
                  <a:extLst>
                    <a:ext uri="{FF2B5EF4-FFF2-40B4-BE49-F238E27FC236}">
                      <a16:creationId xmlns:a16="http://schemas.microsoft.com/office/drawing/2014/main" id="{9D1555FE-05BF-3BF7-E63B-38B7FA53F65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77" name="Rectangle 1080">
                  <a:extLst>
                    <a:ext uri="{FF2B5EF4-FFF2-40B4-BE49-F238E27FC236}">
                      <a16:creationId xmlns:a16="http://schemas.microsoft.com/office/drawing/2014/main" id="{B9C4F2D2-8757-7894-6EB9-83EE20E219B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78" name="Rectangle 1081">
                  <a:extLst>
                    <a:ext uri="{FF2B5EF4-FFF2-40B4-BE49-F238E27FC236}">
                      <a16:creationId xmlns:a16="http://schemas.microsoft.com/office/drawing/2014/main" id="{A134BC14-527E-840C-29F1-67007D8AF4C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79" name="Rectangle 1082">
                  <a:extLst>
                    <a:ext uri="{FF2B5EF4-FFF2-40B4-BE49-F238E27FC236}">
                      <a16:creationId xmlns:a16="http://schemas.microsoft.com/office/drawing/2014/main" id="{628FD82E-A8CC-2FC7-2588-C8FDF8DB2FE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80" name="Rectangle 1083">
                  <a:extLst>
                    <a:ext uri="{FF2B5EF4-FFF2-40B4-BE49-F238E27FC236}">
                      <a16:creationId xmlns:a16="http://schemas.microsoft.com/office/drawing/2014/main" id="{190BA156-6D88-129B-3B5D-09B308BA342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681" name="Rectangle 1086">
                  <a:extLst>
                    <a:ext uri="{FF2B5EF4-FFF2-40B4-BE49-F238E27FC236}">
                      <a16:creationId xmlns:a16="http://schemas.microsoft.com/office/drawing/2014/main" id="{02D80192-6BA2-07CD-27C8-85045BD6A4D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82" name="Rectangle 1087">
                  <a:extLst>
                    <a:ext uri="{FF2B5EF4-FFF2-40B4-BE49-F238E27FC236}">
                      <a16:creationId xmlns:a16="http://schemas.microsoft.com/office/drawing/2014/main" id="{BE320E03-8FA3-EDD8-7AE0-BDEC08C462C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83" name="Rectangle 1088">
                  <a:extLst>
                    <a:ext uri="{FF2B5EF4-FFF2-40B4-BE49-F238E27FC236}">
                      <a16:creationId xmlns:a16="http://schemas.microsoft.com/office/drawing/2014/main" id="{E0960433-D9F0-B1EB-A1DE-4DE9E8661D6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84" name="Rectangle 1089">
                  <a:extLst>
                    <a:ext uri="{FF2B5EF4-FFF2-40B4-BE49-F238E27FC236}">
                      <a16:creationId xmlns:a16="http://schemas.microsoft.com/office/drawing/2014/main" id="{91EEE207-1DCE-860A-F6D2-8D0CDFBF1E7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85" name="Rectangle 1093">
                  <a:extLst>
                    <a:ext uri="{FF2B5EF4-FFF2-40B4-BE49-F238E27FC236}">
                      <a16:creationId xmlns:a16="http://schemas.microsoft.com/office/drawing/2014/main" id="{86447648-C426-281F-FDFB-8FE825A2BE7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0675" name="Rectangle 1087">
                <a:extLst>
                  <a:ext uri="{FF2B5EF4-FFF2-40B4-BE49-F238E27FC236}">
                    <a16:creationId xmlns:a16="http://schemas.microsoft.com/office/drawing/2014/main" id="{B6C9EED9-89E1-3CB9-CF81-3CDD8DCC0A7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0670" name="Rectangle 1082">
              <a:extLst>
                <a:ext uri="{FF2B5EF4-FFF2-40B4-BE49-F238E27FC236}">
                  <a16:creationId xmlns:a16="http://schemas.microsoft.com/office/drawing/2014/main" id="{5AE9AFDA-EB7B-3E33-DA6C-E110BF9F9B38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671" name="Rectangle 1082">
              <a:extLst>
                <a:ext uri="{FF2B5EF4-FFF2-40B4-BE49-F238E27FC236}">
                  <a16:creationId xmlns:a16="http://schemas.microsoft.com/office/drawing/2014/main" id="{EE77C66F-55FD-AE0D-69C8-6FB0B93AF5D8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672" name="Rectangle 1082">
              <a:extLst>
                <a:ext uri="{FF2B5EF4-FFF2-40B4-BE49-F238E27FC236}">
                  <a16:creationId xmlns:a16="http://schemas.microsoft.com/office/drawing/2014/main" id="{982927C6-76B4-80BF-E562-B63369F89BE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673" name="Rectangle 1082">
              <a:extLst>
                <a:ext uri="{FF2B5EF4-FFF2-40B4-BE49-F238E27FC236}">
                  <a16:creationId xmlns:a16="http://schemas.microsoft.com/office/drawing/2014/main" id="{90AEB26E-9F64-68A2-24F4-29C70943B04D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0604" name="572 Grupo">
            <a:extLst>
              <a:ext uri="{FF2B5EF4-FFF2-40B4-BE49-F238E27FC236}">
                <a16:creationId xmlns:a16="http://schemas.microsoft.com/office/drawing/2014/main" id="{C4CF0150-6B9C-8E27-DFF7-7A0968896834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0657" name="562 Grupo">
              <a:extLst>
                <a:ext uri="{FF2B5EF4-FFF2-40B4-BE49-F238E27FC236}">
                  <a16:creationId xmlns:a16="http://schemas.microsoft.com/office/drawing/2014/main" id="{4C948D72-8E7E-6D28-5F61-A0F48EC9BF8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67" name="1252 Conector recto">
                <a:extLst>
                  <a:ext uri="{FF2B5EF4-FFF2-40B4-BE49-F238E27FC236}">
                    <a16:creationId xmlns:a16="http://schemas.microsoft.com/office/drawing/2014/main" id="{71CFF6B7-805B-0F3D-F9ED-4D794683909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68" name="1253 Conector recto">
                <a:extLst>
                  <a:ext uri="{FF2B5EF4-FFF2-40B4-BE49-F238E27FC236}">
                    <a16:creationId xmlns:a16="http://schemas.microsoft.com/office/drawing/2014/main" id="{B884E21C-618A-EA7D-C14C-595D05DE0C0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58" name="563 Grupo">
              <a:extLst>
                <a:ext uri="{FF2B5EF4-FFF2-40B4-BE49-F238E27FC236}">
                  <a16:creationId xmlns:a16="http://schemas.microsoft.com/office/drawing/2014/main" id="{659A807B-80D5-756F-A757-782DD2F9F96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65" name="1250 Conector recto">
                <a:extLst>
                  <a:ext uri="{FF2B5EF4-FFF2-40B4-BE49-F238E27FC236}">
                    <a16:creationId xmlns:a16="http://schemas.microsoft.com/office/drawing/2014/main" id="{487D5BCA-81DC-35BF-3636-889EE31F60E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66" name="1251 Conector recto">
                <a:extLst>
                  <a:ext uri="{FF2B5EF4-FFF2-40B4-BE49-F238E27FC236}">
                    <a16:creationId xmlns:a16="http://schemas.microsoft.com/office/drawing/2014/main" id="{04500E2C-F8CA-662F-EDE3-48611BC635A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59" name="566 Grupo">
              <a:extLst>
                <a:ext uri="{FF2B5EF4-FFF2-40B4-BE49-F238E27FC236}">
                  <a16:creationId xmlns:a16="http://schemas.microsoft.com/office/drawing/2014/main" id="{A86E1052-9E71-280E-0AEA-4E04EE682D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63" name="1248 Conector recto">
                <a:extLst>
                  <a:ext uri="{FF2B5EF4-FFF2-40B4-BE49-F238E27FC236}">
                    <a16:creationId xmlns:a16="http://schemas.microsoft.com/office/drawing/2014/main" id="{4F879467-C60A-4749-1503-1F86EEBA920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64" name="1249 Conector recto">
                <a:extLst>
                  <a:ext uri="{FF2B5EF4-FFF2-40B4-BE49-F238E27FC236}">
                    <a16:creationId xmlns:a16="http://schemas.microsoft.com/office/drawing/2014/main" id="{9252D042-A757-0564-50DD-EC079F935CC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60" name="569 Grupo">
              <a:extLst>
                <a:ext uri="{FF2B5EF4-FFF2-40B4-BE49-F238E27FC236}">
                  <a16:creationId xmlns:a16="http://schemas.microsoft.com/office/drawing/2014/main" id="{DC4B482E-A485-DD64-879F-66367636335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61" name="1246 Conector recto">
                <a:extLst>
                  <a:ext uri="{FF2B5EF4-FFF2-40B4-BE49-F238E27FC236}">
                    <a16:creationId xmlns:a16="http://schemas.microsoft.com/office/drawing/2014/main" id="{B7E3171B-A1EE-038F-E79D-147DDA178F3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62" name="1247 Conector recto">
                <a:extLst>
                  <a:ext uri="{FF2B5EF4-FFF2-40B4-BE49-F238E27FC236}">
                    <a16:creationId xmlns:a16="http://schemas.microsoft.com/office/drawing/2014/main" id="{D5F51CC3-DB2F-FA98-6ED2-2EF616D159C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605" name="573 Grupo">
            <a:extLst>
              <a:ext uri="{FF2B5EF4-FFF2-40B4-BE49-F238E27FC236}">
                <a16:creationId xmlns:a16="http://schemas.microsoft.com/office/drawing/2014/main" id="{19DA5019-47FB-6B7D-4A22-16E60A125255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0645" name="562 Grupo">
              <a:extLst>
                <a:ext uri="{FF2B5EF4-FFF2-40B4-BE49-F238E27FC236}">
                  <a16:creationId xmlns:a16="http://schemas.microsoft.com/office/drawing/2014/main" id="{B7662910-E758-CF85-E5A3-B7077CD2471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55" name="1240 Conector recto">
                <a:extLst>
                  <a:ext uri="{FF2B5EF4-FFF2-40B4-BE49-F238E27FC236}">
                    <a16:creationId xmlns:a16="http://schemas.microsoft.com/office/drawing/2014/main" id="{26357555-7FC9-ADE5-EBCA-E97D4CB7D4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56" name="1241 Conector recto">
                <a:extLst>
                  <a:ext uri="{FF2B5EF4-FFF2-40B4-BE49-F238E27FC236}">
                    <a16:creationId xmlns:a16="http://schemas.microsoft.com/office/drawing/2014/main" id="{B71EE94C-938C-C982-DE1C-E9831F0E72A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46" name="563 Grupo">
              <a:extLst>
                <a:ext uri="{FF2B5EF4-FFF2-40B4-BE49-F238E27FC236}">
                  <a16:creationId xmlns:a16="http://schemas.microsoft.com/office/drawing/2014/main" id="{5BC2B0A9-73FB-9919-30FB-F2BD8282D6B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53" name="1238 Conector recto">
                <a:extLst>
                  <a:ext uri="{FF2B5EF4-FFF2-40B4-BE49-F238E27FC236}">
                    <a16:creationId xmlns:a16="http://schemas.microsoft.com/office/drawing/2014/main" id="{38AB3723-28E4-B10F-49B9-2A04B10C1B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54" name="1239 Conector recto">
                <a:extLst>
                  <a:ext uri="{FF2B5EF4-FFF2-40B4-BE49-F238E27FC236}">
                    <a16:creationId xmlns:a16="http://schemas.microsoft.com/office/drawing/2014/main" id="{33A645C2-A9D9-13BD-04CE-FC97ADCCED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47" name="566 Grupo">
              <a:extLst>
                <a:ext uri="{FF2B5EF4-FFF2-40B4-BE49-F238E27FC236}">
                  <a16:creationId xmlns:a16="http://schemas.microsoft.com/office/drawing/2014/main" id="{A982B6B2-6600-DD28-DABB-CCE6B839D9B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51" name="1236 Conector recto">
                <a:extLst>
                  <a:ext uri="{FF2B5EF4-FFF2-40B4-BE49-F238E27FC236}">
                    <a16:creationId xmlns:a16="http://schemas.microsoft.com/office/drawing/2014/main" id="{B0A09215-44CA-E083-C167-8EE102BBAAC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52" name="1237 Conector recto">
                <a:extLst>
                  <a:ext uri="{FF2B5EF4-FFF2-40B4-BE49-F238E27FC236}">
                    <a16:creationId xmlns:a16="http://schemas.microsoft.com/office/drawing/2014/main" id="{4E14576C-300D-F631-33AF-588987BA437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48" name="569 Grupo">
              <a:extLst>
                <a:ext uri="{FF2B5EF4-FFF2-40B4-BE49-F238E27FC236}">
                  <a16:creationId xmlns:a16="http://schemas.microsoft.com/office/drawing/2014/main" id="{C5B82DBF-4A7E-4237-56EE-E98D96EDDB3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49" name="1234 Conector recto">
                <a:extLst>
                  <a:ext uri="{FF2B5EF4-FFF2-40B4-BE49-F238E27FC236}">
                    <a16:creationId xmlns:a16="http://schemas.microsoft.com/office/drawing/2014/main" id="{224F1FD5-AE41-0D9F-73E5-CD002703ED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50" name="1235 Conector recto">
                <a:extLst>
                  <a:ext uri="{FF2B5EF4-FFF2-40B4-BE49-F238E27FC236}">
                    <a16:creationId xmlns:a16="http://schemas.microsoft.com/office/drawing/2014/main" id="{1A999979-B3CD-E605-B10F-D75C69B6855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606" name="586 Grupo">
            <a:extLst>
              <a:ext uri="{FF2B5EF4-FFF2-40B4-BE49-F238E27FC236}">
                <a16:creationId xmlns:a16="http://schemas.microsoft.com/office/drawing/2014/main" id="{179F319F-CAA4-1021-5DB9-63B6FB968CC7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0633" name="562 Grupo">
              <a:extLst>
                <a:ext uri="{FF2B5EF4-FFF2-40B4-BE49-F238E27FC236}">
                  <a16:creationId xmlns:a16="http://schemas.microsoft.com/office/drawing/2014/main" id="{84DBB0BF-37C8-63FC-B840-0C1A9CE8F94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43" name="1228 Conector recto">
                <a:extLst>
                  <a:ext uri="{FF2B5EF4-FFF2-40B4-BE49-F238E27FC236}">
                    <a16:creationId xmlns:a16="http://schemas.microsoft.com/office/drawing/2014/main" id="{5B052D39-7E78-6C4C-732D-D5F153744A5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44" name="1229 Conector recto">
                <a:extLst>
                  <a:ext uri="{FF2B5EF4-FFF2-40B4-BE49-F238E27FC236}">
                    <a16:creationId xmlns:a16="http://schemas.microsoft.com/office/drawing/2014/main" id="{73FD9455-E141-EADF-CD5C-A50A718F9A9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34" name="563 Grupo">
              <a:extLst>
                <a:ext uri="{FF2B5EF4-FFF2-40B4-BE49-F238E27FC236}">
                  <a16:creationId xmlns:a16="http://schemas.microsoft.com/office/drawing/2014/main" id="{3F883D63-FE7B-D7BA-BE90-C083BFC49E0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41" name="1226 Conector recto">
                <a:extLst>
                  <a:ext uri="{FF2B5EF4-FFF2-40B4-BE49-F238E27FC236}">
                    <a16:creationId xmlns:a16="http://schemas.microsoft.com/office/drawing/2014/main" id="{4957256E-499B-C8AB-BCDB-3F1DB6CB43D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42" name="1227 Conector recto">
                <a:extLst>
                  <a:ext uri="{FF2B5EF4-FFF2-40B4-BE49-F238E27FC236}">
                    <a16:creationId xmlns:a16="http://schemas.microsoft.com/office/drawing/2014/main" id="{8E4188EE-79FC-0809-8CD9-AE059D282F2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35" name="566 Grupo">
              <a:extLst>
                <a:ext uri="{FF2B5EF4-FFF2-40B4-BE49-F238E27FC236}">
                  <a16:creationId xmlns:a16="http://schemas.microsoft.com/office/drawing/2014/main" id="{9AB88C81-ACC9-08B7-C307-9B74CF5AD3A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39" name="1224 Conector recto">
                <a:extLst>
                  <a:ext uri="{FF2B5EF4-FFF2-40B4-BE49-F238E27FC236}">
                    <a16:creationId xmlns:a16="http://schemas.microsoft.com/office/drawing/2014/main" id="{BC8BDB26-25BE-E788-C74E-0F282FABD75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40" name="1225 Conector recto">
                <a:extLst>
                  <a:ext uri="{FF2B5EF4-FFF2-40B4-BE49-F238E27FC236}">
                    <a16:creationId xmlns:a16="http://schemas.microsoft.com/office/drawing/2014/main" id="{C37F353E-3956-A225-ECC6-FBFD7826EF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36" name="569 Grupo">
              <a:extLst>
                <a:ext uri="{FF2B5EF4-FFF2-40B4-BE49-F238E27FC236}">
                  <a16:creationId xmlns:a16="http://schemas.microsoft.com/office/drawing/2014/main" id="{CDFCAF3A-C573-6CC6-594A-F3921B0770D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37" name="1222 Conector recto">
                <a:extLst>
                  <a:ext uri="{FF2B5EF4-FFF2-40B4-BE49-F238E27FC236}">
                    <a16:creationId xmlns:a16="http://schemas.microsoft.com/office/drawing/2014/main" id="{8A7652A1-46E9-10F0-6CD9-8B70FDA7C59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38" name="1223 Conector recto">
                <a:extLst>
                  <a:ext uri="{FF2B5EF4-FFF2-40B4-BE49-F238E27FC236}">
                    <a16:creationId xmlns:a16="http://schemas.microsoft.com/office/drawing/2014/main" id="{7F86F22C-3E6F-8C01-6C2E-84410B0E2C8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607" name="599 Grupo">
            <a:extLst>
              <a:ext uri="{FF2B5EF4-FFF2-40B4-BE49-F238E27FC236}">
                <a16:creationId xmlns:a16="http://schemas.microsoft.com/office/drawing/2014/main" id="{F7BECF26-37C7-C7C3-382B-67E9B92170A2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0621" name="562 Grupo">
              <a:extLst>
                <a:ext uri="{FF2B5EF4-FFF2-40B4-BE49-F238E27FC236}">
                  <a16:creationId xmlns:a16="http://schemas.microsoft.com/office/drawing/2014/main" id="{EB1D8344-B6A6-2697-91AB-2D369F1AAE1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31" name="1216 Conector recto">
                <a:extLst>
                  <a:ext uri="{FF2B5EF4-FFF2-40B4-BE49-F238E27FC236}">
                    <a16:creationId xmlns:a16="http://schemas.microsoft.com/office/drawing/2014/main" id="{85567C37-4CEC-9A95-19DD-A55C6C9CAA9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32" name="1217 Conector recto">
                <a:extLst>
                  <a:ext uri="{FF2B5EF4-FFF2-40B4-BE49-F238E27FC236}">
                    <a16:creationId xmlns:a16="http://schemas.microsoft.com/office/drawing/2014/main" id="{1E6BAA0B-BCA3-CA55-1873-5C078F6E2D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22" name="563 Grupo">
              <a:extLst>
                <a:ext uri="{FF2B5EF4-FFF2-40B4-BE49-F238E27FC236}">
                  <a16:creationId xmlns:a16="http://schemas.microsoft.com/office/drawing/2014/main" id="{5891365C-3B19-B87A-0A32-96FFCC1CCD7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29" name="1214 Conector recto">
                <a:extLst>
                  <a:ext uri="{FF2B5EF4-FFF2-40B4-BE49-F238E27FC236}">
                    <a16:creationId xmlns:a16="http://schemas.microsoft.com/office/drawing/2014/main" id="{C899027E-94EB-F7AC-E949-2B75307B1AD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30" name="1215 Conector recto">
                <a:extLst>
                  <a:ext uri="{FF2B5EF4-FFF2-40B4-BE49-F238E27FC236}">
                    <a16:creationId xmlns:a16="http://schemas.microsoft.com/office/drawing/2014/main" id="{EA768D2B-3D4D-CC06-7FF9-C5FA5215C54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23" name="566 Grupo">
              <a:extLst>
                <a:ext uri="{FF2B5EF4-FFF2-40B4-BE49-F238E27FC236}">
                  <a16:creationId xmlns:a16="http://schemas.microsoft.com/office/drawing/2014/main" id="{7D40736F-7706-D661-F8FD-59209525DA2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27" name="1212 Conector recto">
                <a:extLst>
                  <a:ext uri="{FF2B5EF4-FFF2-40B4-BE49-F238E27FC236}">
                    <a16:creationId xmlns:a16="http://schemas.microsoft.com/office/drawing/2014/main" id="{CA4DE6C5-FAA4-3441-3E37-81D273DF196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28" name="1213 Conector recto">
                <a:extLst>
                  <a:ext uri="{FF2B5EF4-FFF2-40B4-BE49-F238E27FC236}">
                    <a16:creationId xmlns:a16="http://schemas.microsoft.com/office/drawing/2014/main" id="{04AE2409-EAB4-7C18-E3B2-2AF0ED3AA3C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24" name="569 Grupo">
              <a:extLst>
                <a:ext uri="{FF2B5EF4-FFF2-40B4-BE49-F238E27FC236}">
                  <a16:creationId xmlns:a16="http://schemas.microsoft.com/office/drawing/2014/main" id="{4DB904C3-B6AE-E20D-4673-5C1C36F59B5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25" name="1210 Conector recto">
                <a:extLst>
                  <a:ext uri="{FF2B5EF4-FFF2-40B4-BE49-F238E27FC236}">
                    <a16:creationId xmlns:a16="http://schemas.microsoft.com/office/drawing/2014/main" id="{09C354B5-955B-A911-8D3B-413682EDA6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26" name="1211 Conector recto">
                <a:extLst>
                  <a:ext uri="{FF2B5EF4-FFF2-40B4-BE49-F238E27FC236}">
                    <a16:creationId xmlns:a16="http://schemas.microsoft.com/office/drawing/2014/main" id="{302F3D46-783E-76EC-025E-908A26AA92A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608" name="612 Grupo">
            <a:extLst>
              <a:ext uri="{FF2B5EF4-FFF2-40B4-BE49-F238E27FC236}">
                <a16:creationId xmlns:a16="http://schemas.microsoft.com/office/drawing/2014/main" id="{2BDD2885-47C4-C647-73A3-340C550C5C2E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0609" name="562 Grupo">
              <a:extLst>
                <a:ext uri="{FF2B5EF4-FFF2-40B4-BE49-F238E27FC236}">
                  <a16:creationId xmlns:a16="http://schemas.microsoft.com/office/drawing/2014/main" id="{F94D8DE5-E5C1-2BA3-A885-CD37A1BF026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19" name="1204 Conector recto">
                <a:extLst>
                  <a:ext uri="{FF2B5EF4-FFF2-40B4-BE49-F238E27FC236}">
                    <a16:creationId xmlns:a16="http://schemas.microsoft.com/office/drawing/2014/main" id="{7887C36D-0A58-8D19-AD73-5BB4B80A046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20" name="1205 Conector recto">
                <a:extLst>
                  <a:ext uri="{FF2B5EF4-FFF2-40B4-BE49-F238E27FC236}">
                    <a16:creationId xmlns:a16="http://schemas.microsoft.com/office/drawing/2014/main" id="{65D81096-C095-1D1F-2610-DC5CB6BD660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10" name="563 Grupo">
              <a:extLst>
                <a:ext uri="{FF2B5EF4-FFF2-40B4-BE49-F238E27FC236}">
                  <a16:creationId xmlns:a16="http://schemas.microsoft.com/office/drawing/2014/main" id="{AEFD3464-3A52-1DED-6ABA-4FF4A6B5E5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17" name="1202 Conector recto">
                <a:extLst>
                  <a:ext uri="{FF2B5EF4-FFF2-40B4-BE49-F238E27FC236}">
                    <a16:creationId xmlns:a16="http://schemas.microsoft.com/office/drawing/2014/main" id="{DE22E05A-51BD-88E5-2ECD-FD5FD28292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18" name="1203 Conector recto">
                <a:extLst>
                  <a:ext uri="{FF2B5EF4-FFF2-40B4-BE49-F238E27FC236}">
                    <a16:creationId xmlns:a16="http://schemas.microsoft.com/office/drawing/2014/main" id="{5B11B1BF-4E9C-FE05-7A97-44708434E7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11" name="566 Grupo">
              <a:extLst>
                <a:ext uri="{FF2B5EF4-FFF2-40B4-BE49-F238E27FC236}">
                  <a16:creationId xmlns:a16="http://schemas.microsoft.com/office/drawing/2014/main" id="{3FDAEEAF-17E8-8B30-8C06-383C029FF2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15" name="1200 Conector recto">
                <a:extLst>
                  <a:ext uri="{FF2B5EF4-FFF2-40B4-BE49-F238E27FC236}">
                    <a16:creationId xmlns:a16="http://schemas.microsoft.com/office/drawing/2014/main" id="{A30E76E6-00DF-A794-AFAB-E00A7C6565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16" name="1201 Conector recto">
                <a:extLst>
                  <a:ext uri="{FF2B5EF4-FFF2-40B4-BE49-F238E27FC236}">
                    <a16:creationId xmlns:a16="http://schemas.microsoft.com/office/drawing/2014/main" id="{42371666-3001-9499-4D70-68BBF2784E5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612" name="569 Grupo">
              <a:extLst>
                <a:ext uri="{FF2B5EF4-FFF2-40B4-BE49-F238E27FC236}">
                  <a16:creationId xmlns:a16="http://schemas.microsoft.com/office/drawing/2014/main" id="{43ECA714-4B52-115E-0DD4-07B3CBE8F02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613" name="1198 Conector recto">
                <a:extLst>
                  <a:ext uri="{FF2B5EF4-FFF2-40B4-BE49-F238E27FC236}">
                    <a16:creationId xmlns:a16="http://schemas.microsoft.com/office/drawing/2014/main" id="{6D02F007-0237-93AC-1003-AFC55C1835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614" name="1199 Conector recto">
                <a:extLst>
                  <a:ext uri="{FF2B5EF4-FFF2-40B4-BE49-F238E27FC236}">
                    <a16:creationId xmlns:a16="http://schemas.microsoft.com/office/drawing/2014/main" id="{046902E0-0D72-76AB-1791-222F0B295E8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3</xdr:col>
      <xdr:colOff>121920</xdr:colOff>
      <xdr:row>29</xdr:row>
      <xdr:rowOff>0</xdr:rowOff>
    </xdr:from>
    <xdr:to>
      <xdr:col>3</xdr:col>
      <xdr:colOff>685800</xdr:colOff>
      <xdr:row>32</xdr:row>
      <xdr:rowOff>38100</xdr:rowOff>
    </xdr:to>
    <xdr:grpSp>
      <xdr:nvGrpSpPr>
        <xdr:cNvPr id="520519" name="1187 Grupo">
          <a:extLst>
            <a:ext uri="{FF2B5EF4-FFF2-40B4-BE49-F238E27FC236}">
              <a16:creationId xmlns:a16="http://schemas.microsoft.com/office/drawing/2014/main" id="{354C7A88-0E74-CCF2-D3E2-BC66262F974E}"/>
            </a:ext>
          </a:extLst>
        </xdr:cNvPr>
        <xdr:cNvGrpSpPr>
          <a:grpSpLocks/>
        </xdr:cNvGrpSpPr>
      </xdr:nvGrpSpPr>
      <xdr:grpSpPr bwMode="auto">
        <a:xfrm>
          <a:off x="2505891" y="5094514"/>
          <a:ext cx="563880" cy="527957"/>
          <a:chOff x="12578073" y="988919"/>
          <a:chExt cx="9678677" cy="8510681"/>
        </a:xfrm>
      </xdr:grpSpPr>
      <xdr:grpSp>
        <xdr:nvGrpSpPr>
          <xdr:cNvPr id="520520" name="629 Grupo">
            <a:extLst>
              <a:ext uri="{FF2B5EF4-FFF2-40B4-BE49-F238E27FC236}">
                <a16:creationId xmlns:a16="http://schemas.microsoft.com/office/drawing/2014/main" id="{7974AED5-58C4-D0EC-9B3A-ACBF307961B3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0586" name="410 Grupo">
              <a:extLst>
                <a:ext uri="{FF2B5EF4-FFF2-40B4-BE49-F238E27FC236}">
                  <a16:creationId xmlns:a16="http://schemas.microsoft.com/office/drawing/2014/main" id="{DA85FA1E-1CB0-2F11-CC01-DCB90BBCEA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0591" name="Group 1078">
                <a:extLst>
                  <a:ext uri="{FF2B5EF4-FFF2-40B4-BE49-F238E27FC236}">
                    <a16:creationId xmlns:a16="http://schemas.microsoft.com/office/drawing/2014/main" id="{6957F7AB-D984-956B-1420-1726D0E93F9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0593" name="Rectangle 1079">
                  <a:extLst>
                    <a:ext uri="{FF2B5EF4-FFF2-40B4-BE49-F238E27FC236}">
                      <a16:creationId xmlns:a16="http://schemas.microsoft.com/office/drawing/2014/main" id="{10F52033-CF87-E1C8-3D75-8D5E4356F33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4" name="Rectangle 1080">
                  <a:extLst>
                    <a:ext uri="{FF2B5EF4-FFF2-40B4-BE49-F238E27FC236}">
                      <a16:creationId xmlns:a16="http://schemas.microsoft.com/office/drawing/2014/main" id="{4944FB7A-6888-BCFF-0091-FBFCC1D65AB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5" name="Rectangle 1081">
                  <a:extLst>
                    <a:ext uri="{FF2B5EF4-FFF2-40B4-BE49-F238E27FC236}">
                      <a16:creationId xmlns:a16="http://schemas.microsoft.com/office/drawing/2014/main" id="{3BAC3496-4AE6-0C51-FB62-5062992C289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6" name="Rectangle 1082">
                  <a:extLst>
                    <a:ext uri="{FF2B5EF4-FFF2-40B4-BE49-F238E27FC236}">
                      <a16:creationId xmlns:a16="http://schemas.microsoft.com/office/drawing/2014/main" id="{B5CDA5F0-5EF0-A18D-68BD-BD48C0F9A6D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7" name="Rectangle 1083">
                  <a:extLst>
                    <a:ext uri="{FF2B5EF4-FFF2-40B4-BE49-F238E27FC236}">
                      <a16:creationId xmlns:a16="http://schemas.microsoft.com/office/drawing/2014/main" id="{8A6404C4-4901-CF1A-E5DB-2B3F27C0CD3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0598" name="Rectangle 1086">
                  <a:extLst>
                    <a:ext uri="{FF2B5EF4-FFF2-40B4-BE49-F238E27FC236}">
                      <a16:creationId xmlns:a16="http://schemas.microsoft.com/office/drawing/2014/main" id="{272D56BC-30DA-2563-6436-D65504A9CCB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599" name="Rectangle 1087">
                  <a:extLst>
                    <a:ext uri="{FF2B5EF4-FFF2-40B4-BE49-F238E27FC236}">
                      <a16:creationId xmlns:a16="http://schemas.microsoft.com/office/drawing/2014/main" id="{6B342A9A-3BEF-9F7D-479B-E267F7FDA7B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00" name="Rectangle 1088">
                  <a:extLst>
                    <a:ext uri="{FF2B5EF4-FFF2-40B4-BE49-F238E27FC236}">
                      <a16:creationId xmlns:a16="http://schemas.microsoft.com/office/drawing/2014/main" id="{7FB89A3E-CA7D-2707-BE58-BE948FADAC2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01" name="Rectangle 1089">
                  <a:extLst>
                    <a:ext uri="{FF2B5EF4-FFF2-40B4-BE49-F238E27FC236}">
                      <a16:creationId xmlns:a16="http://schemas.microsoft.com/office/drawing/2014/main" id="{118080F5-D0FE-87FA-666D-362818BE5E6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0602" name="Rectangle 1093">
                  <a:extLst>
                    <a:ext uri="{FF2B5EF4-FFF2-40B4-BE49-F238E27FC236}">
                      <a16:creationId xmlns:a16="http://schemas.microsoft.com/office/drawing/2014/main" id="{50FA2F53-E2AA-D3EF-62AE-DA9226D471D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0592" name="Rectangle 1087">
                <a:extLst>
                  <a:ext uri="{FF2B5EF4-FFF2-40B4-BE49-F238E27FC236}">
                    <a16:creationId xmlns:a16="http://schemas.microsoft.com/office/drawing/2014/main" id="{F7AA2387-C158-B1DD-6A13-A7248F98D9F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0587" name="Rectangle 1082">
              <a:extLst>
                <a:ext uri="{FF2B5EF4-FFF2-40B4-BE49-F238E27FC236}">
                  <a16:creationId xmlns:a16="http://schemas.microsoft.com/office/drawing/2014/main" id="{06EA42D4-5AFE-C3B3-9BB1-D762F8B3201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588" name="Rectangle 1082">
              <a:extLst>
                <a:ext uri="{FF2B5EF4-FFF2-40B4-BE49-F238E27FC236}">
                  <a16:creationId xmlns:a16="http://schemas.microsoft.com/office/drawing/2014/main" id="{7B3E5257-D0DF-C01B-D0FF-A3F95E637377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589" name="Rectangle 1082">
              <a:extLst>
                <a:ext uri="{FF2B5EF4-FFF2-40B4-BE49-F238E27FC236}">
                  <a16:creationId xmlns:a16="http://schemas.microsoft.com/office/drawing/2014/main" id="{756AFA42-5391-1E1D-D1A6-CD6FF32A2C7E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0590" name="Rectangle 1082">
              <a:extLst>
                <a:ext uri="{FF2B5EF4-FFF2-40B4-BE49-F238E27FC236}">
                  <a16:creationId xmlns:a16="http://schemas.microsoft.com/office/drawing/2014/main" id="{2F81681B-8BBA-D85F-7958-177FE8AD78D6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0521" name="572 Grupo">
            <a:extLst>
              <a:ext uri="{FF2B5EF4-FFF2-40B4-BE49-F238E27FC236}">
                <a16:creationId xmlns:a16="http://schemas.microsoft.com/office/drawing/2014/main" id="{5F43D241-D859-FF46-D9AC-F4E71C3A512F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0574" name="562 Grupo">
              <a:extLst>
                <a:ext uri="{FF2B5EF4-FFF2-40B4-BE49-F238E27FC236}">
                  <a16:creationId xmlns:a16="http://schemas.microsoft.com/office/drawing/2014/main" id="{48CE2B16-CC86-23BC-BFFA-91741BBF47C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84" name="1252 Conector recto">
                <a:extLst>
                  <a:ext uri="{FF2B5EF4-FFF2-40B4-BE49-F238E27FC236}">
                    <a16:creationId xmlns:a16="http://schemas.microsoft.com/office/drawing/2014/main" id="{116B45E6-3F3F-34D1-2015-13D755EDBD2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85" name="1253 Conector recto">
                <a:extLst>
                  <a:ext uri="{FF2B5EF4-FFF2-40B4-BE49-F238E27FC236}">
                    <a16:creationId xmlns:a16="http://schemas.microsoft.com/office/drawing/2014/main" id="{D09AD77E-05B3-81E9-3459-C2F10A62E4A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75" name="563 Grupo">
              <a:extLst>
                <a:ext uri="{FF2B5EF4-FFF2-40B4-BE49-F238E27FC236}">
                  <a16:creationId xmlns:a16="http://schemas.microsoft.com/office/drawing/2014/main" id="{1BA325CE-7AEE-5855-79B4-70A67251722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82" name="1250 Conector recto">
                <a:extLst>
                  <a:ext uri="{FF2B5EF4-FFF2-40B4-BE49-F238E27FC236}">
                    <a16:creationId xmlns:a16="http://schemas.microsoft.com/office/drawing/2014/main" id="{ED867695-2AE8-F405-8B11-CC92A88BA72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83" name="1251 Conector recto">
                <a:extLst>
                  <a:ext uri="{FF2B5EF4-FFF2-40B4-BE49-F238E27FC236}">
                    <a16:creationId xmlns:a16="http://schemas.microsoft.com/office/drawing/2014/main" id="{A6800C2C-95D2-E1AF-3CC2-A84B4E3247D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76" name="566 Grupo">
              <a:extLst>
                <a:ext uri="{FF2B5EF4-FFF2-40B4-BE49-F238E27FC236}">
                  <a16:creationId xmlns:a16="http://schemas.microsoft.com/office/drawing/2014/main" id="{A29B65F5-C622-A271-C60D-8AFF0E81019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80" name="1248 Conector recto">
                <a:extLst>
                  <a:ext uri="{FF2B5EF4-FFF2-40B4-BE49-F238E27FC236}">
                    <a16:creationId xmlns:a16="http://schemas.microsoft.com/office/drawing/2014/main" id="{9BC0F6AA-FCAE-1882-D199-5DA44EC54E1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81" name="1249 Conector recto">
                <a:extLst>
                  <a:ext uri="{FF2B5EF4-FFF2-40B4-BE49-F238E27FC236}">
                    <a16:creationId xmlns:a16="http://schemas.microsoft.com/office/drawing/2014/main" id="{A77B7571-613A-9A1F-B857-9F4569D9617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77" name="569 Grupo">
              <a:extLst>
                <a:ext uri="{FF2B5EF4-FFF2-40B4-BE49-F238E27FC236}">
                  <a16:creationId xmlns:a16="http://schemas.microsoft.com/office/drawing/2014/main" id="{931108B3-40B7-6500-13D8-0B1214E5D40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78" name="1246 Conector recto">
                <a:extLst>
                  <a:ext uri="{FF2B5EF4-FFF2-40B4-BE49-F238E27FC236}">
                    <a16:creationId xmlns:a16="http://schemas.microsoft.com/office/drawing/2014/main" id="{D62DF03A-1D9E-8707-16DD-D92BFD7F5F6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79" name="1247 Conector recto">
                <a:extLst>
                  <a:ext uri="{FF2B5EF4-FFF2-40B4-BE49-F238E27FC236}">
                    <a16:creationId xmlns:a16="http://schemas.microsoft.com/office/drawing/2014/main" id="{8D3C93F8-B7EF-C174-1B04-E75486A662A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522" name="573 Grupo">
            <a:extLst>
              <a:ext uri="{FF2B5EF4-FFF2-40B4-BE49-F238E27FC236}">
                <a16:creationId xmlns:a16="http://schemas.microsoft.com/office/drawing/2014/main" id="{7D19866B-EB98-499F-D55A-0A8B45E82EA4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0562" name="562 Grupo">
              <a:extLst>
                <a:ext uri="{FF2B5EF4-FFF2-40B4-BE49-F238E27FC236}">
                  <a16:creationId xmlns:a16="http://schemas.microsoft.com/office/drawing/2014/main" id="{6E2955A7-B9B4-B7CE-7B83-F1CE7CCAB4D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72" name="1240 Conector recto">
                <a:extLst>
                  <a:ext uri="{FF2B5EF4-FFF2-40B4-BE49-F238E27FC236}">
                    <a16:creationId xmlns:a16="http://schemas.microsoft.com/office/drawing/2014/main" id="{F7176E1E-CDCD-2085-8602-BF29EEA89F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73" name="1241 Conector recto">
                <a:extLst>
                  <a:ext uri="{FF2B5EF4-FFF2-40B4-BE49-F238E27FC236}">
                    <a16:creationId xmlns:a16="http://schemas.microsoft.com/office/drawing/2014/main" id="{8CC367E0-21AD-B54A-E389-CB6E530A10E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63" name="563 Grupo">
              <a:extLst>
                <a:ext uri="{FF2B5EF4-FFF2-40B4-BE49-F238E27FC236}">
                  <a16:creationId xmlns:a16="http://schemas.microsoft.com/office/drawing/2014/main" id="{E18964F6-76CB-AF01-9021-1E4CDE97026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70" name="1238 Conector recto">
                <a:extLst>
                  <a:ext uri="{FF2B5EF4-FFF2-40B4-BE49-F238E27FC236}">
                    <a16:creationId xmlns:a16="http://schemas.microsoft.com/office/drawing/2014/main" id="{D5C4A385-C0E7-619D-456C-4DBD2E115A8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71" name="1239 Conector recto">
                <a:extLst>
                  <a:ext uri="{FF2B5EF4-FFF2-40B4-BE49-F238E27FC236}">
                    <a16:creationId xmlns:a16="http://schemas.microsoft.com/office/drawing/2014/main" id="{39F94F00-5313-4824-57C9-48F19CB75EC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64" name="566 Grupo">
              <a:extLst>
                <a:ext uri="{FF2B5EF4-FFF2-40B4-BE49-F238E27FC236}">
                  <a16:creationId xmlns:a16="http://schemas.microsoft.com/office/drawing/2014/main" id="{F0B892EC-A70D-B36B-7D09-53A92B53A99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68" name="1236 Conector recto">
                <a:extLst>
                  <a:ext uri="{FF2B5EF4-FFF2-40B4-BE49-F238E27FC236}">
                    <a16:creationId xmlns:a16="http://schemas.microsoft.com/office/drawing/2014/main" id="{085030D8-0411-5975-FEFF-13E9838652B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69" name="1237 Conector recto">
                <a:extLst>
                  <a:ext uri="{FF2B5EF4-FFF2-40B4-BE49-F238E27FC236}">
                    <a16:creationId xmlns:a16="http://schemas.microsoft.com/office/drawing/2014/main" id="{803868FB-0C9C-858C-7873-8AF4A1FB1B4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65" name="569 Grupo">
              <a:extLst>
                <a:ext uri="{FF2B5EF4-FFF2-40B4-BE49-F238E27FC236}">
                  <a16:creationId xmlns:a16="http://schemas.microsoft.com/office/drawing/2014/main" id="{E21D341B-0194-B8EC-5625-CB9B4204D9D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66" name="1234 Conector recto">
                <a:extLst>
                  <a:ext uri="{FF2B5EF4-FFF2-40B4-BE49-F238E27FC236}">
                    <a16:creationId xmlns:a16="http://schemas.microsoft.com/office/drawing/2014/main" id="{CE55BB1A-1D6D-1BD7-811F-284A0BF1B39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67" name="1235 Conector recto">
                <a:extLst>
                  <a:ext uri="{FF2B5EF4-FFF2-40B4-BE49-F238E27FC236}">
                    <a16:creationId xmlns:a16="http://schemas.microsoft.com/office/drawing/2014/main" id="{55D312D8-2D15-3001-F66E-16600AC084D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523" name="586 Grupo">
            <a:extLst>
              <a:ext uri="{FF2B5EF4-FFF2-40B4-BE49-F238E27FC236}">
                <a16:creationId xmlns:a16="http://schemas.microsoft.com/office/drawing/2014/main" id="{C17660CE-3280-7310-9611-E6CDBA463331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0550" name="562 Grupo">
              <a:extLst>
                <a:ext uri="{FF2B5EF4-FFF2-40B4-BE49-F238E27FC236}">
                  <a16:creationId xmlns:a16="http://schemas.microsoft.com/office/drawing/2014/main" id="{E57AC948-8D9F-6DD0-FC3A-66D0312A2CA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60" name="1228 Conector recto">
                <a:extLst>
                  <a:ext uri="{FF2B5EF4-FFF2-40B4-BE49-F238E27FC236}">
                    <a16:creationId xmlns:a16="http://schemas.microsoft.com/office/drawing/2014/main" id="{C1F4C5DF-D8BC-C73D-45DA-71932F73304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61" name="1229 Conector recto">
                <a:extLst>
                  <a:ext uri="{FF2B5EF4-FFF2-40B4-BE49-F238E27FC236}">
                    <a16:creationId xmlns:a16="http://schemas.microsoft.com/office/drawing/2014/main" id="{5320A851-0A0B-2666-D8E2-D10C7066A7B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51" name="563 Grupo">
              <a:extLst>
                <a:ext uri="{FF2B5EF4-FFF2-40B4-BE49-F238E27FC236}">
                  <a16:creationId xmlns:a16="http://schemas.microsoft.com/office/drawing/2014/main" id="{01D28612-1A66-2A72-095E-98637F85573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58" name="1226 Conector recto">
                <a:extLst>
                  <a:ext uri="{FF2B5EF4-FFF2-40B4-BE49-F238E27FC236}">
                    <a16:creationId xmlns:a16="http://schemas.microsoft.com/office/drawing/2014/main" id="{E7663869-0769-1F4F-3548-973B980C5DB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59" name="1227 Conector recto">
                <a:extLst>
                  <a:ext uri="{FF2B5EF4-FFF2-40B4-BE49-F238E27FC236}">
                    <a16:creationId xmlns:a16="http://schemas.microsoft.com/office/drawing/2014/main" id="{C4F57281-D750-C7F0-14EA-038A8BBD65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52" name="566 Grupo">
              <a:extLst>
                <a:ext uri="{FF2B5EF4-FFF2-40B4-BE49-F238E27FC236}">
                  <a16:creationId xmlns:a16="http://schemas.microsoft.com/office/drawing/2014/main" id="{F3349622-B117-B5D6-05CB-34A5714427A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56" name="1224 Conector recto">
                <a:extLst>
                  <a:ext uri="{FF2B5EF4-FFF2-40B4-BE49-F238E27FC236}">
                    <a16:creationId xmlns:a16="http://schemas.microsoft.com/office/drawing/2014/main" id="{60D9CF7C-1987-31BD-5EBC-1661145D119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57" name="1225 Conector recto">
                <a:extLst>
                  <a:ext uri="{FF2B5EF4-FFF2-40B4-BE49-F238E27FC236}">
                    <a16:creationId xmlns:a16="http://schemas.microsoft.com/office/drawing/2014/main" id="{28940760-8DDD-9D69-E8C2-0ED03A00494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53" name="569 Grupo">
              <a:extLst>
                <a:ext uri="{FF2B5EF4-FFF2-40B4-BE49-F238E27FC236}">
                  <a16:creationId xmlns:a16="http://schemas.microsoft.com/office/drawing/2014/main" id="{D69EBB49-AE94-F04C-B32F-2F4951EA6D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54" name="1222 Conector recto">
                <a:extLst>
                  <a:ext uri="{FF2B5EF4-FFF2-40B4-BE49-F238E27FC236}">
                    <a16:creationId xmlns:a16="http://schemas.microsoft.com/office/drawing/2014/main" id="{35516C05-032F-B7AC-4DAD-0951ECF94DB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55" name="1223 Conector recto">
                <a:extLst>
                  <a:ext uri="{FF2B5EF4-FFF2-40B4-BE49-F238E27FC236}">
                    <a16:creationId xmlns:a16="http://schemas.microsoft.com/office/drawing/2014/main" id="{1C842435-DE79-99C1-526C-87DF98BFEE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524" name="599 Grupo">
            <a:extLst>
              <a:ext uri="{FF2B5EF4-FFF2-40B4-BE49-F238E27FC236}">
                <a16:creationId xmlns:a16="http://schemas.microsoft.com/office/drawing/2014/main" id="{E4766AA9-3B65-EF23-7C48-E0A3520A53F1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0538" name="562 Grupo">
              <a:extLst>
                <a:ext uri="{FF2B5EF4-FFF2-40B4-BE49-F238E27FC236}">
                  <a16:creationId xmlns:a16="http://schemas.microsoft.com/office/drawing/2014/main" id="{610BA0A5-E3F5-DE46-3BAA-7F69A99E095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48" name="1216 Conector recto">
                <a:extLst>
                  <a:ext uri="{FF2B5EF4-FFF2-40B4-BE49-F238E27FC236}">
                    <a16:creationId xmlns:a16="http://schemas.microsoft.com/office/drawing/2014/main" id="{C0E4597F-CA32-7CB4-2396-D555162D521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49" name="1217 Conector recto">
                <a:extLst>
                  <a:ext uri="{FF2B5EF4-FFF2-40B4-BE49-F238E27FC236}">
                    <a16:creationId xmlns:a16="http://schemas.microsoft.com/office/drawing/2014/main" id="{FA7EF53A-AB7C-13DC-49AB-621D5A59525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39" name="563 Grupo">
              <a:extLst>
                <a:ext uri="{FF2B5EF4-FFF2-40B4-BE49-F238E27FC236}">
                  <a16:creationId xmlns:a16="http://schemas.microsoft.com/office/drawing/2014/main" id="{BC179864-B975-B929-94C8-C00280887DA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46" name="1214 Conector recto">
                <a:extLst>
                  <a:ext uri="{FF2B5EF4-FFF2-40B4-BE49-F238E27FC236}">
                    <a16:creationId xmlns:a16="http://schemas.microsoft.com/office/drawing/2014/main" id="{875B4A0B-5E31-B025-DAA1-381AF813700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47" name="1215 Conector recto">
                <a:extLst>
                  <a:ext uri="{FF2B5EF4-FFF2-40B4-BE49-F238E27FC236}">
                    <a16:creationId xmlns:a16="http://schemas.microsoft.com/office/drawing/2014/main" id="{8F5E33A1-D9A2-3FF1-4895-024C5C394E7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40" name="566 Grupo">
              <a:extLst>
                <a:ext uri="{FF2B5EF4-FFF2-40B4-BE49-F238E27FC236}">
                  <a16:creationId xmlns:a16="http://schemas.microsoft.com/office/drawing/2014/main" id="{CA17E857-21D6-1EE2-6E3E-CCAC026C77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44" name="1212 Conector recto">
                <a:extLst>
                  <a:ext uri="{FF2B5EF4-FFF2-40B4-BE49-F238E27FC236}">
                    <a16:creationId xmlns:a16="http://schemas.microsoft.com/office/drawing/2014/main" id="{48084BF9-3B1A-6BB0-2D39-586409EA277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45" name="1213 Conector recto">
                <a:extLst>
                  <a:ext uri="{FF2B5EF4-FFF2-40B4-BE49-F238E27FC236}">
                    <a16:creationId xmlns:a16="http://schemas.microsoft.com/office/drawing/2014/main" id="{501E3F5D-131A-CBCB-4E67-A743DA0B0FF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41" name="569 Grupo">
              <a:extLst>
                <a:ext uri="{FF2B5EF4-FFF2-40B4-BE49-F238E27FC236}">
                  <a16:creationId xmlns:a16="http://schemas.microsoft.com/office/drawing/2014/main" id="{AD2A5132-D8E1-C87D-50CC-47609E7AAED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42" name="1210 Conector recto">
                <a:extLst>
                  <a:ext uri="{FF2B5EF4-FFF2-40B4-BE49-F238E27FC236}">
                    <a16:creationId xmlns:a16="http://schemas.microsoft.com/office/drawing/2014/main" id="{BDF334E6-E968-3CB6-CA67-5060B5E800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43" name="1211 Conector recto">
                <a:extLst>
                  <a:ext uri="{FF2B5EF4-FFF2-40B4-BE49-F238E27FC236}">
                    <a16:creationId xmlns:a16="http://schemas.microsoft.com/office/drawing/2014/main" id="{BC55B8F8-2BEF-AF81-8871-2B1B6E7379D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0525" name="612 Grupo">
            <a:extLst>
              <a:ext uri="{FF2B5EF4-FFF2-40B4-BE49-F238E27FC236}">
                <a16:creationId xmlns:a16="http://schemas.microsoft.com/office/drawing/2014/main" id="{31E03E80-659F-BFBB-76FF-DDC68853294F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0526" name="562 Grupo">
              <a:extLst>
                <a:ext uri="{FF2B5EF4-FFF2-40B4-BE49-F238E27FC236}">
                  <a16:creationId xmlns:a16="http://schemas.microsoft.com/office/drawing/2014/main" id="{6FC6BB64-52BC-2ACB-BE99-E89CDE3249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36" name="1204 Conector recto">
                <a:extLst>
                  <a:ext uri="{FF2B5EF4-FFF2-40B4-BE49-F238E27FC236}">
                    <a16:creationId xmlns:a16="http://schemas.microsoft.com/office/drawing/2014/main" id="{C0A340B0-884D-470E-02C8-908BED2013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37" name="1205 Conector recto">
                <a:extLst>
                  <a:ext uri="{FF2B5EF4-FFF2-40B4-BE49-F238E27FC236}">
                    <a16:creationId xmlns:a16="http://schemas.microsoft.com/office/drawing/2014/main" id="{CAA6E0F6-D4FC-570F-AE6F-E56CA0E2471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27" name="563 Grupo">
              <a:extLst>
                <a:ext uri="{FF2B5EF4-FFF2-40B4-BE49-F238E27FC236}">
                  <a16:creationId xmlns:a16="http://schemas.microsoft.com/office/drawing/2014/main" id="{D6F1C083-5326-52C3-1B3F-93A12D7F274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34" name="1202 Conector recto">
                <a:extLst>
                  <a:ext uri="{FF2B5EF4-FFF2-40B4-BE49-F238E27FC236}">
                    <a16:creationId xmlns:a16="http://schemas.microsoft.com/office/drawing/2014/main" id="{87F42604-CC96-0DBA-F52F-549488CDC3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35" name="1203 Conector recto">
                <a:extLst>
                  <a:ext uri="{FF2B5EF4-FFF2-40B4-BE49-F238E27FC236}">
                    <a16:creationId xmlns:a16="http://schemas.microsoft.com/office/drawing/2014/main" id="{3F21C71C-309F-EC69-CB2D-35AC7052CE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28" name="566 Grupo">
              <a:extLst>
                <a:ext uri="{FF2B5EF4-FFF2-40B4-BE49-F238E27FC236}">
                  <a16:creationId xmlns:a16="http://schemas.microsoft.com/office/drawing/2014/main" id="{07933C0F-E209-9CD7-0D77-6EBE5956EC9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32" name="1200 Conector recto">
                <a:extLst>
                  <a:ext uri="{FF2B5EF4-FFF2-40B4-BE49-F238E27FC236}">
                    <a16:creationId xmlns:a16="http://schemas.microsoft.com/office/drawing/2014/main" id="{35B88FD4-B777-CE19-A306-EDE750E316E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33" name="1201 Conector recto">
                <a:extLst>
                  <a:ext uri="{FF2B5EF4-FFF2-40B4-BE49-F238E27FC236}">
                    <a16:creationId xmlns:a16="http://schemas.microsoft.com/office/drawing/2014/main" id="{16DE4B4E-ECDF-6838-F086-1963F33A837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0529" name="569 Grupo">
              <a:extLst>
                <a:ext uri="{FF2B5EF4-FFF2-40B4-BE49-F238E27FC236}">
                  <a16:creationId xmlns:a16="http://schemas.microsoft.com/office/drawing/2014/main" id="{29F68488-01FC-8EBD-0F83-99901089002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0530" name="1198 Conector recto">
                <a:extLst>
                  <a:ext uri="{FF2B5EF4-FFF2-40B4-BE49-F238E27FC236}">
                    <a16:creationId xmlns:a16="http://schemas.microsoft.com/office/drawing/2014/main" id="{9072EC96-AD84-FF6E-FF46-2252DC7DD4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0531" name="1199 Conector recto">
                <a:extLst>
                  <a:ext uri="{FF2B5EF4-FFF2-40B4-BE49-F238E27FC236}">
                    <a16:creationId xmlns:a16="http://schemas.microsoft.com/office/drawing/2014/main" id="{9899375A-4E5E-5016-C1AB-225292853D7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645377</xdr:colOff>
      <xdr:row>0</xdr:row>
      <xdr:rowOff>687639</xdr:rowOff>
    </xdr:from>
    <xdr:to>
      <xdr:col>27</xdr:col>
      <xdr:colOff>141676</xdr:colOff>
      <xdr:row>25</xdr:row>
      <xdr:rowOff>15021</xdr:rowOff>
    </xdr:to>
    <xdr:sp macro="" textlink="">
      <xdr:nvSpPr>
        <xdr:cNvPr id="532570" name="Rectangle 1082">
          <a:extLst>
            <a:ext uri="{FF2B5EF4-FFF2-40B4-BE49-F238E27FC236}">
              <a16:creationId xmlns:a16="http://schemas.microsoft.com/office/drawing/2014/main" id="{94A24ACE-8236-4A71-902E-B0C2F1B24ABF}"/>
            </a:ext>
          </a:extLst>
        </xdr:cNvPr>
        <xdr:cNvSpPr>
          <a:spLocks noChangeArrowheads="1"/>
        </xdr:cNvSpPr>
      </xdr:nvSpPr>
      <xdr:spPr bwMode="auto">
        <a:xfrm>
          <a:off x="23268894" y="687639"/>
          <a:ext cx="284575" cy="5721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BO"/>
        </a:p>
      </xdr:txBody>
    </xdr:sp>
    <xdr:clientData/>
  </xdr:twoCellAnchor>
  <xdr:twoCellAnchor>
    <xdr:from>
      <xdr:col>25</xdr:col>
      <xdr:colOff>233507</xdr:colOff>
      <xdr:row>0</xdr:row>
      <xdr:rowOff>692894</xdr:rowOff>
    </xdr:from>
    <xdr:to>
      <xdr:col>25</xdr:col>
      <xdr:colOff>546539</xdr:colOff>
      <xdr:row>25</xdr:row>
      <xdr:rowOff>20276</xdr:rowOff>
    </xdr:to>
    <xdr:sp macro="" textlink="">
      <xdr:nvSpPr>
        <xdr:cNvPr id="532569" name="Rectangle 1082">
          <a:extLst>
            <a:ext uri="{FF2B5EF4-FFF2-40B4-BE49-F238E27FC236}">
              <a16:creationId xmlns:a16="http://schemas.microsoft.com/office/drawing/2014/main" id="{105EE214-AFB5-4733-BEFD-9411BFAA4C50}"/>
            </a:ext>
          </a:extLst>
        </xdr:cNvPr>
        <xdr:cNvSpPr>
          <a:spLocks noChangeArrowheads="1"/>
        </xdr:cNvSpPr>
      </xdr:nvSpPr>
      <xdr:spPr bwMode="auto">
        <a:xfrm>
          <a:off x="22068748" y="692894"/>
          <a:ext cx="313032" cy="5721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BO"/>
        </a:p>
      </xdr:txBody>
    </xdr:sp>
    <xdr:clientData/>
  </xdr:twoCellAnchor>
  <xdr:twoCellAnchor>
    <xdr:from>
      <xdr:col>23</xdr:col>
      <xdr:colOff>571589</xdr:colOff>
      <xdr:row>0</xdr:row>
      <xdr:rowOff>689391</xdr:rowOff>
    </xdr:from>
    <xdr:to>
      <xdr:col>24</xdr:col>
      <xdr:colOff>96345</xdr:colOff>
      <xdr:row>25</xdr:row>
      <xdr:rowOff>16773</xdr:rowOff>
    </xdr:to>
    <xdr:sp macro="" textlink="">
      <xdr:nvSpPr>
        <xdr:cNvPr id="532568" name="Rectangle 1082">
          <a:extLst>
            <a:ext uri="{FF2B5EF4-FFF2-40B4-BE49-F238E27FC236}">
              <a16:creationId xmlns:a16="http://schemas.microsoft.com/office/drawing/2014/main" id="{2B7DC5FA-DDD4-4460-BB65-126B2D1A841C}"/>
            </a:ext>
          </a:extLst>
        </xdr:cNvPr>
        <xdr:cNvSpPr>
          <a:spLocks noChangeArrowheads="1"/>
        </xdr:cNvSpPr>
      </xdr:nvSpPr>
      <xdr:spPr bwMode="auto">
        <a:xfrm>
          <a:off x="20830279" y="689391"/>
          <a:ext cx="313032" cy="57211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BO"/>
        </a:p>
      </xdr:txBody>
    </xdr: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74" name="Group 1">
          <a:extLst>
            <a:ext uri="{FF2B5EF4-FFF2-40B4-BE49-F238E27FC236}">
              <a16:creationId xmlns:a16="http://schemas.microsoft.com/office/drawing/2014/main" id="{81C0F149-A1EC-AEC1-2295-9353C4CBCD63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247" name="Rectangle 2">
            <a:extLst>
              <a:ext uri="{FF2B5EF4-FFF2-40B4-BE49-F238E27FC236}">
                <a16:creationId xmlns:a16="http://schemas.microsoft.com/office/drawing/2014/main" id="{42855736-1B04-DE54-0B90-ADA40202DCB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8" name="Rectangle 3">
            <a:extLst>
              <a:ext uri="{FF2B5EF4-FFF2-40B4-BE49-F238E27FC236}">
                <a16:creationId xmlns:a16="http://schemas.microsoft.com/office/drawing/2014/main" id="{D18EF24A-98C4-A8FA-D5C1-8E65EC09234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9" name="Rectangle 4">
            <a:extLst>
              <a:ext uri="{FF2B5EF4-FFF2-40B4-BE49-F238E27FC236}">
                <a16:creationId xmlns:a16="http://schemas.microsoft.com/office/drawing/2014/main" id="{1AB90E8F-490B-B6AA-1D4C-D9595E8C94E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50" name="Rectangle 5">
            <a:extLst>
              <a:ext uri="{FF2B5EF4-FFF2-40B4-BE49-F238E27FC236}">
                <a16:creationId xmlns:a16="http://schemas.microsoft.com/office/drawing/2014/main" id="{7359487D-C465-9364-6ECC-A4EBB6D2932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51" name="Line 6">
            <a:extLst>
              <a:ext uri="{FF2B5EF4-FFF2-40B4-BE49-F238E27FC236}">
                <a16:creationId xmlns:a16="http://schemas.microsoft.com/office/drawing/2014/main" id="{8ECB3639-CC1C-30EE-D6B3-02235FBCD3A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52" name="Line 7">
            <a:extLst>
              <a:ext uri="{FF2B5EF4-FFF2-40B4-BE49-F238E27FC236}">
                <a16:creationId xmlns:a16="http://schemas.microsoft.com/office/drawing/2014/main" id="{A9FF135B-E963-19B8-E8B5-6EC49FD7560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53" name="Line 8">
            <a:extLst>
              <a:ext uri="{FF2B5EF4-FFF2-40B4-BE49-F238E27FC236}">
                <a16:creationId xmlns:a16="http://schemas.microsoft.com/office/drawing/2014/main" id="{7B119A59-43B6-3B13-BC4F-F197E0D1960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75" name="Group 9">
          <a:extLst>
            <a:ext uri="{FF2B5EF4-FFF2-40B4-BE49-F238E27FC236}">
              <a16:creationId xmlns:a16="http://schemas.microsoft.com/office/drawing/2014/main" id="{080C0002-15EE-EDA9-B1B3-6171DD41DD78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240" name="Rectangle 10">
            <a:extLst>
              <a:ext uri="{FF2B5EF4-FFF2-40B4-BE49-F238E27FC236}">
                <a16:creationId xmlns:a16="http://schemas.microsoft.com/office/drawing/2014/main" id="{F48D9CCD-3D30-71C1-82D3-C9B049CA71C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1" name="Rectangle 11">
            <a:extLst>
              <a:ext uri="{FF2B5EF4-FFF2-40B4-BE49-F238E27FC236}">
                <a16:creationId xmlns:a16="http://schemas.microsoft.com/office/drawing/2014/main" id="{F10DCE55-A755-1A4D-21FB-D180171C2BB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2" name="Rectangle 12">
            <a:extLst>
              <a:ext uri="{FF2B5EF4-FFF2-40B4-BE49-F238E27FC236}">
                <a16:creationId xmlns:a16="http://schemas.microsoft.com/office/drawing/2014/main" id="{9276D40C-175C-C73D-CA44-98F1E929B3F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3" name="Rectangle 13">
            <a:extLst>
              <a:ext uri="{FF2B5EF4-FFF2-40B4-BE49-F238E27FC236}">
                <a16:creationId xmlns:a16="http://schemas.microsoft.com/office/drawing/2014/main" id="{6B397AAC-9CEC-CF1A-D75C-DE12A92D7E2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44" name="Line 14">
            <a:extLst>
              <a:ext uri="{FF2B5EF4-FFF2-40B4-BE49-F238E27FC236}">
                <a16:creationId xmlns:a16="http://schemas.microsoft.com/office/drawing/2014/main" id="{2628A18A-3FE1-0A09-3AD7-CD004530373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45" name="Line 15">
            <a:extLst>
              <a:ext uri="{FF2B5EF4-FFF2-40B4-BE49-F238E27FC236}">
                <a16:creationId xmlns:a16="http://schemas.microsoft.com/office/drawing/2014/main" id="{2D96006C-6CBD-1CC8-3063-20A0E8CFC57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46" name="Line 16">
            <a:extLst>
              <a:ext uri="{FF2B5EF4-FFF2-40B4-BE49-F238E27FC236}">
                <a16:creationId xmlns:a16="http://schemas.microsoft.com/office/drawing/2014/main" id="{C4B3B74E-0EEB-CE71-1A96-D9413955936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190500</xdr:rowOff>
    </xdr:from>
    <xdr:to>
      <xdr:col>10</xdr:col>
      <xdr:colOff>0</xdr:colOff>
      <xdr:row>3</xdr:row>
      <xdr:rowOff>0</xdr:rowOff>
    </xdr:to>
    <xdr:grpSp>
      <xdr:nvGrpSpPr>
        <xdr:cNvPr id="526776" name="Group 17">
          <a:extLst>
            <a:ext uri="{FF2B5EF4-FFF2-40B4-BE49-F238E27FC236}">
              <a16:creationId xmlns:a16="http://schemas.microsoft.com/office/drawing/2014/main" id="{845159CC-691D-5B1D-E57F-29413196E01C}"/>
            </a:ext>
          </a:extLst>
        </xdr:cNvPr>
        <xdr:cNvGrpSpPr>
          <a:grpSpLocks/>
        </xdr:cNvGrpSpPr>
      </xdr:nvGrpSpPr>
      <xdr:grpSpPr bwMode="auto">
        <a:xfrm>
          <a:off x="9893710" y="1321210"/>
          <a:ext cx="0" cy="657532"/>
          <a:chOff x="570" y="224"/>
          <a:chExt cx="377" cy="136"/>
        </a:xfrm>
      </xdr:grpSpPr>
      <xdr:sp macro="" textlink="">
        <xdr:nvSpPr>
          <xdr:cNvPr id="532227" name="Rectangle 18">
            <a:extLst>
              <a:ext uri="{FF2B5EF4-FFF2-40B4-BE49-F238E27FC236}">
                <a16:creationId xmlns:a16="http://schemas.microsoft.com/office/drawing/2014/main" id="{1A6DAFAB-683A-0E20-6886-B8CDE3F08999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28" name="Rectangle 19">
            <a:extLst>
              <a:ext uri="{FF2B5EF4-FFF2-40B4-BE49-F238E27FC236}">
                <a16:creationId xmlns:a16="http://schemas.microsoft.com/office/drawing/2014/main" id="{500B7039-E7B5-00A0-1BC0-3DB56794747A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29" name="Rectangle 20">
            <a:extLst>
              <a:ext uri="{FF2B5EF4-FFF2-40B4-BE49-F238E27FC236}">
                <a16:creationId xmlns:a16="http://schemas.microsoft.com/office/drawing/2014/main" id="{A573996C-AA7C-33AD-8134-6B4EE404D8B1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30" name="Rectangle 21">
            <a:extLst>
              <a:ext uri="{FF2B5EF4-FFF2-40B4-BE49-F238E27FC236}">
                <a16:creationId xmlns:a16="http://schemas.microsoft.com/office/drawing/2014/main" id="{DCFB784F-28E8-4A18-4BF9-58830DEF7873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31" name="Line 22">
            <a:extLst>
              <a:ext uri="{FF2B5EF4-FFF2-40B4-BE49-F238E27FC236}">
                <a16:creationId xmlns:a16="http://schemas.microsoft.com/office/drawing/2014/main" id="{9DB9265C-EA17-8E2E-2291-5B071238C075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2" name="Line 23">
            <a:extLst>
              <a:ext uri="{FF2B5EF4-FFF2-40B4-BE49-F238E27FC236}">
                <a16:creationId xmlns:a16="http://schemas.microsoft.com/office/drawing/2014/main" id="{E1E6DE3C-A593-04BD-92A7-0EE07C6413F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3" name="Line 24">
            <a:extLst>
              <a:ext uri="{FF2B5EF4-FFF2-40B4-BE49-F238E27FC236}">
                <a16:creationId xmlns:a16="http://schemas.microsoft.com/office/drawing/2014/main" id="{D3C629F0-DBC0-7287-1D4D-56097F85B6DE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4" name="Rectangle 25">
            <a:extLst>
              <a:ext uri="{FF2B5EF4-FFF2-40B4-BE49-F238E27FC236}">
                <a16:creationId xmlns:a16="http://schemas.microsoft.com/office/drawing/2014/main" id="{CD04D1E2-6F57-094B-2CE0-31F5B9DE8138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35" name="Line 26">
            <a:extLst>
              <a:ext uri="{FF2B5EF4-FFF2-40B4-BE49-F238E27FC236}">
                <a16:creationId xmlns:a16="http://schemas.microsoft.com/office/drawing/2014/main" id="{AFD309FB-F7E8-1B6F-81BA-CD6C607C2809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6" name="Rectangle 27">
            <a:extLst>
              <a:ext uri="{FF2B5EF4-FFF2-40B4-BE49-F238E27FC236}">
                <a16:creationId xmlns:a16="http://schemas.microsoft.com/office/drawing/2014/main" id="{849BB209-4474-56CD-3F7F-F328FF4B4369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37" name="Line 28">
            <a:extLst>
              <a:ext uri="{FF2B5EF4-FFF2-40B4-BE49-F238E27FC236}">
                <a16:creationId xmlns:a16="http://schemas.microsoft.com/office/drawing/2014/main" id="{FEE4BAE7-F183-DB6F-5F21-2B2BF732A6A6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8" name="Line 29">
            <a:extLst>
              <a:ext uri="{FF2B5EF4-FFF2-40B4-BE49-F238E27FC236}">
                <a16:creationId xmlns:a16="http://schemas.microsoft.com/office/drawing/2014/main" id="{E4153D05-EF4E-01E0-9FA4-AC0D3687723F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39" name="Line 30">
            <a:extLst>
              <a:ext uri="{FF2B5EF4-FFF2-40B4-BE49-F238E27FC236}">
                <a16:creationId xmlns:a16="http://schemas.microsoft.com/office/drawing/2014/main" id="{1FB3111E-977E-B1A2-9BFB-3B4C22D2C2AA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190500</xdr:rowOff>
    </xdr:from>
    <xdr:to>
      <xdr:col>10</xdr:col>
      <xdr:colOff>0</xdr:colOff>
      <xdr:row>3</xdr:row>
      <xdr:rowOff>0</xdr:rowOff>
    </xdr:to>
    <xdr:grpSp>
      <xdr:nvGrpSpPr>
        <xdr:cNvPr id="526777" name="Group 31">
          <a:extLst>
            <a:ext uri="{FF2B5EF4-FFF2-40B4-BE49-F238E27FC236}">
              <a16:creationId xmlns:a16="http://schemas.microsoft.com/office/drawing/2014/main" id="{5AA023BC-F15A-1604-F8ED-7588D09A8C81}"/>
            </a:ext>
          </a:extLst>
        </xdr:cNvPr>
        <xdr:cNvGrpSpPr>
          <a:grpSpLocks/>
        </xdr:cNvGrpSpPr>
      </xdr:nvGrpSpPr>
      <xdr:grpSpPr bwMode="auto">
        <a:xfrm>
          <a:off x="9893710" y="1321210"/>
          <a:ext cx="0" cy="657532"/>
          <a:chOff x="570" y="224"/>
          <a:chExt cx="377" cy="136"/>
        </a:xfrm>
      </xdr:grpSpPr>
      <xdr:sp macro="" textlink="">
        <xdr:nvSpPr>
          <xdr:cNvPr id="532214" name="Rectangle 32">
            <a:extLst>
              <a:ext uri="{FF2B5EF4-FFF2-40B4-BE49-F238E27FC236}">
                <a16:creationId xmlns:a16="http://schemas.microsoft.com/office/drawing/2014/main" id="{A4E8CA0E-6B7E-3A27-36EA-531D3333BB9C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5" name="Rectangle 33">
            <a:extLst>
              <a:ext uri="{FF2B5EF4-FFF2-40B4-BE49-F238E27FC236}">
                <a16:creationId xmlns:a16="http://schemas.microsoft.com/office/drawing/2014/main" id="{16EA6B27-3691-E47A-8FD7-EE96AD2E8695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6" name="Rectangle 34">
            <a:extLst>
              <a:ext uri="{FF2B5EF4-FFF2-40B4-BE49-F238E27FC236}">
                <a16:creationId xmlns:a16="http://schemas.microsoft.com/office/drawing/2014/main" id="{AFBB419B-7EB4-BDF8-71BC-7739C8E27844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7" name="Rectangle 35">
            <a:extLst>
              <a:ext uri="{FF2B5EF4-FFF2-40B4-BE49-F238E27FC236}">
                <a16:creationId xmlns:a16="http://schemas.microsoft.com/office/drawing/2014/main" id="{C6039BB4-A14F-A8F3-21A7-5B7103E78848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8" name="Line 36">
            <a:extLst>
              <a:ext uri="{FF2B5EF4-FFF2-40B4-BE49-F238E27FC236}">
                <a16:creationId xmlns:a16="http://schemas.microsoft.com/office/drawing/2014/main" id="{B5C01E92-817A-9F21-7489-27A7D6A6744D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19" name="Line 37">
            <a:extLst>
              <a:ext uri="{FF2B5EF4-FFF2-40B4-BE49-F238E27FC236}">
                <a16:creationId xmlns:a16="http://schemas.microsoft.com/office/drawing/2014/main" id="{80528CF1-6D92-DE5A-B242-C5D3AE79258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0" name="Line 38">
            <a:extLst>
              <a:ext uri="{FF2B5EF4-FFF2-40B4-BE49-F238E27FC236}">
                <a16:creationId xmlns:a16="http://schemas.microsoft.com/office/drawing/2014/main" id="{0ACB8E1A-52B8-877B-BDC5-E8E0704C9F85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1" name="Rectangle 39">
            <a:extLst>
              <a:ext uri="{FF2B5EF4-FFF2-40B4-BE49-F238E27FC236}">
                <a16:creationId xmlns:a16="http://schemas.microsoft.com/office/drawing/2014/main" id="{4D12DEB1-1A3A-1D39-5D9F-B2C422301F75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22" name="Line 40">
            <a:extLst>
              <a:ext uri="{FF2B5EF4-FFF2-40B4-BE49-F238E27FC236}">
                <a16:creationId xmlns:a16="http://schemas.microsoft.com/office/drawing/2014/main" id="{EA8513D8-5B46-F2B8-8F82-8E49263E1262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3" name="Rectangle 41">
            <a:extLst>
              <a:ext uri="{FF2B5EF4-FFF2-40B4-BE49-F238E27FC236}">
                <a16:creationId xmlns:a16="http://schemas.microsoft.com/office/drawing/2014/main" id="{185530AA-433F-8282-9922-83D898F7195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24" name="Line 42">
            <a:extLst>
              <a:ext uri="{FF2B5EF4-FFF2-40B4-BE49-F238E27FC236}">
                <a16:creationId xmlns:a16="http://schemas.microsoft.com/office/drawing/2014/main" id="{316DF1DB-693E-7E57-00CE-BFD9FFC83722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5" name="Line 43">
            <a:extLst>
              <a:ext uri="{FF2B5EF4-FFF2-40B4-BE49-F238E27FC236}">
                <a16:creationId xmlns:a16="http://schemas.microsoft.com/office/drawing/2014/main" id="{1A43A527-15B1-9EEC-A237-7CF3A9FD443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26" name="Line 44">
            <a:extLst>
              <a:ext uri="{FF2B5EF4-FFF2-40B4-BE49-F238E27FC236}">
                <a16:creationId xmlns:a16="http://schemas.microsoft.com/office/drawing/2014/main" id="{D378ED4C-6447-A09F-AB9F-4AB643178E14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190500</xdr:rowOff>
    </xdr:from>
    <xdr:to>
      <xdr:col>10</xdr:col>
      <xdr:colOff>0</xdr:colOff>
      <xdr:row>3</xdr:row>
      <xdr:rowOff>0</xdr:rowOff>
    </xdr:to>
    <xdr:grpSp>
      <xdr:nvGrpSpPr>
        <xdr:cNvPr id="526778" name="Group 45">
          <a:extLst>
            <a:ext uri="{FF2B5EF4-FFF2-40B4-BE49-F238E27FC236}">
              <a16:creationId xmlns:a16="http://schemas.microsoft.com/office/drawing/2014/main" id="{668B730A-3D1E-FD33-6A10-7A895A883CFD}"/>
            </a:ext>
          </a:extLst>
        </xdr:cNvPr>
        <xdr:cNvGrpSpPr>
          <a:grpSpLocks/>
        </xdr:cNvGrpSpPr>
      </xdr:nvGrpSpPr>
      <xdr:grpSpPr bwMode="auto">
        <a:xfrm>
          <a:off x="9893710" y="1321210"/>
          <a:ext cx="0" cy="657532"/>
          <a:chOff x="570" y="224"/>
          <a:chExt cx="377" cy="136"/>
        </a:xfrm>
      </xdr:grpSpPr>
      <xdr:sp macro="" textlink="">
        <xdr:nvSpPr>
          <xdr:cNvPr id="532201" name="Rectangle 46">
            <a:extLst>
              <a:ext uri="{FF2B5EF4-FFF2-40B4-BE49-F238E27FC236}">
                <a16:creationId xmlns:a16="http://schemas.microsoft.com/office/drawing/2014/main" id="{C3C8697C-3D83-1CD9-8B65-29DCD462161D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2" name="Rectangle 47">
            <a:extLst>
              <a:ext uri="{FF2B5EF4-FFF2-40B4-BE49-F238E27FC236}">
                <a16:creationId xmlns:a16="http://schemas.microsoft.com/office/drawing/2014/main" id="{A560EB85-DEA9-888C-05FE-788864432C7C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3" name="Rectangle 48">
            <a:extLst>
              <a:ext uri="{FF2B5EF4-FFF2-40B4-BE49-F238E27FC236}">
                <a16:creationId xmlns:a16="http://schemas.microsoft.com/office/drawing/2014/main" id="{A5470FE9-9CE8-89CD-9FA7-EA1652A48D81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4" name="Rectangle 49">
            <a:extLst>
              <a:ext uri="{FF2B5EF4-FFF2-40B4-BE49-F238E27FC236}">
                <a16:creationId xmlns:a16="http://schemas.microsoft.com/office/drawing/2014/main" id="{91A95021-3A9A-2317-8923-C607FC3DB697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5" name="Line 50">
            <a:extLst>
              <a:ext uri="{FF2B5EF4-FFF2-40B4-BE49-F238E27FC236}">
                <a16:creationId xmlns:a16="http://schemas.microsoft.com/office/drawing/2014/main" id="{FE0FEEF7-C1ED-8705-3172-2E4F1EDB356E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06" name="Line 51">
            <a:extLst>
              <a:ext uri="{FF2B5EF4-FFF2-40B4-BE49-F238E27FC236}">
                <a16:creationId xmlns:a16="http://schemas.microsoft.com/office/drawing/2014/main" id="{D605E787-018B-5B9C-7C0F-A6BB78E31170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07" name="Line 52">
            <a:extLst>
              <a:ext uri="{FF2B5EF4-FFF2-40B4-BE49-F238E27FC236}">
                <a16:creationId xmlns:a16="http://schemas.microsoft.com/office/drawing/2014/main" id="{A55E5C79-B553-1008-83B8-7CD9B76EDB96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08" name="Rectangle 53">
            <a:extLst>
              <a:ext uri="{FF2B5EF4-FFF2-40B4-BE49-F238E27FC236}">
                <a16:creationId xmlns:a16="http://schemas.microsoft.com/office/drawing/2014/main" id="{DBDC6817-89B1-DDF3-5BC0-1AD244A753B8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09" name="Line 54">
            <a:extLst>
              <a:ext uri="{FF2B5EF4-FFF2-40B4-BE49-F238E27FC236}">
                <a16:creationId xmlns:a16="http://schemas.microsoft.com/office/drawing/2014/main" id="{5484C6A0-5846-BE35-30E8-3F6B2E37DC22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10" name="Rectangle 55">
            <a:extLst>
              <a:ext uri="{FF2B5EF4-FFF2-40B4-BE49-F238E27FC236}">
                <a16:creationId xmlns:a16="http://schemas.microsoft.com/office/drawing/2014/main" id="{A1762130-65A4-F660-DAC5-ED1FA79B536D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211" name="Line 56">
            <a:extLst>
              <a:ext uri="{FF2B5EF4-FFF2-40B4-BE49-F238E27FC236}">
                <a16:creationId xmlns:a16="http://schemas.microsoft.com/office/drawing/2014/main" id="{9364BBA7-DD66-9122-4B92-5EC94AB70AE0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12" name="Line 57">
            <a:extLst>
              <a:ext uri="{FF2B5EF4-FFF2-40B4-BE49-F238E27FC236}">
                <a16:creationId xmlns:a16="http://schemas.microsoft.com/office/drawing/2014/main" id="{6A5923AB-F7DC-AE7E-C65F-1AC01597F45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13" name="Line 58">
            <a:extLst>
              <a:ext uri="{FF2B5EF4-FFF2-40B4-BE49-F238E27FC236}">
                <a16:creationId xmlns:a16="http://schemas.microsoft.com/office/drawing/2014/main" id="{A77C4223-C560-C86F-97D8-D72F1D6BE240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190500</xdr:rowOff>
    </xdr:from>
    <xdr:to>
      <xdr:col>10</xdr:col>
      <xdr:colOff>0</xdr:colOff>
      <xdr:row>3</xdr:row>
      <xdr:rowOff>0</xdr:rowOff>
    </xdr:to>
    <xdr:grpSp>
      <xdr:nvGrpSpPr>
        <xdr:cNvPr id="526779" name="Group 59">
          <a:extLst>
            <a:ext uri="{FF2B5EF4-FFF2-40B4-BE49-F238E27FC236}">
              <a16:creationId xmlns:a16="http://schemas.microsoft.com/office/drawing/2014/main" id="{6C120943-D67B-D51B-E6A3-4B4D77277B3B}"/>
            </a:ext>
          </a:extLst>
        </xdr:cNvPr>
        <xdr:cNvGrpSpPr>
          <a:grpSpLocks/>
        </xdr:cNvGrpSpPr>
      </xdr:nvGrpSpPr>
      <xdr:grpSpPr bwMode="auto">
        <a:xfrm>
          <a:off x="9893710" y="1321210"/>
          <a:ext cx="0" cy="657532"/>
          <a:chOff x="570" y="224"/>
          <a:chExt cx="377" cy="136"/>
        </a:xfrm>
      </xdr:grpSpPr>
      <xdr:sp macro="" textlink="">
        <xdr:nvSpPr>
          <xdr:cNvPr id="532188" name="Rectangle 60">
            <a:extLst>
              <a:ext uri="{FF2B5EF4-FFF2-40B4-BE49-F238E27FC236}">
                <a16:creationId xmlns:a16="http://schemas.microsoft.com/office/drawing/2014/main" id="{4C38AD66-B98D-4EE9-D637-4CE12E4C6E4A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9" name="Rectangle 61">
            <a:extLst>
              <a:ext uri="{FF2B5EF4-FFF2-40B4-BE49-F238E27FC236}">
                <a16:creationId xmlns:a16="http://schemas.microsoft.com/office/drawing/2014/main" id="{F1550073-55A3-2B77-7EA0-23A5740AA8BD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0" name="Rectangle 62">
            <a:extLst>
              <a:ext uri="{FF2B5EF4-FFF2-40B4-BE49-F238E27FC236}">
                <a16:creationId xmlns:a16="http://schemas.microsoft.com/office/drawing/2014/main" id="{F56C1D7C-5318-F0D5-9858-606D8D87095A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1" name="Rectangle 63">
            <a:extLst>
              <a:ext uri="{FF2B5EF4-FFF2-40B4-BE49-F238E27FC236}">
                <a16:creationId xmlns:a16="http://schemas.microsoft.com/office/drawing/2014/main" id="{3E7E6265-E795-8633-2B15-54166D258F1A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2" name="Line 64">
            <a:extLst>
              <a:ext uri="{FF2B5EF4-FFF2-40B4-BE49-F238E27FC236}">
                <a16:creationId xmlns:a16="http://schemas.microsoft.com/office/drawing/2014/main" id="{A26B1B8F-B552-C0FA-9EA8-36E7D1967451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3" name="Line 65">
            <a:extLst>
              <a:ext uri="{FF2B5EF4-FFF2-40B4-BE49-F238E27FC236}">
                <a16:creationId xmlns:a16="http://schemas.microsoft.com/office/drawing/2014/main" id="{019F2D65-3834-9511-2EA6-3B68869FADC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4" name="Line 66">
            <a:extLst>
              <a:ext uri="{FF2B5EF4-FFF2-40B4-BE49-F238E27FC236}">
                <a16:creationId xmlns:a16="http://schemas.microsoft.com/office/drawing/2014/main" id="{FFD6D1FD-AC1C-9B0D-0350-C00FC0F50BEF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5" name="Rectangle 67">
            <a:extLst>
              <a:ext uri="{FF2B5EF4-FFF2-40B4-BE49-F238E27FC236}">
                <a16:creationId xmlns:a16="http://schemas.microsoft.com/office/drawing/2014/main" id="{AA1710AA-0753-30F4-733A-1148C9B8E74E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6" name="Line 68">
            <a:extLst>
              <a:ext uri="{FF2B5EF4-FFF2-40B4-BE49-F238E27FC236}">
                <a16:creationId xmlns:a16="http://schemas.microsoft.com/office/drawing/2014/main" id="{42DBD75D-C3D2-9523-10AE-B43CE6C30C1C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7" name="Rectangle 69">
            <a:extLst>
              <a:ext uri="{FF2B5EF4-FFF2-40B4-BE49-F238E27FC236}">
                <a16:creationId xmlns:a16="http://schemas.microsoft.com/office/drawing/2014/main" id="{6EB34A1E-EC76-694D-5F3E-167278F03533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98" name="Line 70">
            <a:extLst>
              <a:ext uri="{FF2B5EF4-FFF2-40B4-BE49-F238E27FC236}">
                <a16:creationId xmlns:a16="http://schemas.microsoft.com/office/drawing/2014/main" id="{FB76E381-E129-B8A9-9E01-34A279A60FA2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99" name="Line 71">
            <a:extLst>
              <a:ext uri="{FF2B5EF4-FFF2-40B4-BE49-F238E27FC236}">
                <a16:creationId xmlns:a16="http://schemas.microsoft.com/office/drawing/2014/main" id="{68822D3B-F3EE-C8A4-6772-55BE6CD13FB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200" name="Line 72">
            <a:extLst>
              <a:ext uri="{FF2B5EF4-FFF2-40B4-BE49-F238E27FC236}">
                <a16:creationId xmlns:a16="http://schemas.microsoft.com/office/drawing/2014/main" id="{09E1AD42-1990-B981-8766-A21F298D458C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0" name="Group 73">
          <a:extLst>
            <a:ext uri="{FF2B5EF4-FFF2-40B4-BE49-F238E27FC236}">
              <a16:creationId xmlns:a16="http://schemas.microsoft.com/office/drawing/2014/main" id="{3FD505DD-6E7D-6D85-149E-82F538EBFFEE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81" name="Rectangle 74">
            <a:extLst>
              <a:ext uri="{FF2B5EF4-FFF2-40B4-BE49-F238E27FC236}">
                <a16:creationId xmlns:a16="http://schemas.microsoft.com/office/drawing/2014/main" id="{803FA5AC-2E82-5944-4937-1981EC324AB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2" name="Rectangle 75">
            <a:extLst>
              <a:ext uri="{FF2B5EF4-FFF2-40B4-BE49-F238E27FC236}">
                <a16:creationId xmlns:a16="http://schemas.microsoft.com/office/drawing/2014/main" id="{A40CB6D8-48CB-73FB-98F5-72C97692CD5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3" name="Rectangle 76">
            <a:extLst>
              <a:ext uri="{FF2B5EF4-FFF2-40B4-BE49-F238E27FC236}">
                <a16:creationId xmlns:a16="http://schemas.microsoft.com/office/drawing/2014/main" id="{579CCA7E-C53D-DAC7-34FE-0BF1434DDF1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4" name="Rectangle 77">
            <a:extLst>
              <a:ext uri="{FF2B5EF4-FFF2-40B4-BE49-F238E27FC236}">
                <a16:creationId xmlns:a16="http://schemas.microsoft.com/office/drawing/2014/main" id="{62223741-F838-490C-0DBD-33B91FD9774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85" name="Line 78">
            <a:extLst>
              <a:ext uri="{FF2B5EF4-FFF2-40B4-BE49-F238E27FC236}">
                <a16:creationId xmlns:a16="http://schemas.microsoft.com/office/drawing/2014/main" id="{FB9C4607-E8C0-28D4-1E2E-75499FA8B79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86" name="Line 79">
            <a:extLst>
              <a:ext uri="{FF2B5EF4-FFF2-40B4-BE49-F238E27FC236}">
                <a16:creationId xmlns:a16="http://schemas.microsoft.com/office/drawing/2014/main" id="{26CA2407-D78A-0EA3-FC89-EB86D1DDE35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87" name="Line 80">
            <a:extLst>
              <a:ext uri="{FF2B5EF4-FFF2-40B4-BE49-F238E27FC236}">
                <a16:creationId xmlns:a16="http://schemas.microsoft.com/office/drawing/2014/main" id="{1F6269EE-CF1A-D3AD-B8C9-B9393A413C8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1" name="Group 81">
          <a:extLst>
            <a:ext uri="{FF2B5EF4-FFF2-40B4-BE49-F238E27FC236}">
              <a16:creationId xmlns:a16="http://schemas.microsoft.com/office/drawing/2014/main" id="{877F493A-BE8C-64AF-4D62-54DBEACE6EDF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74" name="Rectangle 82">
            <a:extLst>
              <a:ext uri="{FF2B5EF4-FFF2-40B4-BE49-F238E27FC236}">
                <a16:creationId xmlns:a16="http://schemas.microsoft.com/office/drawing/2014/main" id="{C753061F-D22A-92DB-71B2-E76092AEFEE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5" name="Rectangle 83">
            <a:extLst>
              <a:ext uri="{FF2B5EF4-FFF2-40B4-BE49-F238E27FC236}">
                <a16:creationId xmlns:a16="http://schemas.microsoft.com/office/drawing/2014/main" id="{50920432-9AFD-3AA8-9491-3FC0E45EAB0C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6" name="Rectangle 84">
            <a:extLst>
              <a:ext uri="{FF2B5EF4-FFF2-40B4-BE49-F238E27FC236}">
                <a16:creationId xmlns:a16="http://schemas.microsoft.com/office/drawing/2014/main" id="{3BDB89FD-BAD8-2EF0-FF15-7C26B98FB03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7" name="Rectangle 85">
            <a:extLst>
              <a:ext uri="{FF2B5EF4-FFF2-40B4-BE49-F238E27FC236}">
                <a16:creationId xmlns:a16="http://schemas.microsoft.com/office/drawing/2014/main" id="{388D3857-307B-FC15-2DD9-C371628A6F8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8" name="Line 86">
            <a:extLst>
              <a:ext uri="{FF2B5EF4-FFF2-40B4-BE49-F238E27FC236}">
                <a16:creationId xmlns:a16="http://schemas.microsoft.com/office/drawing/2014/main" id="{F3271E3E-FF90-53B0-7053-F2AA3F69985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79" name="Line 87">
            <a:extLst>
              <a:ext uri="{FF2B5EF4-FFF2-40B4-BE49-F238E27FC236}">
                <a16:creationId xmlns:a16="http://schemas.microsoft.com/office/drawing/2014/main" id="{9B0C2BEF-59AC-6E90-7CA5-2D62F5FE1B6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80" name="Line 88">
            <a:extLst>
              <a:ext uri="{FF2B5EF4-FFF2-40B4-BE49-F238E27FC236}">
                <a16:creationId xmlns:a16="http://schemas.microsoft.com/office/drawing/2014/main" id="{EA9106A4-47CF-5D1D-E8C4-D89AE608F34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2" name="Group 89">
          <a:extLst>
            <a:ext uri="{FF2B5EF4-FFF2-40B4-BE49-F238E27FC236}">
              <a16:creationId xmlns:a16="http://schemas.microsoft.com/office/drawing/2014/main" id="{F86FF127-BF0F-432B-07C8-41A6B3FC18AE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67" name="Rectangle 90">
            <a:extLst>
              <a:ext uri="{FF2B5EF4-FFF2-40B4-BE49-F238E27FC236}">
                <a16:creationId xmlns:a16="http://schemas.microsoft.com/office/drawing/2014/main" id="{B965D01B-46AF-0A5C-6D43-BBA9F9D308F7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8" name="Rectangle 91">
            <a:extLst>
              <a:ext uri="{FF2B5EF4-FFF2-40B4-BE49-F238E27FC236}">
                <a16:creationId xmlns:a16="http://schemas.microsoft.com/office/drawing/2014/main" id="{D0100C27-6C30-750C-B3D7-BA0F34BC9EE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9" name="Rectangle 92">
            <a:extLst>
              <a:ext uri="{FF2B5EF4-FFF2-40B4-BE49-F238E27FC236}">
                <a16:creationId xmlns:a16="http://schemas.microsoft.com/office/drawing/2014/main" id="{F5AD28BF-78B3-D72A-E71D-61929DC2AD2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0" name="Rectangle 93">
            <a:extLst>
              <a:ext uri="{FF2B5EF4-FFF2-40B4-BE49-F238E27FC236}">
                <a16:creationId xmlns:a16="http://schemas.microsoft.com/office/drawing/2014/main" id="{90AAC4D9-B1DC-2CAA-5155-7A19D940EA9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71" name="Line 94">
            <a:extLst>
              <a:ext uri="{FF2B5EF4-FFF2-40B4-BE49-F238E27FC236}">
                <a16:creationId xmlns:a16="http://schemas.microsoft.com/office/drawing/2014/main" id="{CC93F83C-5474-7779-EC7B-130D33C7253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72" name="Line 95">
            <a:extLst>
              <a:ext uri="{FF2B5EF4-FFF2-40B4-BE49-F238E27FC236}">
                <a16:creationId xmlns:a16="http://schemas.microsoft.com/office/drawing/2014/main" id="{DACE4AC4-E704-0CE4-2377-217D9293B9E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73" name="Line 96">
            <a:extLst>
              <a:ext uri="{FF2B5EF4-FFF2-40B4-BE49-F238E27FC236}">
                <a16:creationId xmlns:a16="http://schemas.microsoft.com/office/drawing/2014/main" id="{A5432EFE-52AF-3D61-6DDD-90C6D8E7599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3" name="Group 97">
          <a:extLst>
            <a:ext uri="{FF2B5EF4-FFF2-40B4-BE49-F238E27FC236}">
              <a16:creationId xmlns:a16="http://schemas.microsoft.com/office/drawing/2014/main" id="{309CA286-DAF2-8C41-DF81-C079E934B172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60" name="Rectangle 98">
            <a:extLst>
              <a:ext uri="{FF2B5EF4-FFF2-40B4-BE49-F238E27FC236}">
                <a16:creationId xmlns:a16="http://schemas.microsoft.com/office/drawing/2014/main" id="{6EB66E93-0CA4-4A5E-FE64-4E43E994F12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1" name="Rectangle 99">
            <a:extLst>
              <a:ext uri="{FF2B5EF4-FFF2-40B4-BE49-F238E27FC236}">
                <a16:creationId xmlns:a16="http://schemas.microsoft.com/office/drawing/2014/main" id="{A65B3712-AA0C-64AB-BB1F-6C9BF82FB79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2" name="Rectangle 100">
            <a:extLst>
              <a:ext uri="{FF2B5EF4-FFF2-40B4-BE49-F238E27FC236}">
                <a16:creationId xmlns:a16="http://schemas.microsoft.com/office/drawing/2014/main" id="{0889CD19-4E55-60D7-880B-4039DEFFD76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3" name="Rectangle 101">
            <a:extLst>
              <a:ext uri="{FF2B5EF4-FFF2-40B4-BE49-F238E27FC236}">
                <a16:creationId xmlns:a16="http://schemas.microsoft.com/office/drawing/2014/main" id="{64B3C716-5D74-18BE-9C2E-51EBB736E12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64" name="Line 102">
            <a:extLst>
              <a:ext uri="{FF2B5EF4-FFF2-40B4-BE49-F238E27FC236}">
                <a16:creationId xmlns:a16="http://schemas.microsoft.com/office/drawing/2014/main" id="{2F2B2532-EEC4-377F-4996-DD36F3EBAA9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65" name="Line 103">
            <a:extLst>
              <a:ext uri="{FF2B5EF4-FFF2-40B4-BE49-F238E27FC236}">
                <a16:creationId xmlns:a16="http://schemas.microsoft.com/office/drawing/2014/main" id="{96CF9D6C-ABE0-BF69-D73D-77237163162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66" name="Line 104">
            <a:extLst>
              <a:ext uri="{FF2B5EF4-FFF2-40B4-BE49-F238E27FC236}">
                <a16:creationId xmlns:a16="http://schemas.microsoft.com/office/drawing/2014/main" id="{4E8814AE-7243-1D4D-9C40-42C49B91D05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4" name="Group 105">
          <a:extLst>
            <a:ext uri="{FF2B5EF4-FFF2-40B4-BE49-F238E27FC236}">
              <a16:creationId xmlns:a16="http://schemas.microsoft.com/office/drawing/2014/main" id="{D605A7DE-6927-1E85-82C1-AC8836B44A9B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53" name="Rectangle 106">
            <a:extLst>
              <a:ext uri="{FF2B5EF4-FFF2-40B4-BE49-F238E27FC236}">
                <a16:creationId xmlns:a16="http://schemas.microsoft.com/office/drawing/2014/main" id="{9E009271-1D3C-FE06-39EF-C0B79C7D93C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4" name="Rectangle 107">
            <a:extLst>
              <a:ext uri="{FF2B5EF4-FFF2-40B4-BE49-F238E27FC236}">
                <a16:creationId xmlns:a16="http://schemas.microsoft.com/office/drawing/2014/main" id="{AB8B2096-0349-65D3-2CEB-74FF9F3E0FE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5" name="Rectangle 108">
            <a:extLst>
              <a:ext uri="{FF2B5EF4-FFF2-40B4-BE49-F238E27FC236}">
                <a16:creationId xmlns:a16="http://schemas.microsoft.com/office/drawing/2014/main" id="{960632CC-74F6-DE41-51EF-191DEE098F1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6" name="Rectangle 109">
            <a:extLst>
              <a:ext uri="{FF2B5EF4-FFF2-40B4-BE49-F238E27FC236}">
                <a16:creationId xmlns:a16="http://schemas.microsoft.com/office/drawing/2014/main" id="{7E94C4D6-6B7E-F558-AEFA-B3F5C6735AA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7" name="Line 110">
            <a:extLst>
              <a:ext uri="{FF2B5EF4-FFF2-40B4-BE49-F238E27FC236}">
                <a16:creationId xmlns:a16="http://schemas.microsoft.com/office/drawing/2014/main" id="{65334494-2EDD-E8AD-56FB-AD72519E274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58" name="Line 111">
            <a:extLst>
              <a:ext uri="{FF2B5EF4-FFF2-40B4-BE49-F238E27FC236}">
                <a16:creationId xmlns:a16="http://schemas.microsoft.com/office/drawing/2014/main" id="{5E945290-E575-6478-2E79-68F511C4BCE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59" name="Line 112">
            <a:extLst>
              <a:ext uri="{FF2B5EF4-FFF2-40B4-BE49-F238E27FC236}">
                <a16:creationId xmlns:a16="http://schemas.microsoft.com/office/drawing/2014/main" id="{11F14FBF-350F-F3FD-4DBE-EC4BCAFA0DB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5" name="Group 113">
          <a:extLst>
            <a:ext uri="{FF2B5EF4-FFF2-40B4-BE49-F238E27FC236}">
              <a16:creationId xmlns:a16="http://schemas.microsoft.com/office/drawing/2014/main" id="{31F9F4B6-5490-BBFB-7F2A-068441BD029B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46" name="Rectangle 114">
            <a:extLst>
              <a:ext uri="{FF2B5EF4-FFF2-40B4-BE49-F238E27FC236}">
                <a16:creationId xmlns:a16="http://schemas.microsoft.com/office/drawing/2014/main" id="{17801B6D-BBDB-CB65-F95D-3D27B9A6AF7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7" name="Rectangle 115">
            <a:extLst>
              <a:ext uri="{FF2B5EF4-FFF2-40B4-BE49-F238E27FC236}">
                <a16:creationId xmlns:a16="http://schemas.microsoft.com/office/drawing/2014/main" id="{7FAE08FD-2243-298F-E1BA-6C6B2A2900EF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8" name="Rectangle 116">
            <a:extLst>
              <a:ext uri="{FF2B5EF4-FFF2-40B4-BE49-F238E27FC236}">
                <a16:creationId xmlns:a16="http://schemas.microsoft.com/office/drawing/2014/main" id="{01C102E1-C34C-651D-6DE3-DB68F94AC34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9" name="Rectangle 117">
            <a:extLst>
              <a:ext uri="{FF2B5EF4-FFF2-40B4-BE49-F238E27FC236}">
                <a16:creationId xmlns:a16="http://schemas.microsoft.com/office/drawing/2014/main" id="{45CD825E-88DE-593D-A11E-C725B7C3F61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50" name="Line 118">
            <a:extLst>
              <a:ext uri="{FF2B5EF4-FFF2-40B4-BE49-F238E27FC236}">
                <a16:creationId xmlns:a16="http://schemas.microsoft.com/office/drawing/2014/main" id="{A2C1A3C5-433E-C046-75FA-9A712FA8D4BE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51" name="Line 119">
            <a:extLst>
              <a:ext uri="{FF2B5EF4-FFF2-40B4-BE49-F238E27FC236}">
                <a16:creationId xmlns:a16="http://schemas.microsoft.com/office/drawing/2014/main" id="{89EB5B19-F3B1-DF07-3167-CCA4A7AF611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52" name="Line 120">
            <a:extLst>
              <a:ext uri="{FF2B5EF4-FFF2-40B4-BE49-F238E27FC236}">
                <a16:creationId xmlns:a16="http://schemas.microsoft.com/office/drawing/2014/main" id="{EAA4EAFA-BBEE-FE6B-E3CD-8C756292128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6" name="Group 121">
          <a:extLst>
            <a:ext uri="{FF2B5EF4-FFF2-40B4-BE49-F238E27FC236}">
              <a16:creationId xmlns:a16="http://schemas.microsoft.com/office/drawing/2014/main" id="{FFEBE080-0A23-350D-C7C7-67AA5FA64126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39" name="Rectangle 122">
            <a:extLst>
              <a:ext uri="{FF2B5EF4-FFF2-40B4-BE49-F238E27FC236}">
                <a16:creationId xmlns:a16="http://schemas.microsoft.com/office/drawing/2014/main" id="{DAFBED4A-047F-6369-6577-402903FE29D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0" name="Rectangle 123">
            <a:extLst>
              <a:ext uri="{FF2B5EF4-FFF2-40B4-BE49-F238E27FC236}">
                <a16:creationId xmlns:a16="http://schemas.microsoft.com/office/drawing/2014/main" id="{4CF909C8-A539-931D-76E5-35FBD30752D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1" name="Rectangle 124">
            <a:extLst>
              <a:ext uri="{FF2B5EF4-FFF2-40B4-BE49-F238E27FC236}">
                <a16:creationId xmlns:a16="http://schemas.microsoft.com/office/drawing/2014/main" id="{FC0E3B15-3B67-FD4A-2469-1CA02FF113D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2" name="Rectangle 125">
            <a:extLst>
              <a:ext uri="{FF2B5EF4-FFF2-40B4-BE49-F238E27FC236}">
                <a16:creationId xmlns:a16="http://schemas.microsoft.com/office/drawing/2014/main" id="{4B0DDE6F-8A3D-9A22-67BD-3597C6868D5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43" name="Line 126">
            <a:extLst>
              <a:ext uri="{FF2B5EF4-FFF2-40B4-BE49-F238E27FC236}">
                <a16:creationId xmlns:a16="http://schemas.microsoft.com/office/drawing/2014/main" id="{EAE16162-E0CA-9EE7-E8FE-D5ECA02DF993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44" name="Line 127">
            <a:extLst>
              <a:ext uri="{FF2B5EF4-FFF2-40B4-BE49-F238E27FC236}">
                <a16:creationId xmlns:a16="http://schemas.microsoft.com/office/drawing/2014/main" id="{FF45E5CF-25D9-E437-1E06-5DB60C70739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45" name="Line 128">
            <a:extLst>
              <a:ext uri="{FF2B5EF4-FFF2-40B4-BE49-F238E27FC236}">
                <a16:creationId xmlns:a16="http://schemas.microsoft.com/office/drawing/2014/main" id="{E47E07AA-DA95-DC39-B2D2-DFA8660F0A5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7" name="Group 129">
          <a:extLst>
            <a:ext uri="{FF2B5EF4-FFF2-40B4-BE49-F238E27FC236}">
              <a16:creationId xmlns:a16="http://schemas.microsoft.com/office/drawing/2014/main" id="{3C7E13D3-AB40-E12D-F808-E6CFF837BC11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32" name="Rectangle 130">
            <a:extLst>
              <a:ext uri="{FF2B5EF4-FFF2-40B4-BE49-F238E27FC236}">
                <a16:creationId xmlns:a16="http://schemas.microsoft.com/office/drawing/2014/main" id="{30050D29-2B9C-5CA3-60B2-C4EE7174DF6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33" name="Rectangle 131">
            <a:extLst>
              <a:ext uri="{FF2B5EF4-FFF2-40B4-BE49-F238E27FC236}">
                <a16:creationId xmlns:a16="http://schemas.microsoft.com/office/drawing/2014/main" id="{D6DB0C37-652B-E3C7-D549-C4E026626AD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34" name="Rectangle 132">
            <a:extLst>
              <a:ext uri="{FF2B5EF4-FFF2-40B4-BE49-F238E27FC236}">
                <a16:creationId xmlns:a16="http://schemas.microsoft.com/office/drawing/2014/main" id="{CF4F800B-A80D-F5B3-8A6E-FECD257AD87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35" name="Rectangle 133">
            <a:extLst>
              <a:ext uri="{FF2B5EF4-FFF2-40B4-BE49-F238E27FC236}">
                <a16:creationId xmlns:a16="http://schemas.microsoft.com/office/drawing/2014/main" id="{C66D3ACE-2501-9576-0000-A47B2E86221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36" name="Line 134">
            <a:extLst>
              <a:ext uri="{FF2B5EF4-FFF2-40B4-BE49-F238E27FC236}">
                <a16:creationId xmlns:a16="http://schemas.microsoft.com/office/drawing/2014/main" id="{FCCFE0DA-29D7-8854-8444-B583D1EF799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37" name="Line 135">
            <a:extLst>
              <a:ext uri="{FF2B5EF4-FFF2-40B4-BE49-F238E27FC236}">
                <a16:creationId xmlns:a16="http://schemas.microsoft.com/office/drawing/2014/main" id="{20D96629-8FB2-E6A4-1D76-2CE2C638BBC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38" name="Line 136">
            <a:extLst>
              <a:ext uri="{FF2B5EF4-FFF2-40B4-BE49-F238E27FC236}">
                <a16:creationId xmlns:a16="http://schemas.microsoft.com/office/drawing/2014/main" id="{FCC3CEDF-A2DE-0E9D-BD46-A7E40E4F42D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8" name="Group 137">
          <a:extLst>
            <a:ext uri="{FF2B5EF4-FFF2-40B4-BE49-F238E27FC236}">
              <a16:creationId xmlns:a16="http://schemas.microsoft.com/office/drawing/2014/main" id="{D81FA4C2-5C5C-D28C-2C5D-6264AA74F0F7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25" name="Rectangle 138">
            <a:extLst>
              <a:ext uri="{FF2B5EF4-FFF2-40B4-BE49-F238E27FC236}">
                <a16:creationId xmlns:a16="http://schemas.microsoft.com/office/drawing/2014/main" id="{AE46E660-AB56-F40B-E2E3-B8D5E181847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6" name="Rectangle 139">
            <a:extLst>
              <a:ext uri="{FF2B5EF4-FFF2-40B4-BE49-F238E27FC236}">
                <a16:creationId xmlns:a16="http://schemas.microsoft.com/office/drawing/2014/main" id="{9712F5F2-6CE8-657E-2E7F-F0DE2500530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7" name="Rectangle 140">
            <a:extLst>
              <a:ext uri="{FF2B5EF4-FFF2-40B4-BE49-F238E27FC236}">
                <a16:creationId xmlns:a16="http://schemas.microsoft.com/office/drawing/2014/main" id="{69ABF9C9-5D32-5AAA-CE36-A381C674E69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8" name="Rectangle 141">
            <a:extLst>
              <a:ext uri="{FF2B5EF4-FFF2-40B4-BE49-F238E27FC236}">
                <a16:creationId xmlns:a16="http://schemas.microsoft.com/office/drawing/2014/main" id="{6FECEB08-A39C-2B81-A764-B8CADD7FF3B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9" name="Line 142">
            <a:extLst>
              <a:ext uri="{FF2B5EF4-FFF2-40B4-BE49-F238E27FC236}">
                <a16:creationId xmlns:a16="http://schemas.microsoft.com/office/drawing/2014/main" id="{9351FCE9-D277-4EE6-5C14-44F98B754C8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30" name="Line 143">
            <a:extLst>
              <a:ext uri="{FF2B5EF4-FFF2-40B4-BE49-F238E27FC236}">
                <a16:creationId xmlns:a16="http://schemas.microsoft.com/office/drawing/2014/main" id="{A1BC8E10-63A2-3B26-4903-F3F5D17C603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31" name="Line 144">
            <a:extLst>
              <a:ext uri="{FF2B5EF4-FFF2-40B4-BE49-F238E27FC236}">
                <a16:creationId xmlns:a16="http://schemas.microsoft.com/office/drawing/2014/main" id="{22E41E36-535A-7260-1D6C-85EE4158BC3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89" name="Group 145">
          <a:extLst>
            <a:ext uri="{FF2B5EF4-FFF2-40B4-BE49-F238E27FC236}">
              <a16:creationId xmlns:a16="http://schemas.microsoft.com/office/drawing/2014/main" id="{CDA5AC74-7A8D-656E-12DA-E625FBDB09DC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18" name="Rectangle 146">
            <a:extLst>
              <a:ext uri="{FF2B5EF4-FFF2-40B4-BE49-F238E27FC236}">
                <a16:creationId xmlns:a16="http://schemas.microsoft.com/office/drawing/2014/main" id="{B262E22F-9ABD-2A55-61ED-C024C2D6256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9" name="Rectangle 147">
            <a:extLst>
              <a:ext uri="{FF2B5EF4-FFF2-40B4-BE49-F238E27FC236}">
                <a16:creationId xmlns:a16="http://schemas.microsoft.com/office/drawing/2014/main" id="{0F8157A8-6DF2-1908-D6E3-4AD15593350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0" name="Rectangle 148">
            <a:extLst>
              <a:ext uri="{FF2B5EF4-FFF2-40B4-BE49-F238E27FC236}">
                <a16:creationId xmlns:a16="http://schemas.microsoft.com/office/drawing/2014/main" id="{DD7F3356-8ABA-7597-426A-BAB412A71F3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1" name="Rectangle 149">
            <a:extLst>
              <a:ext uri="{FF2B5EF4-FFF2-40B4-BE49-F238E27FC236}">
                <a16:creationId xmlns:a16="http://schemas.microsoft.com/office/drawing/2014/main" id="{051E6B9B-8B6E-3405-D06C-1FF7062E4E4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22" name="Line 150">
            <a:extLst>
              <a:ext uri="{FF2B5EF4-FFF2-40B4-BE49-F238E27FC236}">
                <a16:creationId xmlns:a16="http://schemas.microsoft.com/office/drawing/2014/main" id="{05E4E18E-7A70-6BC2-89DF-DB22128A22D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23" name="Line 151">
            <a:extLst>
              <a:ext uri="{FF2B5EF4-FFF2-40B4-BE49-F238E27FC236}">
                <a16:creationId xmlns:a16="http://schemas.microsoft.com/office/drawing/2014/main" id="{7B1318F2-B4DA-D478-2047-74ED10FA842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24" name="Line 152">
            <a:extLst>
              <a:ext uri="{FF2B5EF4-FFF2-40B4-BE49-F238E27FC236}">
                <a16:creationId xmlns:a16="http://schemas.microsoft.com/office/drawing/2014/main" id="{6D4FF969-540A-6197-7F34-7913C43F5C4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0" name="Group 153">
          <a:extLst>
            <a:ext uri="{FF2B5EF4-FFF2-40B4-BE49-F238E27FC236}">
              <a16:creationId xmlns:a16="http://schemas.microsoft.com/office/drawing/2014/main" id="{153A4A29-12DB-3503-E90C-90527E104A2D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11" name="Rectangle 154">
            <a:extLst>
              <a:ext uri="{FF2B5EF4-FFF2-40B4-BE49-F238E27FC236}">
                <a16:creationId xmlns:a16="http://schemas.microsoft.com/office/drawing/2014/main" id="{B3E1C3CD-5B98-7ECD-FD7E-919855687CA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2" name="Rectangle 155">
            <a:extLst>
              <a:ext uri="{FF2B5EF4-FFF2-40B4-BE49-F238E27FC236}">
                <a16:creationId xmlns:a16="http://schemas.microsoft.com/office/drawing/2014/main" id="{1744878F-B227-7523-E0A0-CEC3FEE54C1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3" name="Rectangle 156">
            <a:extLst>
              <a:ext uri="{FF2B5EF4-FFF2-40B4-BE49-F238E27FC236}">
                <a16:creationId xmlns:a16="http://schemas.microsoft.com/office/drawing/2014/main" id="{520D85F9-BF21-91C2-594E-57B804B4612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4" name="Rectangle 157">
            <a:extLst>
              <a:ext uri="{FF2B5EF4-FFF2-40B4-BE49-F238E27FC236}">
                <a16:creationId xmlns:a16="http://schemas.microsoft.com/office/drawing/2014/main" id="{C72DA177-C9B7-B172-BAEA-60EA93B7755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15" name="Line 158">
            <a:extLst>
              <a:ext uri="{FF2B5EF4-FFF2-40B4-BE49-F238E27FC236}">
                <a16:creationId xmlns:a16="http://schemas.microsoft.com/office/drawing/2014/main" id="{817B20F6-371D-1F67-0B1E-1C9BC7C5FDF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16" name="Line 159">
            <a:extLst>
              <a:ext uri="{FF2B5EF4-FFF2-40B4-BE49-F238E27FC236}">
                <a16:creationId xmlns:a16="http://schemas.microsoft.com/office/drawing/2014/main" id="{55645C26-74C5-1045-47EE-3F38BE44C2B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17" name="Line 160">
            <a:extLst>
              <a:ext uri="{FF2B5EF4-FFF2-40B4-BE49-F238E27FC236}">
                <a16:creationId xmlns:a16="http://schemas.microsoft.com/office/drawing/2014/main" id="{D4A1F1AF-A3ED-1F4B-FA29-D4E01E01BCED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1" name="Group 161">
          <a:extLst>
            <a:ext uri="{FF2B5EF4-FFF2-40B4-BE49-F238E27FC236}">
              <a16:creationId xmlns:a16="http://schemas.microsoft.com/office/drawing/2014/main" id="{6F4FF93E-7782-3717-2BD6-FEB52A7876B0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104" name="Rectangle 162">
            <a:extLst>
              <a:ext uri="{FF2B5EF4-FFF2-40B4-BE49-F238E27FC236}">
                <a16:creationId xmlns:a16="http://schemas.microsoft.com/office/drawing/2014/main" id="{D215A2A5-409A-5AC3-E5CB-3ADD01CA708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5" name="Rectangle 163">
            <a:extLst>
              <a:ext uri="{FF2B5EF4-FFF2-40B4-BE49-F238E27FC236}">
                <a16:creationId xmlns:a16="http://schemas.microsoft.com/office/drawing/2014/main" id="{156EBB32-9B5D-5F66-BA8D-3F34C9A8A9E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6" name="Rectangle 164">
            <a:extLst>
              <a:ext uri="{FF2B5EF4-FFF2-40B4-BE49-F238E27FC236}">
                <a16:creationId xmlns:a16="http://schemas.microsoft.com/office/drawing/2014/main" id="{063420E1-602A-D4E9-FC48-45DA7BE11B4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7" name="Rectangle 165">
            <a:extLst>
              <a:ext uri="{FF2B5EF4-FFF2-40B4-BE49-F238E27FC236}">
                <a16:creationId xmlns:a16="http://schemas.microsoft.com/office/drawing/2014/main" id="{69547E80-54A2-ECD3-DE05-D80D22A5812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8" name="Line 166">
            <a:extLst>
              <a:ext uri="{FF2B5EF4-FFF2-40B4-BE49-F238E27FC236}">
                <a16:creationId xmlns:a16="http://schemas.microsoft.com/office/drawing/2014/main" id="{4C9011E9-9492-3284-E0CE-FFD9574DC34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09" name="Line 167">
            <a:extLst>
              <a:ext uri="{FF2B5EF4-FFF2-40B4-BE49-F238E27FC236}">
                <a16:creationId xmlns:a16="http://schemas.microsoft.com/office/drawing/2014/main" id="{F6E9D0BC-3FC4-C25F-54A1-B444BAE132E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10" name="Line 168">
            <a:extLst>
              <a:ext uri="{FF2B5EF4-FFF2-40B4-BE49-F238E27FC236}">
                <a16:creationId xmlns:a16="http://schemas.microsoft.com/office/drawing/2014/main" id="{F59A902A-2A82-A8A3-108E-7E71B7B6CF8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2" name="Group 169">
          <a:extLst>
            <a:ext uri="{FF2B5EF4-FFF2-40B4-BE49-F238E27FC236}">
              <a16:creationId xmlns:a16="http://schemas.microsoft.com/office/drawing/2014/main" id="{3CF2A044-2995-DD6E-E0D2-444DD9449290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97" name="Rectangle 170">
            <a:extLst>
              <a:ext uri="{FF2B5EF4-FFF2-40B4-BE49-F238E27FC236}">
                <a16:creationId xmlns:a16="http://schemas.microsoft.com/office/drawing/2014/main" id="{A15BE5FE-2DBB-851D-0826-36FD88292A9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8" name="Rectangle 171">
            <a:extLst>
              <a:ext uri="{FF2B5EF4-FFF2-40B4-BE49-F238E27FC236}">
                <a16:creationId xmlns:a16="http://schemas.microsoft.com/office/drawing/2014/main" id="{7299877A-232F-0FE3-B045-002F4E7095A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9" name="Rectangle 172">
            <a:extLst>
              <a:ext uri="{FF2B5EF4-FFF2-40B4-BE49-F238E27FC236}">
                <a16:creationId xmlns:a16="http://schemas.microsoft.com/office/drawing/2014/main" id="{1DF19B2E-4A5E-E236-0230-27E302FB4C1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0" name="Rectangle 173">
            <a:extLst>
              <a:ext uri="{FF2B5EF4-FFF2-40B4-BE49-F238E27FC236}">
                <a16:creationId xmlns:a16="http://schemas.microsoft.com/office/drawing/2014/main" id="{847A2498-DC23-3BD5-56B7-B07A5608635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101" name="Line 174">
            <a:extLst>
              <a:ext uri="{FF2B5EF4-FFF2-40B4-BE49-F238E27FC236}">
                <a16:creationId xmlns:a16="http://schemas.microsoft.com/office/drawing/2014/main" id="{B208E6C7-CB21-1427-66C6-E81217C74F5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02" name="Line 175">
            <a:extLst>
              <a:ext uri="{FF2B5EF4-FFF2-40B4-BE49-F238E27FC236}">
                <a16:creationId xmlns:a16="http://schemas.microsoft.com/office/drawing/2014/main" id="{2C153849-F8FD-E02A-0FD6-235A1EA76F3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103" name="Line 176">
            <a:extLst>
              <a:ext uri="{FF2B5EF4-FFF2-40B4-BE49-F238E27FC236}">
                <a16:creationId xmlns:a16="http://schemas.microsoft.com/office/drawing/2014/main" id="{FE0CBBED-9384-FD4A-EF59-A940A2BBD33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3" name="Group 177">
          <a:extLst>
            <a:ext uri="{FF2B5EF4-FFF2-40B4-BE49-F238E27FC236}">
              <a16:creationId xmlns:a16="http://schemas.microsoft.com/office/drawing/2014/main" id="{0A9755AC-CF4C-7CF3-F0D8-4BED8B96FBED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90" name="Rectangle 178">
            <a:extLst>
              <a:ext uri="{FF2B5EF4-FFF2-40B4-BE49-F238E27FC236}">
                <a16:creationId xmlns:a16="http://schemas.microsoft.com/office/drawing/2014/main" id="{219AA080-5D5A-A7B3-B7C1-935B155AEFB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1" name="Rectangle 179">
            <a:extLst>
              <a:ext uri="{FF2B5EF4-FFF2-40B4-BE49-F238E27FC236}">
                <a16:creationId xmlns:a16="http://schemas.microsoft.com/office/drawing/2014/main" id="{4A2B3971-E590-D45C-E4A1-2ACF4589787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2" name="Rectangle 180">
            <a:extLst>
              <a:ext uri="{FF2B5EF4-FFF2-40B4-BE49-F238E27FC236}">
                <a16:creationId xmlns:a16="http://schemas.microsoft.com/office/drawing/2014/main" id="{F1D3BFC7-A517-538E-E9CD-327AEDB74A7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3" name="Rectangle 181">
            <a:extLst>
              <a:ext uri="{FF2B5EF4-FFF2-40B4-BE49-F238E27FC236}">
                <a16:creationId xmlns:a16="http://schemas.microsoft.com/office/drawing/2014/main" id="{2AE8A241-D914-D862-5EA4-AB5AB4E0FE6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94" name="Line 182">
            <a:extLst>
              <a:ext uri="{FF2B5EF4-FFF2-40B4-BE49-F238E27FC236}">
                <a16:creationId xmlns:a16="http://schemas.microsoft.com/office/drawing/2014/main" id="{EF839196-7C88-9AD6-B47D-BC9FABC74F6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95" name="Line 183">
            <a:extLst>
              <a:ext uri="{FF2B5EF4-FFF2-40B4-BE49-F238E27FC236}">
                <a16:creationId xmlns:a16="http://schemas.microsoft.com/office/drawing/2014/main" id="{D3E0EC65-1327-3C13-0955-7DA8325761F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96" name="Line 184">
            <a:extLst>
              <a:ext uri="{FF2B5EF4-FFF2-40B4-BE49-F238E27FC236}">
                <a16:creationId xmlns:a16="http://schemas.microsoft.com/office/drawing/2014/main" id="{54400864-0465-D4AE-4957-3EE07970E63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4" name="Group 185">
          <a:extLst>
            <a:ext uri="{FF2B5EF4-FFF2-40B4-BE49-F238E27FC236}">
              <a16:creationId xmlns:a16="http://schemas.microsoft.com/office/drawing/2014/main" id="{2CDE958A-A00E-0CE3-CDBA-C27E56FC0686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83" name="Rectangle 186">
            <a:extLst>
              <a:ext uri="{FF2B5EF4-FFF2-40B4-BE49-F238E27FC236}">
                <a16:creationId xmlns:a16="http://schemas.microsoft.com/office/drawing/2014/main" id="{B8BA2C72-7B27-564B-D484-8937653FE1F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4" name="Rectangle 187">
            <a:extLst>
              <a:ext uri="{FF2B5EF4-FFF2-40B4-BE49-F238E27FC236}">
                <a16:creationId xmlns:a16="http://schemas.microsoft.com/office/drawing/2014/main" id="{C1D9C603-7E29-94DC-6387-0D464C73257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5" name="Rectangle 188">
            <a:extLst>
              <a:ext uri="{FF2B5EF4-FFF2-40B4-BE49-F238E27FC236}">
                <a16:creationId xmlns:a16="http://schemas.microsoft.com/office/drawing/2014/main" id="{9762DC76-D92A-2159-25FF-66357CB6907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6" name="Rectangle 189">
            <a:extLst>
              <a:ext uri="{FF2B5EF4-FFF2-40B4-BE49-F238E27FC236}">
                <a16:creationId xmlns:a16="http://schemas.microsoft.com/office/drawing/2014/main" id="{9536CA92-57D1-1BBF-5ED1-848906C9793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7" name="Line 190">
            <a:extLst>
              <a:ext uri="{FF2B5EF4-FFF2-40B4-BE49-F238E27FC236}">
                <a16:creationId xmlns:a16="http://schemas.microsoft.com/office/drawing/2014/main" id="{16E5F6E8-D759-6BC2-2FF8-3B6ABD9482B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88" name="Line 191">
            <a:extLst>
              <a:ext uri="{FF2B5EF4-FFF2-40B4-BE49-F238E27FC236}">
                <a16:creationId xmlns:a16="http://schemas.microsoft.com/office/drawing/2014/main" id="{51FEB09F-DC39-4C25-5EAF-E05904717C3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89" name="Line 192">
            <a:extLst>
              <a:ext uri="{FF2B5EF4-FFF2-40B4-BE49-F238E27FC236}">
                <a16:creationId xmlns:a16="http://schemas.microsoft.com/office/drawing/2014/main" id="{244ADA0F-A945-4F32-EF34-CA3A2356FC5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5" name="Group 193">
          <a:extLst>
            <a:ext uri="{FF2B5EF4-FFF2-40B4-BE49-F238E27FC236}">
              <a16:creationId xmlns:a16="http://schemas.microsoft.com/office/drawing/2014/main" id="{3E231836-CC8E-14F6-1241-535F162EAECC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76" name="Rectangle 194">
            <a:extLst>
              <a:ext uri="{FF2B5EF4-FFF2-40B4-BE49-F238E27FC236}">
                <a16:creationId xmlns:a16="http://schemas.microsoft.com/office/drawing/2014/main" id="{D7FD1392-507E-54CC-2869-B195EECDE8C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7" name="Rectangle 195">
            <a:extLst>
              <a:ext uri="{FF2B5EF4-FFF2-40B4-BE49-F238E27FC236}">
                <a16:creationId xmlns:a16="http://schemas.microsoft.com/office/drawing/2014/main" id="{5B69FD21-21AE-709D-B597-2D502015FAA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8" name="Rectangle 196">
            <a:extLst>
              <a:ext uri="{FF2B5EF4-FFF2-40B4-BE49-F238E27FC236}">
                <a16:creationId xmlns:a16="http://schemas.microsoft.com/office/drawing/2014/main" id="{7060E8F2-A255-6757-7CB3-34097C69781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9" name="Rectangle 197">
            <a:extLst>
              <a:ext uri="{FF2B5EF4-FFF2-40B4-BE49-F238E27FC236}">
                <a16:creationId xmlns:a16="http://schemas.microsoft.com/office/drawing/2014/main" id="{DB8B4277-7DD7-F7C5-E36E-172AE614F87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80" name="Line 198">
            <a:extLst>
              <a:ext uri="{FF2B5EF4-FFF2-40B4-BE49-F238E27FC236}">
                <a16:creationId xmlns:a16="http://schemas.microsoft.com/office/drawing/2014/main" id="{CC947D16-9123-BD69-0E5E-91933D3A436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81" name="Line 199">
            <a:extLst>
              <a:ext uri="{FF2B5EF4-FFF2-40B4-BE49-F238E27FC236}">
                <a16:creationId xmlns:a16="http://schemas.microsoft.com/office/drawing/2014/main" id="{5323AD7E-66AC-5381-A624-C9E5FE27812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82" name="Line 200">
            <a:extLst>
              <a:ext uri="{FF2B5EF4-FFF2-40B4-BE49-F238E27FC236}">
                <a16:creationId xmlns:a16="http://schemas.microsoft.com/office/drawing/2014/main" id="{9EC5484C-C5CD-A233-162D-C53DD8DCF84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6" name="Group 201">
          <a:extLst>
            <a:ext uri="{FF2B5EF4-FFF2-40B4-BE49-F238E27FC236}">
              <a16:creationId xmlns:a16="http://schemas.microsoft.com/office/drawing/2014/main" id="{8098A48E-2EE4-CFBE-9BB3-EC67F09D6AB4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69" name="Rectangle 202">
            <a:extLst>
              <a:ext uri="{FF2B5EF4-FFF2-40B4-BE49-F238E27FC236}">
                <a16:creationId xmlns:a16="http://schemas.microsoft.com/office/drawing/2014/main" id="{B69C7D89-148E-2813-182A-95C3B5D3B95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0" name="Rectangle 203">
            <a:extLst>
              <a:ext uri="{FF2B5EF4-FFF2-40B4-BE49-F238E27FC236}">
                <a16:creationId xmlns:a16="http://schemas.microsoft.com/office/drawing/2014/main" id="{9BB1A9D2-EF3F-894E-DBF2-80B74B84B45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1" name="Rectangle 204">
            <a:extLst>
              <a:ext uri="{FF2B5EF4-FFF2-40B4-BE49-F238E27FC236}">
                <a16:creationId xmlns:a16="http://schemas.microsoft.com/office/drawing/2014/main" id="{94A55AF8-375C-1C2B-F287-0F442088798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2" name="Rectangle 205">
            <a:extLst>
              <a:ext uri="{FF2B5EF4-FFF2-40B4-BE49-F238E27FC236}">
                <a16:creationId xmlns:a16="http://schemas.microsoft.com/office/drawing/2014/main" id="{A080F56A-3EF9-C8DC-3713-118FED96FB7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73" name="Line 206">
            <a:extLst>
              <a:ext uri="{FF2B5EF4-FFF2-40B4-BE49-F238E27FC236}">
                <a16:creationId xmlns:a16="http://schemas.microsoft.com/office/drawing/2014/main" id="{C9A326DE-0778-2200-D195-3A06F6AE7DC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74" name="Line 207">
            <a:extLst>
              <a:ext uri="{FF2B5EF4-FFF2-40B4-BE49-F238E27FC236}">
                <a16:creationId xmlns:a16="http://schemas.microsoft.com/office/drawing/2014/main" id="{E9A68453-ACBC-929E-8F7F-85F780FD8C5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75" name="Line 208">
            <a:extLst>
              <a:ext uri="{FF2B5EF4-FFF2-40B4-BE49-F238E27FC236}">
                <a16:creationId xmlns:a16="http://schemas.microsoft.com/office/drawing/2014/main" id="{9B84B6C2-83B7-67F8-4A6F-3E878A6FDC1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7" name="Group 209">
          <a:extLst>
            <a:ext uri="{FF2B5EF4-FFF2-40B4-BE49-F238E27FC236}">
              <a16:creationId xmlns:a16="http://schemas.microsoft.com/office/drawing/2014/main" id="{986E4233-B540-A484-5732-E1E226C2B057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62" name="Rectangle 210">
            <a:extLst>
              <a:ext uri="{FF2B5EF4-FFF2-40B4-BE49-F238E27FC236}">
                <a16:creationId xmlns:a16="http://schemas.microsoft.com/office/drawing/2014/main" id="{8EC00699-B8ED-61EE-7E6A-1AA08B6809C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63" name="Rectangle 211">
            <a:extLst>
              <a:ext uri="{FF2B5EF4-FFF2-40B4-BE49-F238E27FC236}">
                <a16:creationId xmlns:a16="http://schemas.microsoft.com/office/drawing/2014/main" id="{78478EB4-3E29-0B30-F21E-11BF5BC1148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64" name="Rectangle 212">
            <a:extLst>
              <a:ext uri="{FF2B5EF4-FFF2-40B4-BE49-F238E27FC236}">
                <a16:creationId xmlns:a16="http://schemas.microsoft.com/office/drawing/2014/main" id="{075ADD9E-01C4-FCEA-0EB3-0840138203E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65" name="Rectangle 213">
            <a:extLst>
              <a:ext uri="{FF2B5EF4-FFF2-40B4-BE49-F238E27FC236}">
                <a16:creationId xmlns:a16="http://schemas.microsoft.com/office/drawing/2014/main" id="{720E0761-B0C2-DD04-98CA-962E5D688927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66" name="Line 214">
            <a:extLst>
              <a:ext uri="{FF2B5EF4-FFF2-40B4-BE49-F238E27FC236}">
                <a16:creationId xmlns:a16="http://schemas.microsoft.com/office/drawing/2014/main" id="{822E939E-BB8B-AF2B-D482-D2E8E78FB8B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67" name="Line 215">
            <a:extLst>
              <a:ext uri="{FF2B5EF4-FFF2-40B4-BE49-F238E27FC236}">
                <a16:creationId xmlns:a16="http://schemas.microsoft.com/office/drawing/2014/main" id="{A782D2D9-24AA-16EF-D028-79D5483F0EC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68" name="Line 216">
            <a:extLst>
              <a:ext uri="{FF2B5EF4-FFF2-40B4-BE49-F238E27FC236}">
                <a16:creationId xmlns:a16="http://schemas.microsoft.com/office/drawing/2014/main" id="{577D6A3E-B544-CEAB-41CC-0A49D40F1B0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8" name="Group 217">
          <a:extLst>
            <a:ext uri="{FF2B5EF4-FFF2-40B4-BE49-F238E27FC236}">
              <a16:creationId xmlns:a16="http://schemas.microsoft.com/office/drawing/2014/main" id="{9FEC43CF-322E-D698-10BA-92956E1D1094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55" name="Rectangle 218">
            <a:extLst>
              <a:ext uri="{FF2B5EF4-FFF2-40B4-BE49-F238E27FC236}">
                <a16:creationId xmlns:a16="http://schemas.microsoft.com/office/drawing/2014/main" id="{78268424-0FAE-31C7-5FA4-4244FC0A2EA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6" name="Rectangle 219">
            <a:extLst>
              <a:ext uri="{FF2B5EF4-FFF2-40B4-BE49-F238E27FC236}">
                <a16:creationId xmlns:a16="http://schemas.microsoft.com/office/drawing/2014/main" id="{0626C695-A73B-95AD-5062-5143E07B524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7" name="Rectangle 220">
            <a:extLst>
              <a:ext uri="{FF2B5EF4-FFF2-40B4-BE49-F238E27FC236}">
                <a16:creationId xmlns:a16="http://schemas.microsoft.com/office/drawing/2014/main" id="{585E93D0-36F7-5269-851C-9D0483CF6C5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8" name="Rectangle 221">
            <a:extLst>
              <a:ext uri="{FF2B5EF4-FFF2-40B4-BE49-F238E27FC236}">
                <a16:creationId xmlns:a16="http://schemas.microsoft.com/office/drawing/2014/main" id="{17C3DB85-D50C-A8FC-217A-91C450991E6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9" name="Line 222">
            <a:extLst>
              <a:ext uri="{FF2B5EF4-FFF2-40B4-BE49-F238E27FC236}">
                <a16:creationId xmlns:a16="http://schemas.microsoft.com/office/drawing/2014/main" id="{A9E456D3-BEDB-690A-A2AB-AA426C9214C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60" name="Line 223">
            <a:extLst>
              <a:ext uri="{FF2B5EF4-FFF2-40B4-BE49-F238E27FC236}">
                <a16:creationId xmlns:a16="http://schemas.microsoft.com/office/drawing/2014/main" id="{F9705F6D-2456-5911-BA94-4E5A0DA514B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61" name="Line 224">
            <a:extLst>
              <a:ext uri="{FF2B5EF4-FFF2-40B4-BE49-F238E27FC236}">
                <a16:creationId xmlns:a16="http://schemas.microsoft.com/office/drawing/2014/main" id="{7EBDBCE0-6E14-6F97-A4BC-68873847E34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799" name="Group 225">
          <a:extLst>
            <a:ext uri="{FF2B5EF4-FFF2-40B4-BE49-F238E27FC236}">
              <a16:creationId xmlns:a16="http://schemas.microsoft.com/office/drawing/2014/main" id="{E021BA0C-D408-D039-F185-AB0FDB764681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48" name="Rectangle 226">
            <a:extLst>
              <a:ext uri="{FF2B5EF4-FFF2-40B4-BE49-F238E27FC236}">
                <a16:creationId xmlns:a16="http://schemas.microsoft.com/office/drawing/2014/main" id="{062C6EEE-749C-C190-BB42-C2EF0C82734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9" name="Rectangle 227">
            <a:extLst>
              <a:ext uri="{FF2B5EF4-FFF2-40B4-BE49-F238E27FC236}">
                <a16:creationId xmlns:a16="http://schemas.microsoft.com/office/drawing/2014/main" id="{87FE0F36-ACBA-34EB-E112-18B76EC1A9D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0" name="Rectangle 228">
            <a:extLst>
              <a:ext uri="{FF2B5EF4-FFF2-40B4-BE49-F238E27FC236}">
                <a16:creationId xmlns:a16="http://schemas.microsoft.com/office/drawing/2014/main" id="{D2F9E2F3-A37F-3356-84AC-D31FBC96783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1" name="Rectangle 229">
            <a:extLst>
              <a:ext uri="{FF2B5EF4-FFF2-40B4-BE49-F238E27FC236}">
                <a16:creationId xmlns:a16="http://schemas.microsoft.com/office/drawing/2014/main" id="{66EB7006-722C-5423-826D-1F5387AB06C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52" name="Line 230">
            <a:extLst>
              <a:ext uri="{FF2B5EF4-FFF2-40B4-BE49-F238E27FC236}">
                <a16:creationId xmlns:a16="http://schemas.microsoft.com/office/drawing/2014/main" id="{78FA619F-5046-BEC8-0B79-E8CF808F059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53" name="Line 231">
            <a:extLst>
              <a:ext uri="{FF2B5EF4-FFF2-40B4-BE49-F238E27FC236}">
                <a16:creationId xmlns:a16="http://schemas.microsoft.com/office/drawing/2014/main" id="{747A3838-7D28-F1D2-CAD3-0D9789EC7EC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54" name="Line 232">
            <a:extLst>
              <a:ext uri="{FF2B5EF4-FFF2-40B4-BE49-F238E27FC236}">
                <a16:creationId xmlns:a16="http://schemas.microsoft.com/office/drawing/2014/main" id="{EDB997E1-C6D1-219E-8F7A-F7127C91C0F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0" name="Group 233">
          <a:extLst>
            <a:ext uri="{FF2B5EF4-FFF2-40B4-BE49-F238E27FC236}">
              <a16:creationId xmlns:a16="http://schemas.microsoft.com/office/drawing/2014/main" id="{F8C32E44-F91B-06D2-80F2-5E3FEE56B561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41" name="Rectangle 234">
            <a:extLst>
              <a:ext uri="{FF2B5EF4-FFF2-40B4-BE49-F238E27FC236}">
                <a16:creationId xmlns:a16="http://schemas.microsoft.com/office/drawing/2014/main" id="{67C3CD34-D0B3-90AD-5445-0C39EF5EF30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2" name="Rectangle 235">
            <a:extLst>
              <a:ext uri="{FF2B5EF4-FFF2-40B4-BE49-F238E27FC236}">
                <a16:creationId xmlns:a16="http://schemas.microsoft.com/office/drawing/2014/main" id="{BB2E64C8-1FAA-54C9-CA42-A3038DB0413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3" name="Rectangle 236">
            <a:extLst>
              <a:ext uri="{FF2B5EF4-FFF2-40B4-BE49-F238E27FC236}">
                <a16:creationId xmlns:a16="http://schemas.microsoft.com/office/drawing/2014/main" id="{41A476B0-9977-81FA-6A68-57CD1DD0761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4" name="Rectangle 237">
            <a:extLst>
              <a:ext uri="{FF2B5EF4-FFF2-40B4-BE49-F238E27FC236}">
                <a16:creationId xmlns:a16="http://schemas.microsoft.com/office/drawing/2014/main" id="{C018DEF7-BFF4-035B-54B8-EF67F9B9616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45" name="Line 238">
            <a:extLst>
              <a:ext uri="{FF2B5EF4-FFF2-40B4-BE49-F238E27FC236}">
                <a16:creationId xmlns:a16="http://schemas.microsoft.com/office/drawing/2014/main" id="{FD840E43-35A5-81D4-1E1D-7B9E7F2EE23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46" name="Line 239">
            <a:extLst>
              <a:ext uri="{FF2B5EF4-FFF2-40B4-BE49-F238E27FC236}">
                <a16:creationId xmlns:a16="http://schemas.microsoft.com/office/drawing/2014/main" id="{23158F7A-6308-044E-4684-CA7D0A9710C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47" name="Line 240">
            <a:extLst>
              <a:ext uri="{FF2B5EF4-FFF2-40B4-BE49-F238E27FC236}">
                <a16:creationId xmlns:a16="http://schemas.microsoft.com/office/drawing/2014/main" id="{D7391FF7-FD62-D08B-1AB1-B7A5900BEAD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1" name="Group 241">
          <a:extLst>
            <a:ext uri="{FF2B5EF4-FFF2-40B4-BE49-F238E27FC236}">
              <a16:creationId xmlns:a16="http://schemas.microsoft.com/office/drawing/2014/main" id="{A5B9E831-1D32-6AFA-2843-3A90F028275A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34" name="Rectangle 242">
            <a:extLst>
              <a:ext uri="{FF2B5EF4-FFF2-40B4-BE49-F238E27FC236}">
                <a16:creationId xmlns:a16="http://schemas.microsoft.com/office/drawing/2014/main" id="{68EA0C85-74D6-2363-FF64-8326C3ED88C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5" name="Rectangle 243">
            <a:extLst>
              <a:ext uri="{FF2B5EF4-FFF2-40B4-BE49-F238E27FC236}">
                <a16:creationId xmlns:a16="http://schemas.microsoft.com/office/drawing/2014/main" id="{D1C60624-4AC5-BFD2-7734-EAE40F610B5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6" name="Rectangle 244">
            <a:extLst>
              <a:ext uri="{FF2B5EF4-FFF2-40B4-BE49-F238E27FC236}">
                <a16:creationId xmlns:a16="http://schemas.microsoft.com/office/drawing/2014/main" id="{1095FA9F-9442-8F36-E93C-8BA8E5C2BA8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7" name="Rectangle 245">
            <a:extLst>
              <a:ext uri="{FF2B5EF4-FFF2-40B4-BE49-F238E27FC236}">
                <a16:creationId xmlns:a16="http://schemas.microsoft.com/office/drawing/2014/main" id="{A56F4B3B-646E-A58A-4041-0ABB78B0961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8" name="Line 246">
            <a:extLst>
              <a:ext uri="{FF2B5EF4-FFF2-40B4-BE49-F238E27FC236}">
                <a16:creationId xmlns:a16="http://schemas.microsoft.com/office/drawing/2014/main" id="{781604FB-771D-9242-6ACD-80726EDE86C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39" name="Line 247">
            <a:extLst>
              <a:ext uri="{FF2B5EF4-FFF2-40B4-BE49-F238E27FC236}">
                <a16:creationId xmlns:a16="http://schemas.microsoft.com/office/drawing/2014/main" id="{EE845E25-A60C-74AF-59F7-3BD00D347DC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40" name="Line 248">
            <a:extLst>
              <a:ext uri="{FF2B5EF4-FFF2-40B4-BE49-F238E27FC236}">
                <a16:creationId xmlns:a16="http://schemas.microsoft.com/office/drawing/2014/main" id="{ED814AC8-65BD-E8EC-6372-3740F40238C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2" name="Group 249">
          <a:extLst>
            <a:ext uri="{FF2B5EF4-FFF2-40B4-BE49-F238E27FC236}">
              <a16:creationId xmlns:a16="http://schemas.microsoft.com/office/drawing/2014/main" id="{A0EFC68C-D9FA-AD03-A1C9-7DE82E9D1BA0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27" name="Rectangle 250">
            <a:extLst>
              <a:ext uri="{FF2B5EF4-FFF2-40B4-BE49-F238E27FC236}">
                <a16:creationId xmlns:a16="http://schemas.microsoft.com/office/drawing/2014/main" id="{D77F839F-77D2-BA5F-8929-1693ACE87CA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8" name="Rectangle 251">
            <a:extLst>
              <a:ext uri="{FF2B5EF4-FFF2-40B4-BE49-F238E27FC236}">
                <a16:creationId xmlns:a16="http://schemas.microsoft.com/office/drawing/2014/main" id="{68720D9F-8D19-A2AD-948A-3A4EB86DD5A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9" name="Rectangle 252">
            <a:extLst>
              <a:ext uri="{FF2B5EF4-FFF2-40B4-BE49-F238E27FC236}">
                <a16:creationId xmlns:a16="http://schemas.microsoft.com/office/drawing/2014/main" id="{3A83C9F8-72D0-A5DC-41B1-385F9E89847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0" name="Rectangle 253">
            <a:extLst>
              <a:ext uri="{FF2B5EF4-FFF2-40B4-BE49-F238E27FC236}">
                <a16:creationId xmlns:a16="http://schemas.microsoft.com/office/drawing/2014/main" id="{3B8ECD96-7155-D7CB-27DB-447295B13DF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31" name="Line 254">
            <a:extLst>
              <a:ext uri="{FF2B5EF4-FFF2-40B4-BE49-F238E27FC236}">
                <a16:creationId xmlns:a16="http://schemas.microsoft.com/office/drawing/2014/main" id="{62FC378D-F963-5E14-959A-8604A3B4804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32" name="Line 255">
            <a:extLst>
              <a:ext uri="{FF2B5EF4-FFF2-40B4-BE49-F238E27FC236}">
                <a16:creationId xmlns:a16="http://schemas.microsoft.com/office/drawing/2014/main" id="{A954A66A-04E4-0651-56B1-F168951BBB4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33" name="Line 256">
            <a:extLst>
              <a:ext uri="{FF2B5EF4-FFF2-40B4-BE49-F238E27FC236}">
                <a16:creationId xmlns:a16="http://schemas.microsoft.com/office/drawing/2014/main" id="{40418E26-74C0-4241-2E71-521B3951E0A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3" name="Group 257">
          <a:extLst>
            <a:ext uri="{FF2B5EF4-FFF2-40B4-BE49-F238E27FC236}">
              <a16:creationId xmlns:a16="http://schemas.microsoft.com/office/drawing/2014/main" id="{D9E6B589-A094-E0D8-3503-37E5594BF0CC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20" name="Rectangle 258">
            <a:extLst>
              <a:ext uri="{FF2B5EF4-FFF2-40B4-BE49-F238E27FC236}">
                <a16:creationId xmlns:a16="http://schemas.microsoft.com/office/drawing/2014/main" id="{2513903F-FF80-A393-D91B-6CD9D4ED3F4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1" name="Rectangle 259">
            <a:extLst>
              <a:ext uri="{FF2B5EF4-FFF2-40B4-BE49-F238E27FC236}">
                <a16:creationId xmlns:a16="http://schemas.microsoft.com/office/drawing/2014/main" id="{FBB88D12-9A27-29E6-5627-8BF98FF5DC9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2" name="Rectangle 260">
            <a:extLst>
              <a:ext uri="{FF2B5EF4-FFF2-40B4-BE49-F238E27FC236}">
                <a16:creationId xmlns:a16="http://schemas.microsoft.com/office/drawing/2014/main" id="{8989F659-73C0-493C-7355-93453FA76D9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3" name="Rectangle 261">
            <a:extLst>
              <a:ext uri="{FF2B5EF4-FFF2-40B4-BE49-F238E27FC236}">
                <a16:creationId xmlns:a16="http://schemas.microsoft.com/office/drawing/2014/main" id="{73C2E8AA-78C1-920F-94AD-75C4B7987E4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24" name="Line 262">
            <a:extLst>
              <a:ext uri="{FF2B5EF4-FFF2-40B4-BE49-F238E27FC236}">
                <a16:creationId xmlns:a16="http://schemas.microsoft.com/office/drawing/2014/main" id="{DFBDF9AC-1BA1-EEA9-67B4-E492789D36D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25" name="Line 263">
            <a:extLst>
              <a:ext uri="{FF2B5EF4-FFF2-40B4-BE49-F238E27FC236}">
                <a16:creationId xmlns:a16="http://schemas.microsoft.com/office/drawing/2014/main" id="{59926FC5-10D8-C3C8-25B7-C82F5B0A546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26" name="Line 264">
            <a:extLst>
              <a:ext uri="{FF2B5EF4-FFF2-40B4-BE49-F238E27FC236}">
                <a16:creationId xmlns:a16="http://schemas.microsoft.com/office/drawing/2014/main" id="{A73B507F-9A3C-4AF7-8B73-785B7233FDC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4" name="Group 265">
          <a:extLst>
            <a:ext uri="{FF2B5EF4-FFF2-40B4-BE49-F238E27FC236}">
              <a16:creationId xmlns:a16="http://schemas.microsoft.com/office/drawing/2014/main" id="{6643FBDE-56EE-84A2-76EA-DF9F4AD6BC24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13" name="Rectangle 266">
            <a:extLst>
              <a:ext uri="{FF2B5EF4-FFF2-40B4-BE49-F238E27FC236}">
                <a16:creationId xmlns:a16="http://schemas.microsoft.com/office/drawing/2014/main" id="{AABF7503-03C1-7CD2-C330-E57FB8E2760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4" name="Rectangle 267">
            <a:extLst>
              <a:ext uri="{FF2B5EF4-FFF2-40B4-BE49-F238E27FC236}">
                <a16:creationId xmlns:a16="http://schemas.microsoft.com/office/drawing/2014/main" id="{9099C795-4DAD-111A-64F0-748A708495F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5" name="Rectangle 268">
            <a:extLst>
              <a:ext uri="{FF2B5EF4-FFF2-40B4-BE49-F238E27FC236}">
                <a16:creationId xmlns:a16="http://schemas.microsoft.com/office/drawing/2014/main" id="{990BFE3D-80C1-DEFA-A6BD-711E955FA5A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6" name="Rectangle 269">
            <a:extLst>
              <a:ext uri="{FF2B5EF4-FFF2-40B4-BE49-F238E27FC236}">
                <a16:creationId xmlns:a16="http://schemas.microsoft.com/office/drawing/2014/main" id="{1BD2F2D1-D1A5-F422-67D5-5CA0B42906E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7" name="Line 270">
            <a:extLst>
              <a:ext uri="{FF2B5EF4-FFF2-40B4-BE49-F238E27FC236}">
                <a16:creationId xmlns:a16="http://schemas.microsoft.com/office/drawing/2014/main" id="{E4B3412B-DC8D-05CF-ADDC-19279F94CAD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18" name="Line 271">
            <a:extLst>
              <a:ext uri="{FF2B5EF4-FFF2-40B4-BE49-F238E27FC236}">
                <a16:creationId xmlns:a16="http://schemas.microsoft.com/office/drawing/2014/main" id="{99A8730D-2B29-78DC-B653-638139B2B22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19" name="Line 272">
            <a:extLst>
              <a:ext uri="{FF2B5EF4-FFF2-40B4-BE49-F238E27FC236}">
                <a16:creationId xmlns:a16="http://schemas.microsoft.com/office/drawing/2014/main" id="{034855EF-4414-CD84-E513-091ED53EB1A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5" name="Group 273">
          <a:extLst>
            <a:ext uri="{FF2B5EF4-FFF2-40B4-BE49-F238E27FC236}">
              <a16:creationId xmlns:a16="http://schemas.microsoft.com/office/drawing/2014/main" id="{1F914C7D-82F0-7961-7137-E5C10DDF0325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2006" name="Rectangle 274">
            <a:extLst>
              <a:ext uri="{FF2B5EF4-FFF2-40B4-BE49-F238E27FC236}">
                <a16:creationId xmlns:a16="http://schemas.microsoft.com/office/drawing/2014/main" id="{B69B44F7-C04A-DBF7-CC00-51C3D7509C1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7" name="Rectangle 275">
            <a:extLst>
              <a:ext uri="{FF2B5EF4-FFF2-40B4-BE49-F238E27FC236}">
                <a16:creationId xmlns:a16="http://schemas.microsoft.com/office/drawing/2014/main" id="{B7A7C831-CAB5-C45E-775B-29D6D4B47A1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8" name="Rectangle 276">
            <a:extLst>
              <a:ext uri="{FF2B5EF4-FFF2-40B4-BE49-F238E27FC236}">
                <a16:creationId xmlns:a16="http://schemas.microsoft.com/office/drawing/2014/main" id="{3C77B919-43CE-9616-3A36-EE111A145964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9" name="Rectangle 277">
            <a:extLst>
              <a:ext uri="{FF2B5EF4-FFF2-40B4-BE49-F238E27FC236}">
                <a16:creationId xmlns:a16="http://schemas.microsoft.com/office/drawing/2014/main" id="{D5DC9E67-9496-3CDD-83F3-FF9C534F987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10" name="Line 278">
            <a:extLst>
              <a:ext uri="{FF2B5EF4-FFF2-40B4-BE49-F238E27FC236}">
                <a16:creationId xmlns:a16="http://schemas.microsoft.com/office/drawing/2014/main" id="{D30187EE-12C9-A075-89B7-CABCA6BCC47E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11" name="Line 279">
            <a:extLst>
              <a:ext uri="{FF2B5EF4-FFF2-40B4-BE49-F238E27FC236}">
                <a16:creationId xmlns:a16="http://schemas.microsoft.com/office/drawing/2014/main" id="{50DF2C7D-D8D1-1FB1-F857-2A90AA863DF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12" name="Line 280">
            <a:extLst>
              <a:ext uri="{FF2B5EF4-FFF2-40B4-BE49-F238E27FC236}">
                <a16:creationId xmlns:a16="http://schemas.microsoft.com/office/drawing/2014/main" id="{F2DB70CF-1396-C1CD-0D2D-6F8E58D6CC2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10</xdr:col>
      <xdr:colOff>0</xdr:colOff>
      <xdr:row>2</xdr:row>
      <xdr:rowOff>182880</xdr:rowOff>
    </xdr:from>
    <xdr:to>
      <xdr:col>10</xdr:col>
      <xdr:colOff>0</xdr:colOff>
      <xdr:row>3</xdr:row>
      <xdr:rowOff>0</xdr:rowOff>
    </xdr:to>
    <xdr:grpSp>
      <xdr:nvGrpSpPr>
        <xdr:cNvPr id="526806" name="Group 281">
          <a:extLst>
            <a:ext uri="{FF2B5EF4-FFF2-40B4-BE49-F238E27FC236}">
              <a16:creationId xmlns:a16="http://schemas.microsoft.com/office/drawing/2014/main" id="{AC7CF091-E7FE-A6FE-ECDD-BFB3687FDAE4}"/>
            </a:ext>
          </a:extLst>
        </xdr:cNvPr>
        <xdr:cNvGrpSpPr>
          <a:grpSpLocks/>
        </xdr:cNvGrpSpPr>
      </xdr:nvGrpSpPr>
      <xdr:grpSpPr bwMode="auto">
        <a:xfrm>
          <a:off x="9893710" y="1313590"/>
          <a:ext cx="0" cy="665152"/>
          <a:chOff x="632" y="220"/>
          <a:chExt cx="195" cy="136"/>
        </a:xfrm>
      </xdr:grpSpPr>
      <xdr:sp macro="" textlink="">
        <xdr:nvSpPr>
          <xdr:cNvPr id="531999" name="Rectangle 282">
            <a:extLst>
              <a:ext uri="{FF2B5EF4-FFF2-40B4-BE49-F238E27FC236}">
                <a16:creationId xmlns:a16="http://schemas.microsoft.com/office/drawing/2014/main" id="{831F7ED8-5B13-2DCF-23C5-16DCC14DA3F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0" name="Rectangle 283">
            <a:extLst>
              <a:ext uri="{FF2B5EF4-FFF2-40B4-BE49-F238E27FC236}">
                <a16:creationId xmlns:a16="http://schemas.microsoft.com/office/drawing/2014/main" id="{68799547-314D-A763-01BC-E0796857E6A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1" name="Rectangle 284">
            <a:extLst>
              <a:ext uri="{FF2B5EF4-FFF2-40B4-BE49-F238E27FC236}">
                <a16:creationId xmlns:a16="http://schemas.microsoft.com/office/drawing/2014/main" id="{F06DC175-81D7-F0C0-8F4E-CCF0EA23DE4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2" name="Rectangle 285">
            <a:extLst>
              <a:ext uri="{FF2B5EF4-FFF2-40B4-BE49-F238E27FC236}">
                <a16:creationId xmlns:a16="http://schemas.microsoft.com/office/drawing/2014/main" id="{38E9C2BC-B4C3-EA99-5A3A-02838A2275A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003" name="Line 286">
            <a:extLst>
              <a:ext uri="{FF2B5EF4-FFF2-40B4-BE49-F238E27FC236}">
                <a16:creationId xmlns:a16="http://schemas.microsoft.com/office/drawing/2014/main" id="{B081D138-53E3-E043-6AD8-589A27DB529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04" name="Line 287">
            <a:extLst>
              <a:ext uri="{FF2B5EF4-FFF2-40B4-BE49-F238E27FC236}">
                <a16:creationId xmlns:a16="http://schemas.microsoft.com/office/drawing/2014/main" id="{9096B7E0-ACB1-28E7-1E10-4A2AA757436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005" name="Line 288">
            <a:extLst>
              <a:ext uri="{FF2B5EF4-FFF2-40B4-BE49-F238E27FC236}">
                <a16:creationId xmlns:a16="http://schemas.microsoft.com/office/drawing/2014/main" id="{46A0CE91-3953-A277-E0D4-E74208019D7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26807" name="Group 289">
          <a:extLst>
            <a:ext uri="{FF2B5EF4-FFF2-40B4-BE49-F238E27FC236}">
              <a16:creationId xmlns:a16="http://schemas.microsoft.com/office/drawing/2014/main" id="{31FF1D02-30B4-3867-9327-7F571419BCF0}"/>
            </a:ext>
          </a:extLst>
        </xdr:cNvPr>
        <xdr:cNvGrpSpPr>
          <a:grpSpLocks/>
        </xdr:cNvGrpSpPr>
      </xdr:nvGrpSpPr>
      <xdr:grpSpPr bwMode="auto">
        <a:xfrm>
          <a:off x="7951839" y="1290730"/>
          <a:ext cx="0" cy="688012"/>
          <a:chOff x="220" y="176"/>
          <a:chExt cx="556" cy="247"/>
        </a:xfrm>
      </xdr:grpSpPr>
      <xdr:sp macro="" textlink="">
        <xdr:nvSpPr>
          <xdr:cNvPr id="531976" name="Rectangle 290">
            <a:extLst>
              <a:ext uri="{FF2B5EF4-FFF2-40B4-BE49-F238E27FC236}">
                <a16:creationId xmlns:a16="http://schemas.microsoft.com/office/drawing/2014/main" id="{A5F50DDE-8C46-B4FF-7D5E-2817389AF08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77" name="Line 291">
            <a:extLst>
              <a:ext uri="{FF2B5EF4-FFF2-40B4-BE49-F238E27FC236}">
                <a16:creationId xmlns:a16="http://schemas.microsoft.com/office/drawing/2014/main" id="{89154824-959A-9599-E6DE-6B3D4D83A681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78" name="Line 292">
            <a:extLst>
              <a:ext uri="{FF2B5EF4-FFF2-40B4-BE49-F238E27FC236}">
                <a16:creationId xmlns:a16="http://schemas.microsoft.com/office/drawing/2014/main" id="{1D38B403-281C-C5A1-FD93-832458DD3985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79" name="Rectangle 293">
            <a:extLst>
              <a:ext uri="{FF2B5EF4-FFF2-40B4-BE49-F238E27FC236}">
                <a16:creationId xmlns:a16="http://schemas.microsoft.com/office/drawing/2014/main" id="{FE67B9C3-8650-47FC-1C43-B6634650494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0" name="Oval 294">
            <a:extLst>
              <a:ext uri="{FF2B5EF4-FFF2-40B4-BE49-F238E27FC236}">
                <a16:creationId xmlns:a16="http://schemas.microsoft.com/office/drawing/2014/main" id="{25AABFB7-22B3-726E-2082-BA342794540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81" name="Oval 295">
            <a:extLst>
              <a:ext uri="{FF2B5EF4-FFF2-40B4-BE49-F238E27FC236}">
                <a16:creationId xmlns:a16="http://schemas.microsoft.com/office/drawing/2014/main" id="{E91A1A4F-25B8-F165-E180-3AD74BBC002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82" name="Rectangle 296">
            <a:extLst>
              <a:ext uri="{FF2B5EF4-FFF2-40B4-BE49-F238E27FC236}">
                <a16:creationId xmlns:a16="http://schemas.microsoft.com/office/drawing/2014/main" id="{064ED251-D695-E14F-B198-728E1F4F081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3" name="Rectangle 297">
            <a:extLst>
              <a:ext uri="{FF2B5EF4-FFF2-40B4-BE49-F238E27FC236}">
                <a16:creationId xmlns:a16="http://schemas.microsoft.com/office/drawing/2014/main" id="{EA898AC3-6044-3046-664A-CF63EACA90C9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4" name="Rectangle 298">
            <a:extLst>
              <a:ext uri="{FF2B5EF4-FFF2-40B4-BE49-F238E27FC236}">
                <a16:creationId xmlns:a16="http://schemas.microsoft.com/office/drawing/2014/main" id="{A6180B58-2BA0-41A3-5598-B1210C7145B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5" name="Rectangle 299">
            <a:extLst>
              <a:ext uri="{FF2B5EF4-FFF2-40B4-BE49-F238E27FC236}">
                <a16:creationId xmlns:a16="http://schemas.microsoft.com/office/drawing/2014/main" id="{8C0792D1-E7F4-00AB-9F24-B1733814F81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986" name="Group 300">
            <a:extLst>
              <a:ext uri="{FF2B5EF4-FFF2-40B4-BE49-F238E27FC236}">
                <a16:creationId xmlns:a16="http://schemas.microsoft.com/office/drawing/2014/main" id="{8AF9A464-5A73-55D0-C14D-D0B048AC437F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989" name="Rectangle 301">
              <a:extLst>
                <a:ext uri="{FF2B5EF4-FFF2-40B4-BE49-F238E27FC236}">
                  <a16:creationId xmlns:a16="http://schemas.microsoft.com/office/drawing/2014/main" id="{B5032994-665D-C35B-21CF-9CFF5C00EA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0" name="Line 302">
              <a:extLst>
                <a:ext uri="{FF2B5EF4-FFF2-40B4-BE49-F238E27FC236}">
                  <a16:creationId xmlns:a16="http://schemas.microsoft.com/office/drawing/2014/main" id="{79FC6B29-C5C3-A6EA-2826-CA14EBC17F9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91" name="Line 303">
              <a:extLst>
                <a:ext uri="{FF2B5EF4-FFF2-40B4-BE49-F238E27FC236}">
                  <a16:creationId xmlns:a16="http://schemas.microsoft.com/office/drawing/2014/main" id="{07167B32-BD01-C117-C88A-8A75EB8C6BF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92" name="Rectangle 304">
              <a:extLst>
                <a:ext uri="{FF2B5EF4-FFF2-40B4-BE49-F238E27FC236}">
                  <a16:creationId xmlns:a16="http://schemas.microsoft.com/office/drawing/2014/main" id="{64AFD730-1D49-377B-52B8-0573544C94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3" name="Oval 305">
              <a:extLst>
                <a:ext uri="{FF2B5EF4-FFF2-40B4-BE49-F238E27FC236}">
                  <a16:creationId xmlns:a16="http://schemas.microsoft.com/office/drawing/2014/main" id="{CED62645-C834-F4DB-B10E-9AD75D3B68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94" name="Oval 306">
              <a:extLst>
                <a:ext uri="{FF2B5EF4-FFF2-40B4-BE49-F238E27FC236}">
                  <a16:creationId xmlns:a16="http://schemas.microsoft.com/office/drawing/2014/main" id="{FB1B64BF-0F43-094B-80FD-E5967EA71B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95" name="Rectangle 307">
              <a:extLst>
                <a:ext uri="{FF2B5EF4-FFF2-40B4-BE49-F238E27FC236}">
                  <a16:creationId xmlns:a16="http://schemas.microsoft.com/office/drawing/2014/main" id="{B811BCC8-E38B-7737-B3D2-02C3E35F9A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6" name="Rectangle 308">
              <a:extLst>
                <a:ext uri="{FF2B5EF4-FFF2-40B4-BE49-F238E27FC236}">
                  <a16:creationId xmlns:a16="http://schemas.microsoft.com/office/drawing/2014/main" id="{3B995F3D-1F51-D015-C36E-6704895808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7" name="Rectangle 309">
              <a:extLst>
                <a:ext uri="{FF2B5EF4-FFF2-40B4-BE49-F238E27FC236}">
                  <a16:creationId xmlns:a16="http://schemas.microsoft.com/office/drawing/2014/main" id="{6BFE07E4-360D-D306-D34D-4A04D78CA8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98" name="Rectangle 310">
              <a:extLst>
                <a:ext uri="{FF2B5EF4-FFF2-40B4-BE49-F238E27FC236}">
                  <a16:creationId xmlns:a16="http://schemas.microsoft.com/office/drawing/2014/main" id="{09E254FC-7165-4A4D-6AC4-1B3407B637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987" name="Rectangle 311">
            <a:extLst>
              <a:ext uri="{FF2B5EF4-FFF2-40B4-BE49-F238E27FC236}">
                <a16:creationId xmlns:a16="http://schemas.microsoft.com/office/drawing/2014/main" id="{8A387740-F091-0A28-5BDE-A4B07F7AE64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88" name="Rectangle 312">
            <a:extLst>
              <a:ext uri="{FF2B5EF4-FFF2-40B4-BE49-F238E27FC236}">
                <a16:creationId xmlns:a16="http://schemas.microsoft.com/office/drawing/2014/main" id="{312FFFE2-D27E-2965-A438-F42837F46376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08" name="Group 313">
          <a:extLst>
            <a:ext uri="{FF2B5EF4-FFF2-40B4-BE49-F238E27FC236}">
              <a16:creationId xmlns:a16="http://schemas.microsoft.com/office/drawing/2014/main" id="{8F49D627-1C44-177A-7690-21249B983FBE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953" name="Rectangle 314">
            <a:extLst>
              <a:ext uri="{FF2B5EF4-FFF2-40B4-BE49-F238E27FC236}">
                <a16:creationId xmlns:a16="http://schemas.microsoft.com/office/drawing/2014/main" id="{841628FB-2313-00FD-0BD3-296A303C50C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54" name="Line 315">
            <a:extLst>
              <a:ext uri="{FF2B5EF4-FFF2-40B4-BE49-F238E27FC236}">
                <a16:creationId xmlns:a16="http://schemas.microsoft.com/office/drawing/2014/main" id="{C5948EED-C3CB-8E38-55EA-4B20D88C7EB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55" name="Line 316">
            <a:extLst>
              <a:ext uri="{FF2B5EF4-FFF2-40B4-BE49-F238E27FC236}">
                <a16:creationId xmlns:a16="http://schemas.microsoft.com/office/drawing/2014/main" id="{0D8BF302-C2D5-D840-840E-A64FF3F10A57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56" name="Rectangle 317">
            <a:extLst>
              <a:ext uri="{FF2B5EF4-FFF2-40B4-BE49-F238E27FC236}">
                <a16:creationId xmlns:a16="http://schemas.microsoft.com/office/drawing/2014/main" id="{BE300C1F-32AB-5949-6AEC-9833400DD4F6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57" name="Oval 318">
            <a:extLst>
              <a:ext uri="{FF2B5EF4-FFF2-40B4-BE49-F238E27FC236}">
                <a16:creationId xmlns:a16="http://schemas.microsoft.com/office/drawing/2014/main" id="{88E072F7-B320-8388-A51F-802C94D7D40F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58" name="Oval 319">
            <a:extLst>
              <a:ext uri="{FF2B5EF4-FFF2-40B4-BE49-F238E27FC236}">
                <a16:creationId xmlns:a16="http://schemas.microsoft.com/office/drawing/2014/main" id="{0D7975EA-CBE2-81A5-479B-7D5DA825791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59" name="Rectangle 320">
            <a:extLst>
              <a:ext uri="{FF2B5EF4-FFF2-40B4-BE49-F238E27FC236}">
                <a16:creationId xmlns:a16="http://schemas.microsoft.com/office/drawing/2014/main" id="{D32CC1B8-1667-F8FC-EB62-458A56BB094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60" name="Rectangle 321">
            <a:extLst>
              <a:ext uri="{FF2B5EF4-FFF2-40B4-BE49-F238E27FC236}">
                <a16:creationId xmlns:a16="http://schemas.microsoft.com/office/drawing/2014/main" id="{39412FDC-E59E-4306-8EED-DCDBE42BF44E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61" name="Rectangle 322">
            <a:extLst>
              <a:ext uri="{FF2B5EF4-FFF2-40B4-BE49-F238E27FC236}">
                <a16:creationId xmlns:a16="http://schemas.microsoft.com/office/drawing/2014/main" id="{0EA0DCF3-4FD7-35B8-AF11-C16C994DC03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62" name="Rectangle 323">
            <a:extLst>
              <a:ext uri="{FF2B5EF4-FFF2-40B4-BE49-F238E27FC236}">
                <a16:creationId xmlns:a16="http://schemas.microsoft.com/office/drawing/2014/main" id="{0A3DEBB4-F000-A6A9-67F5-27E27D2A0BCF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963" name="Group 324">
            <a:extLst>
              <a:ext uri="{FF2B5EF4-FFF2-40B4-BE49-F238E27FC236}">
                <a16:creationId xmlns:a16="http://schemas.microsoft.com/office/drawing/2014/main" id="{6831022C-35B5-762F-102C-88E38FC0F73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966" name="Rectangle 325">
              <a:extLst>
                <a:ext uri="{FF2B5EF4-FFF2-40B4-BE49-F238E27FC236}">
                  <a16:creationId xmlns:a16="http://schemas.microsoft.com/office/drawing/2014/main" id="{593E9507-D603-C20E-FCB4-5AC38BA6FE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67" name="Line 326">
              <a:extLst>
                <a:ext uri="{FF2B5EF4-FFF2-40B4-BE49-F238E27FC236}">
                  <a16:creationId xmlns:a16="http://schemas.microsoft.com/office/drawing/2014/main" id="{C5600B5F-7166-FBC5-6676-578EA6B70B6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68" name="Line 327">
              <a:extLst>
                <a:ext uri="{FF2B5EF4-FFF2-40B4-BE49-F238E27FC236}">
                  <a16:creationId xmlns:a16="http://schemas.microsoft.com/office/drawing/2014/main" id="{C9700CC1-CEB1-71DB-CCBD-28776DD908B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69" name="Rectangle 328">
              <a:extLst>
                <a:ext uri="{FF2B5EF4-FFF2-40B4-BE49-F238E27FC236}">
                  <a16:creationId xmlns:a16="http://schemas.microsoft.com/office/drawing/2014/main" id="{60E01F39-15C0-9A71-38AF-4FD878B022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70" name="Oval 329">
              <a:extLst>
                <a:ext uri="{FF2B5EF4-FFF2-40B4-BE49-F238E27FC236}">
                  <a16:creationId xmlns:a16="http://schemas.microsoft.com/office/drawing/2014/main" id="{C350A9F2-22B7-E671-DE65-4396D50044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71" name="Oval 330">
              <a:extLst>
                <a:ext uri="{FF2B5EF4-FFF2-40B4-BE49-F238E27FC236}">
                  <a16:creationId xmlns:a16="http://schemas.microsoft.com/office/drawing/2014/main" id="{1B9EBA72-233F-47F0-99A8-22741E4CFC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72" name="Rectangle 331">
              <a:extLst>
                <a:ext uri="{FF2B5EF4-FFF2-40B4-BE49-F238E27FC236}">
                  <a16:creationId xmlns:a16="http://schemas.microsoft.com/office/drawing/2014/main" id="{4E7D8E77-D2D1-CA4B-6466-D4C870EE90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73" name="Rectangle 332">
              <a:extLst>
                <a:ext uri="{FF2B5EF4-FFF2-40B4-BE49-F238E27FC236}">
                  <a16:creationId xmlns:a16="http://schemas.microsoft.com/office/drawing/2014/main" id="{C52E5D95-B69B-A043-F552-F3D153DC2E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74" name="Rectangle 333">
              <a:extLst>
                <a:ext uri="{FF2B5EF4-FFF2-40B4-BE49-F238E27FC236}">
                  <a16:creationId xmlns:a16="http://schemas.microsoft.com/office/drawing/2014/main" id="{5FA979AC-9E72-B50D-AB2A-307283FDF13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75" name="Rectangle 334">
              <a:extLst>
                <a:ext uri="{FF2B5EF4-FFF2-40B4-BE49-F238E27FC236}">
                  <a16:creationId xmlns:a16="http://schemas.microsoft.com/office/drawing/2014/main" id="{1CE8E38E-58D2-02EC-49B4-F8CD955BACF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964" name="Rectangle 335">
            <a:extLst>
              <a:ext uri="{FF2B5EF4-FFF2-40B4-BE49-F238E27FC236}">
                <a16:creationId xmlns:a16="http://schemas.microsoft.com/office/drawing/2014/main" id="{F53236E6-C4E7-A644-5696-3831C68B413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65" name="Rectangle 336">
            <a:extLst>
              <a:ext uri="{FF2B5EF4-FFF2-40B4-BE49-F238E27FC236}">
                <a16:creationId xmlns:a16="http://schemas.microsoft.com/office/drawing/2014/main" id="{FDC699E2-D97A-17A0-9328-D9353567DE9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09" name="Group 337">
          <a:extLst>
            <a:ext uri="{FF2B5EF4-FFF2-40B4-BE49-F238E27FC236}">
              <a16:creationId xmlns:a16="http://schemas.microsoft.com/office/drawing/2014/main" id="{16484FED-EE9C-2CD4-1E02-7ABF8B829FE3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930" name="Rectangle 338">
            <a:extLst>
              <a:ext uri="{FF2B5EF4-FFF2-40B4-BE49-F238E27FC236}">
                <a16:creationId xmlns:a16="http://schemas.microsoft.com/office/drawing/2014/main" id="{EEA8335B-7218-B51D-9E79-83F9315CE2FA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1" name="Line 339">
            <a:extLst>
              <a:ext uri="{FF2B5EF4-FFF2-40B4-BE49-F238E27FC236}">
                <a16:creationId xmlns:a16="http://schemas.microsoft.com/office/drawing/2014/main" id="{62A1A82C-AB32-7C89-31E6-AB040E269A9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32" name="Line 340">
            <a:extLst>
              <a:ext uri="{FF2B5EF4-FFF2-40B4-BE49-F238E27FC236}">
                <a16:creationId xmlns:a16="http://schemas.microsoft.com/office/drawing/2014/main" id="{E76F62CC-BCD4-E54A-8520-3D2FF0E166E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33" name="Rectangle 341">
            <a:extLst>
              <a:ext uri="{FF2B5EF4-FFF2-40B4-BE49-F238E27FC236}">
                <a16:creationId xmlns:a16="http://schemas.microsoft.com/office/drawing/2014/main" id="{609328FD-AC23-CA0B-2356-82524BF3A98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4" name="Oval 342">
            <a:extLst>
              <a:ext uri="{FF2B5EF4-FFF2-40B4-BE49-F238E27FC236}">
                <a16:creationId xmlns:a16="http://schemas.microsoft.com/office/drawing/2014/main" id="{BB40B8EF-23E8-6577-E92F-7318764D3FA9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35" name="Oval 343">
            <a:extLst>
              <a:ext uri="{FF2B5EF4-FFF2-40B4-BE49-F238E27FC236}">
                <a16:creationId xmlns:a16="http://schemas.microsoft.com/office/drawing/2014/main" id="{8A962A3A-D90A-70E1-A831-A6BA0AA5B20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36" name="Rectangle 344">
            <a:extLst>
              <a:ext uri="{FF2B5EF4-FFF2-40B4-BE49-F238E27FC236}">
                <a16:creationId xmlns:a16="http://schemas.microsoft.com/office/drawing/2014/main" id="{3FC9EC44-366F-815C-B961-A39F6C1167D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7" name="Rectangle 345">
            <a:extLst>
              <a:ext uri="{FF2B5EF4-FFF2-40B4-BE49-F238E27FC236}">
                <a16:creationId xmlns:a16="http://schemas.microsoft.com/office/drawing/2014/main" id="{D4B5C7EA-D208-D0AA-CE79-DB4FB5DE31B4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8" name="Rectangle 346">
            <a:extLst>
              <a:ext uri="{FF2B5EF4-FFF2-40B4-BE49-F238E27FC236}">
                <a16:creationId xmlns:a16="http://schemas.microsoft.com/office/drawing/2014/main" id="{3C4D5B82-81BD-257A-624F-323BED888EF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39" name="Rectangle 347">
            <a:extLst>
              <a:ext uri="{FF2B5EF4-FFF2-40B4-BE49-F238E27FC236}">
                <a16:creationId xmlns:a16="http://schemas.microsoft.com/office/drawing/2014/main" id="{1F839F9B-FD1A-4465-33A9-96675B77559C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940" name="Group 348">
            <a:extLst>
              <a:ext uri="{FF2B5EF4-FFF2-40B4-BE49-F238E27FC236}">
                <a16:creationId xmlns:a16="http://schemas.microsoft.com/office/drawing/2014/main" id="{3621EE78-7FFE-B8B7-A61C-83F31CE327C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943" name="Rectangle 349">
              <a:extLst>
                <a:ext uri="{FF2B5EF4-FFF2-40B4-BE49-F238E27FC236}">
                  <a16:creationId xmlns:a16="http://schemas.microsoft.com/office/drawing/2014/main" id="{728AB4F2-C512-981F-23F1-E23BF23B04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44" name="Line 350">
              <a:extLst>
                <a:ext uri="{FF2B5EF4-FFF2-40B4-BE49-F238E27FC236}">
                  <a16:creationId xmlns:a16="http://schemas.microsoft.com/office/drawing/2014/main" id="{131E6F48-504B-3A8D-4FE3-9A8B1BA5E29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45" name="Line 351">
              <a:extLst>
                <a:ext uri="{FF2B5EF4-FFF2-40B4-BE49-F238E27FC236}">
                  <a16:creationId xmlns:a16="http://schemas.microsoft.com/office/drawing/2014/main" id="{ED16E70B-B89A-E1B0-BAC7-40CB0C069D2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46" name="Rectangle 352">
              <a:extLst>
                <a:ext uri="{FF2B5EF4-FFF2-40B4-BE49-F238E27FC236}">
                  <a16:creationId xmlns:a16="http://schemas.microsoft.com/office/drawing/2014/main" id="{78BD1737-8C7C-C26A-2343-F4A9BCA9B5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47" name="Oval 353">
              <a:extLst>
                <a:ext uri="{FF2B5EF4-FFF2-40B4-BE49-F238E27FC236}">
                  <a16:creationId xmlns:a16="http://schemas.microsoft.com/office/drawing/2014/main" id="{1E9E327C-18E7-1BB9-C02F-22C022F9A6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48" name="Oval 354">
              <a:extLst>
                <a:ext uri="{FF2B5EF4-FFF2-40B4-BE49-F238E27FC236}">
                  <a16:creationId xmlns:a16="http://schemas.microsoft.com/office/drawing/2014/main" id="{178FDE4A-1F09-19EA-ADB8-6E0EFAFD2E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49" name="Rectangle 355">
              <a:extLst>
                <a:ext uri="{FF2B5EF4-FFF2-40B4-BE49-F238E27FC236}">
                  <a16:creationId xmlns:a16="http://schemas.microsoft.com/office/drawing/2014/main" id="{5938A50D-960B-EF74-CDF8-723C970D69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50" name="Rectangle 356">
              <a:extLst>
                <a:ext uri="{FF2B5EF4-FFF2-40B4-BE49-F238E27FC236}">
                  <a16:creationId xmlns:a16="http://schemas.microsoft.com/office/drawing/2014/main" id="{8CD9D7B1-A519-3B54-1EEB-C23C7C9228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51" name="Rectangle 357">
              <a:extLst>
                <a:ext uri="{FF2B5EF4-FFF2-40B4-BE49-F238E27FC236}">
                  <a16:creationId xmlns:a16="http://schemas.microsoft.com/office/drawing/2014/main" id="{FB14F641-9686-9C8B-BEA4-8BACD899D8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52" name="Rectangle 358">
              <a:extLst>
                <a:ext uri="{FF2B5EF4-FFF2-40B4-BE49-F238E27FC236}">
                  <a16:creationId xmlns:a16="http://schemas.microsoft.com/office/drawing/2014/main" id="{58C36F3C-7FC4-60FD-09DE-308CDCD818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941" name="Rectangle 359">
            <a:extLst>
              <a:ext uri="{FF2B5EF4-FFF2-40B4-BE49-F238E27FC236}">
                <a16:creationId xmlns:a16="http://schemas.microsoft.com/office/drawing/2014/main" id="{74DFB87E-B0F4-2A8C-B61D-91AA7717655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42" name="Rectangle 360">
            <a:extLst>
              <a:ext uri="{FF2B5EF4-FFF2-40B4-BE49-F238E27FC236}">
                <a16:creationId xmlns:a16="http://schemas.microsoft.com/office/drawing/2014/main" id="{84B9417F-1EB5-4786-C9C0-72AC7A4109B4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10" name="Group 361">
          <a:extLst>
            <a:ext uri="{FF2B5EF4-FFF2-40B4-BE49-F238E27FC236}">
              <a16:creationId xmlns:a16="http://schemas.microsoft.com/office/drawing/2014/main" id="{E788D9B0-5161-8F7C-6E04-E3384B487603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907" name="Rectangle 362">
            <a:extLst>
              <a:ext uri="{FF2B5EF4-FFF2-40B4-BE49-F238E27FC236}">
                <a16:creationId xmlns:a16="http://schemas.microsoft.com/office/drawing/2014/main" id="{88D02402-24D9-E550-5CBA-1791E38D960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08" name="Line 363">
            <a:extLst>
              <a:ext uri="{FF2B5EF4-FFF2-40B4-BE49-F238E27FC236}">
                <a16:creationId xmlns:a16="http://schemas.microsoft.com/office/drawing/2014/main" id="{84316807-F290-D7CE-0F7A-18E5BB6AAD9B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09" name="Line 364">
            <a:extLst>
              <a:ext uri="{FF2B5EF4-FFF2-40B4-BE49-F238E27FC236}">
                <a16:creationId xmlns:a16="http://schemas.microsoft.com/office/drawing/2014/main" id="{B8985598-ADD5-0F4C-9C43-CB1A06B1EBA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910" name="Rectangle 365">
            <a:extLst>
              <a:ext uri="{FF2B5EF4-FFF2-40B4-BE49-F238E27FC236}">
                <a16:creationId xmlns:a16="http://schemas.microsoft.com/office/drawing/2014/main" id="{20D8B911-2AAF-BD95-C5EA-063DABBF435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1" name="Oval 366">
            <a:extLst>
              <a:ext uri="{FF2B5EF4-FFF2-40B4-BE49-F238E27FC236}">
                <a16:creationId xmlns:a16="http://schemas.microsoft.com/office/drawing/2014/main" id="{4F2EC0BB-2B29-C14D-FD4E-8229103E42E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12" name="Oval 367">
            <a:extLst>
              <a:ext uri="{FF2B5EF4-FFF2-40B4-BE49-F238E27FC236}">
                <a16:creationId xmlns:a16="http://schemas.microsoft.com/office/drawing/2014/main" id="{141CE1C9-5CBD-652F-C7AF-EE1264FB4E54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913" name="Rectangle 368">
            <a:extLst>
              <a:ext uri="{FF2B5EF4-FFF2-40B4-BE49-F238E27FC236}">
                <a16:creationId xmlns:a16="http://schemas.microsoft.com/office/drawing/2014/main" id="{27F3022F-37FD-8549-BF9F-584AB527ACC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4" name="Rectangle 369">
            <a:extLst>
              <a:ext uri="{FF2B5EF4-FFF2-40B4-BE49-F238E27FC236}">
                <a16:creationId xmlns:a16="http://schemas.microsoft.com/office/drawing/2014/main" id="{7574F02F-4B17-3132-3E60-7EAD051137F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5" name="Rectangle 370">
            <a:extLst>
              <a:ext uri="{FF2B5EF4-FFF2-40B4-BE49-F238E27FC236}">
                <a16:creationId xmlns:a16="http://schemas.microsoft.com/office/drawing/2014/main" id="{FBBAE13F-A2E1-8B46-A661-10C0EB253ED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6" name="Rectangle 371">
            <a:extLst>
              <a:ext uri="{FF2B5EF4-FFF2-40B4-BE49-F238E27FC236}">
                <a16:creationId xmlns:a16="http://schemas.microsoft.com/office/drawing/2014/main" id="{DE81CE8C-FF46-791B-B72F-3132AB9B0DC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917" name="Group 372">
            <a:extLst>
              <a:ext uri="{FF2B5EF4-FFF2-40B4-BE49-F238E27FC236}">
                <a16:creationId xmlns:a16="http://schemas.microsoft.com/office/drawing/2014/main" id="{1CCF162F-0DC3-0CB2-FFE5-8C01662D58D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920" name="Rectangle 373">
              <a:extLst>
                <a:ext uri="{FF2B5EF4-FFF2-40B4-BE49-F238E27FC236}">
                  <a16:creationId xmlns:a16="http://schemas.microsoft.com/office/drawing/2014/main" id="{11971986-9DFB-1E7E-F22F-AAFB3A2D74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1" name="Line 374">
              <a:extLst>
                <a:ext uri="{FF2B5EF4-FFF2-40B4-BE49-F238E27FC236}">
                  <a16:creationId xmlns:a16="http://schemas.microsoft.com/office/drawing/2014/main" id="{5D5DCAF6-3E02-3352-F954-75EE59095CD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22" name="Line 375">
              <a:extLst>
                <a:ext uri="{FF2B5EF4-FFF2-40B4-BE49-F238E27FC236}">
                  <a16:creationId xmlns:a16="http://schemas.microsoft.com/office/drawing/2014/main" id="{421B084D-1A82-743C-F756-7B1ACC1BEE4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23" name="Rectangle 376">
              <a:extLst>
                <a:ext uri="{FF2B5EF4-FFF2-40B4-BE49-F238E27FC236}">
                  <a16:creationId xmlns:a16="http://schemas.microsoft.com/office/drawing/2014/main" id="{7B6E4271-11CA-2E2F-4F48-FE808A64CA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4" name="Oval 377">
              <a:extLst>
                <a:ext uri="{FF2B5EF4-FFF2-40B4-BE49-F238E27FC236}">
                  <a16:creationId xmlns:a16="http://schemas.microsoft.com/office/drawing/2014/main" id="{29D9EE33-A218-F930-5772-74F9029A59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25" name="Oval 378">
              <a:extLst>
                <a:ext uri="{FF2B5EF4-FFF2-40B4-BE49-F238E27FC236}">
                  <a16:creationId xmlns:a16="http://schemas.microsoft.com/office/drawing/2014/main" id="{178FB6FB-9F5A-EB60-58CB-525BEA96D6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26" name="Rectangle 379">
              <a:extLst>
                <a:ext uri="{FF2B5EF4-FFF2-40B4-BE49-F238E27FC236}">
                  <a16:creationId xmlns:a16="http://schemas.microsoft.com/office/drawing/2014/main" id="{B58993AE-A601-E8B9-CF72-04426F10A4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7" name="Rectangle 380">
              <a:extLst>
                <a:ext uri="{FF2B5EF4-FFF2-40B4-BE49-F238E27FC236}">
                  <a16:creationId xmlns:a16="http://schemas.microsoft.com/office/drawing/2014/main" id="{137F8417-A303-5858-8950-256F362AE6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8" name="Rectangle 381">
              <a:extLst>
                <a:ext uri="{FF2B5EF4-FFF2-40B4-BE49-F238E27FC236}">
                  <a16:creationId xmlns:a16="http://schemas.microsoft.com/office/drawing/2014/main" id="{1B69EB0C-B43C-42F6-81C7-BAE2EB55730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29" name="Rectangle 382">
              <a:extLst>
                <a:ext uri="{FF2B5EF4-FFF2-40B4-BE49-F238E27FC236}">
                  <a16:creationId xmlns:a16="http://schemas.microsoft.com/office/drawing/2014/main" id="{4851F3C2-4FF6-1401-F9BD-ED41841DB2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918" name="Rectangle 383">
            <a:extLst>
              <a:ext uri="{FF2B5EF4-FFF2-40B4-BE49-F238E27FC236}">
                <a16:creationId xmlns:a16="http://schemas.microsoft.com/office/drawing/2014/main" id="{A48E0F0E-FD7E-43CA-B151-E980A151944F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919" name="Rectangle 384">
            <a:extLst>
              <a:ext uri="{FF2B5EF4-FFF2-40B4-BE49-F238E27FC236}">
                <a16:creationId xmlns:a16="http://schemas.microsoft.com/office/drawing/2014/main" id="{89033886-FE53-4AC3-FFAE-FE4EE334171E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11" name="Group 385">
          <a:extLst>
            <a:ext uri="{FF2B5EF4-FFF2-40B4-BE49-F238E27FC236}">
              <a16:creationId xmlns:a16="http://schemas.microsoft.com/office/drawing/2014/main" id="{2752F66E-5E1A-F869-DB98-08795A93C10A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884" name="Rectangle 386">
            <a:extLst>
              <a:ext uri="{FF2B5EF4-FFF2-40B4-BE49-F238E27FC236}">
                <a16:creationId xmlns:a16="http://schemas.microsoft.com/office/drawing/2014/main" id="{33E1C2D8-6EA5-8C6F-3FE8-703DBE8F86C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85" name="Line 387">
            <a:extLst>
              <a:ext uri="{FF2B5EF4-FFF2-40B4-BE49-F238E27FC236}">
                <a16:creationId xmlns:a16="http://schemas.microsoft.com/office/drawing/2014/main" id="{D7D2B28B-4A7F-DF35-2CEC-5A47BD214727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86" name="Line 388">
            <a:extLst>
              <a:ext uri="{FF2B5EF4-FFF2-40B4-BE49-F238E27FC236}">
                <a16:creationId xmlns:a16="http://schemas.microsoft.com/office/drawing/2014/main" id="{D00A9541-F433-0131-3281-D5FD2410CCB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87" name="Rectangle 389">
            <a:extLst>
              <a:ext uri="{FF2B5EF4-FFF2-40B4-BE49-F238E27FC236}">
                <a16:creationId xmlns:a16="http://schemas.microsoft.com/office/drawing/2014/main" id="{E2F7A849-F24B-554E-9939-AF84E6B10B0E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88" name="Oval 390">
            <a:extLst>
              <a:ext uri="{FF2B5EF4-FFF2-40B4-BE49-F238E27FC236}">
                <a16:creationId xmlns:a16="http://schemas.microsoft.com/office/drawing/2014/main" id="{624C57F8-EBB5-E605-4489-7C652EFEDAE8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89" name="Oval 391">
            <a:extLst>
              <a:ext uri="{FF2B5EF4-FFF2-40B4-BE49-F238E27FC236}">
                <a16:creationId xmlns:a16="http://schemas.microsoft.com/office/drawing/2014/main" id="{92C296CA-094D-5B95-4732-B43CD2673B5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90" name="Rectangle 392">
            <a:extLst>
              <a:ext uri="{FF2B5EF4-FFF2-40B4-BE49-F238E27FC236}">
                <a16:creationId xmlns:a16="http://schemas.microsoft.com/office/drawing/2014/main" id="{09A09493-F435-3CBF-68FB-3FB12E5D34F5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91" name="Rectangle 393">
            <a:extLst>
              <a:ext uri="{FF2B5EF4-FFF2-40B4-BE49-F238E27FC236}">
                <a16:creationId xmlns:a16="http://schemas.microsoft.com/office/drawing/2014/main" id="{F304F185-2DD2-62B3-B019-0D4191A0EB0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92" name="Rectangle 394">
            <a:extLst>
              <a:ext uri="{FF2B5EF4-FFF2-40B4-BE49-F238E27FC236}">
                <a16:creationId xmlns:a16="http://schemas.microsoft.com/office/drawing/2014/main" id="{89FA25BA-59D6-257F-552B-A6F2C9EC065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93" name="Rectangle 395">
            <a:extLst>
              <a:ext uri="{FF2B5EF4-FFF2-40B4-BE49-F238E27FC236}">
                <a16:creationId xmlns:a16="http://schemas.microsoft.com/office/drawing/2014/main" id="{512D44E8-F8A8-7208-1D29-C61627039ACE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894" name="Group 396">
            <a:extLst>
              <a:ext uri="{FF2B5EF4-FFF2-40B4-BE49-F238E27FC236}">
                <a16:creationId xmlns:a16="http://schemas.microsoft.com/office/drawing/2014/main" id="{C2296962-4C7B-23EA-96AD-B44F1B970E9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897" name="Rectangle 397">
              <a:extLst>
                <a:ext uri="{FF2B5EF4-FFF2-40B4-BE49-F238E27FC236}">
                  <a16:creationId xmlns:a16="http://schemas.microsoft.com/office/drawing/2014/main" id="{26809895-9F39-7CEB-A7AD-0B94392DEBC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98" name="Line 398">
              <a:extLst>
                <a:ext uri="{FF2B5EF4-FFF2-40B4-BE49-F238E27FC236}">
                  <a16:creationId xmlns:a16="http://schemas.microsoft.com/office/drawing/2014/main" id="{4FEA1B48-B340-7372-C872-C61BB707F5C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99" name="Line 399">
              <a:extLst>
                <a:ext uri="{FF2B5EF4-FFF2-40B4-BE49-F238E27FC236}">
                  <a16:creationId xmlns:a16="http://schemas.microsoft.com/office/drawing/2014/main" id="{0B698AF7-F2A6-1A6A-812B-29AEEBBA8D6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900" name="Rectangle 400">
              <a:extLst>
                <a:ext uri="{FF2B5EF4-FFF2-40B4-BE49-F238E27FC236}">
                  <a16:creationId xmlns:a16="http://schemas.microsoft.com/office/drawing/2014/main" id="{4E00ACCE-6404-6B2D-6630-6F64B76A719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01" name="Oval 401">
              <a:extLst>
                <a:ext uri="{FF2B5EF4-FFF2-40B4-BE49-F238E27FC236}">
                  <a16:creationId xmlns:a16="http://schemas.microsoft.com/office/drawing/2014/main" id="{392052D0-08A6-BB7E-8F36-55BC86C50D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02" name="Oval 402">
              <a:extLst>
                <a:ext uri="{FF2B5EF4-FFF2-40B4-BE49-F238E27FC236}">
                  <a16:creationId xmlns:a16="http://schemas.microsoft.com/office/drawing/2014/main" id="{497E12A9-296C-7EDA-FE6A-6C0D9FC5F5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903" name="Rectangle 403">
              <a:extLst>
                <a:ext uri="{FF2B5EF4-FFF2-40B4-BE49-F238E27FC236}">
                  <a16:creationId xmlns:a16="http://schemas.microsoft.com/office/drawing/2014/main" id="{B2722065-150F-0889-2FC6-0348000892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04" name="Rectangle 404">
              <a:extLst>
                <a:ext uri="{FF2B5EF4-FFF2-40B4-BE49-F238E27FC236}">
                  <a16:creationId xmlns:a16="http://schemas.microsoft.com/office/drawing/2014/main" id="{55B25E05-6E0B-02EF-12F1-609B038AD4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05" name="Rectangle 405">
              <a:extLst>
                <a:ext uri="{FF2B5EF4-FFF2-40B4-BE49-F238E27FC236}">
                  <a16:creationId xmlns:a16="http://schemas.microsoft.com/office/drawing/2014/main" id="{A66DCA0A-4293-1A94-EBD8-EDD71DC07D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906" name="Rectangle 406">
              <a:extLst>
                <a:ext uri="{FF2B5EF4-FFF2-40B4-BE49-F238E27FC236}">
                  <a16:creationId xmlns:a16="http://schemas.microsoft.com/office/drawing/2014/main" id="{93004A4C-E0FE-CF41-D5A4-3DC0670E16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895" name="Rectangle 407">
            <a:extLst>
              <a:ext uri="{FF2B5EF4-FFF2-40B4-BE49-F238E27FC236}">
                <a16:creationId xmlns:a16="http://schemas.microsoft.com/office/drawing/2014/main" id="{6F3413DE-65ED-C163-5B11-D7AF74CAABA1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96" name="Rectangle 408">
            <a:extLst>
              <a:ext uri="{FF2B5EF4-FFF2-40B4-BE49-F238E27FC236}">
                <a16:creationId xmlns:a16="http://schemas.microsoft.com/office/drawing/2014/main" id="{3E363E34-F652-278E-0CB6-1DC65028C3D7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12" name="Group 409">
          <a:extLst>
            <a:ext uri="{FF2B5EF4-FFF2-40B4-BE49-F238E27FC236}">
              <a16:creationId xmlns:a16="http://schemas.microsoft.com/office/drawing/2014/main" id="{FF46DA00-3126-B3A7-6FA0-AD0FF3CB2312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861" name="Rectangle 410">
            <a:extLst>
              <a:ext uri="{FF2B5EF4-FFF2-40B4-BE49-F238E27FC236}">
                <a16:creationId xmlns:a16="http://schemas.microsoft.com/office/drawing/2014/main" id="{D9A319F3-C1DA-1B66-60CB-16F921071E1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2" name="Line 411">
            <a:extLst>
              <a:ext uri="{FF2B5EF4-FFF2-40B4-BE49-F238E27FC236}">
                <a16:creationId xmlns:a16="http://schemas.microsoft.com/office/drawing/2014/main" id="{E7DBB7AC-DB6B-561A-65AF-B81892D46E8A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63" name="Line 412">
            <a:extLst>
              <a:ext uri="{FF2B5EF4-FFF2-40B4-BE49-F238E27FC236}">
                <a16:creationId xmlns:a16="http://schemas.microsoft.com/office/drawing/2014/main" id="{50FB506C-D4AD-A8C1-7A20-8EF5E9B4498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64" name="Rectangle 413">
            <a:extLst>
              <a:ext uri="{FF2B5EF4-FFF2-40B4-BE49-F238E27FC236}">
                <a16:creationId xmlns:a16="http://schemas.microsoft.com/office/drawing/2014/main" id="{4B10794B-5B97-8275-5666-D9CF853C1249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5" name="Oval 414">
            <a:extLst>
              <a:ext uri="{FF2B5EF4-FFF2-40B4-BE49-F238E27FC236}">
                <a16:creationId xmlns:a16="http://schemas.microsoft.com/office/drawing/2014/main" id="{39AC82C6-CDDD-78C7-3A7D-678BA2E804A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66" name="Oval 415">
            <a:extLst>
              <a:ext uri="{FF2B5EF4-FFF2-40B4-BE49-F238E27FC236}">
                <a16:creationId xmlns:a16="http://schemas.microsoft.com/office/drawing/2014/main" id="{0E8175DD-B17B-3CF2-2EBB-0F878212733F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67" name="Rectangle 416">
            <a:extLst>
              <a:ext uri="{FF2B5EF4-FFF2-40B4-BE49-F238E27FC236}">
                <a16:creationId xmlns:a16="http://schemas.microsoft.com/office/drawing/2014/main" id="{63A4922A-B738-57E6-1191-C1C9FE591DD2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8" name="Rectangle 417">
            <a:extLst>
              <a:ext uri="{FF2B5EF4-FFF2-40B4-BE49-F238E27FC236}">
                <a16:creationId xmlns:a16="http://schemas.microsoft.com/office/drawing/2014/main" id="{7FF8FF3C-9AD0-A494-FB98-0060703799D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9" name="Rectangle 418">
            <a:extLst>
              <a:ext uri="{FF2B5EF4-FFF2-40B4-BE49-F238E27FC236}">
                <a16:creationId xmlns:a16="http://schemas.microsoft.com/office/drawing/2014/main" id="{4CF725C8-A227-7BED-A94A-AB5E6F48217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70" name="Rectangle 419">
            <a:extLst>
              <a:ext uri="{FF2B5EF4-FFF2-40B4-BE49-F238E27FC236}">
                <a16:creationId xmlns:a16="http://schemas.microsoft.com/office/drawing/2014/main" id="{7117D416-9702-0BCA-A20C-99D88E0199BA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871" name="Group 420">
            <a:extLst>
              <a:ext uri="{FF2B5EF4-FFF2-40B4-BE49-F238E27FC236}">
                <a16:creationId xmlns:a16="http://schemas.microsoft.com/office/drawing/2014/main" id="{786DF0C2-3065-D9A4-D85A-7350659E5F3B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874" name="Rectangle 421">
              <a:extLst>
                <a:ext uri="{FF2B5EF4-FFF2-40B4-BE49-F238E27FC236}">
                  <a16:creationId xmlns:a16="http://schemas.microsoft.com/office/drawing/2014/main" id="{76C63483-A4D1-2D9A-08C1-A74C0B734F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75" name="Line 422">
              <a:extLst>
                <a:ext uri="{FF2B5EF4-FFF2-40B4-BE49-F238E27FC236}">
                  <a16:creationId xmlns:a16="http://schemas.microsoft.com/office/drawing/2014/main" id="{B380A926-AE19-AEAD-30E4-D8012EED3B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76" name="Line 423">
              <a:extLst>
                <a:ext uri="{FF2B5EF4-FFF2-40B4-BE49-F238E27FC236}">
                  <a16:creationId xmlns:a16="http://schemas.microsoft.com/office/drawing/2014/main" id="{649E34F3-4F59-B387-791F-D1F08E03FFE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77" name="Rectangle 424">
              <a:extLst>
                <a:ext uri="{FF2B5EF4-FFF2-40B4-BE49-F238E27FC236}">
                  <a16:creationId xmlns:a16="http://schemas.microsoft.com/office/drawing/2014/main" id="{E94052C3-80A7-B9E0-8405-16EEDA24EF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78" name="Oval 425">
              <a:extLst>
                <a:ext uri="{FF2B5EF4-FFF2-40B4-BE49-F238E27FC236}">
                  <a16:creationId xmlns:a16="http://schemas.microsoft.com/office/drawing/2014/main" id="{12CDF1FF-22D1-6244-4BF6-B4AF912549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79" name="Oval 426">
              <a:extLst>
                <a:ext uri="{FF2B5EF4-FFF2-40B4-BE49-F238E27FC236}">
                  <a16:creationId xmlns:a16="http://schemas.microsoft.com/office/drawing/2014/main" id="{4BF12DE2-AFE8-C7B1-FA39-EC6A1B4C4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80" name="Rectangle 427">
              <a:extLst>
                <a:ext uri="{FF2B5EF4-FFF2-40B4-BE49-F238E27FC236}">
                  <a16:creationId xmlns:a16="http://schemas.microsoft.com/office/drawing/2014/main" id="{DBD23D2D-D4C7-796D-E9A0-E273B65970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81" name="Rectangle 428">
              <a:extLst>
                <a:ext uri="{FF2B5EF4-FFF2-40B4-BE49-F238E27FC236}">
                  <a16:creationId xmlns:a16="http://schemas.microsoft.com/office/drawing/2014/main" id="{4600B0E0-A26F-D002-F973-794A61D9A6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82" name="Rectangle 429">
              <a:extLst>
                <a:ext uri="{FF2B5EF4-FFF2-40B4-BE49-F238E27FC236}">
                  <a16:creationId xmlns:a16="http://schemas.microsoft.com/office/drawing/2014/main" id="{4407E2AD-0E26-801B-398E-9730669C3C5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83" name="Rectangle 430">
              <a:extLst>
                <a:ext uri="{FF2B5EF4-FFF2-40B4-BE49-F238E27FC236}">
                  <a16:creationId xmlns:a16="http://schemas.microsoft.com/office/drawing/2014/main" id="{BDDE5F07-51BA-F00C-409F-4F0AB2E651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872" name="Rectangle 431">
            <a:extLst>
              <a:ext uri="{FF2B5EF4-FFF2-40B4-BE49-F238E27FC236}">
                <a16:creationId xmlns:a16="http://schemas.microsoft.com/office/drawing/2014/main" id="{0D504E4D-9906-076F-DAE3-B5EE6CB6BE99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73" name="Rectangle 432">
            <a:extLst>
              <a:ext uri="{FF2B5EF4-FFF2-40B4-BE49-F238E27FC236}">
                <a16:creationId xmlns:a16="http://schemas.microsoft.com/office/drawing/2014/main" id="{57B79026-4A87-2F64-6D3B-0FCFFD5F867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152400</xdr:rowOff>
    </xdr:from>
    <xdr:to>
      <xdr:col>10</xdr:col>
      <xdr:colOff>0</xdr:colOff>
      <xdr:row>3</xdr:row>
      <xdr:rowOff>0</xdr:rowOff>
    </xdr:to>
    <xdr:grpSp>
      <xdr:nvGrpSpPr>
        <xdr:cNvPr id="526813" name="Group 433">
          <a:extLst>
            <a:ext uri="{FF2B5EF4-FFF2-40B4-BE49-F238E27FC236}">
              <a16:creationId xmlns:a16="http://schemas.microsoft.com/office/drawing/2014/main" id="{5A1FA7EC-7694-CF17-1E87-2AACE4CC9966}"/>
            </a:ext>
          </a:extLst>
        </xdr:cNvPr>
        <xdr:cNvGrpSpPr>
          <a:grpSpLocks/>
        </xdr:cNvGrpSpPr>
      </xdr:nvGrpSpPr>
      <xdr:grpSpPr bwMode="auto">
        <a:xfrm>
          <a:off x="9893710" y="1283110"/>
          <a:ext cx="0" cy="695632"/>
          <a:chOff x="333" y="153"/>
          <a:chExt cx="219" cy="333"/>
        </a:xfrm>
      </xdr:grpSpPr>
      <xdr:sp macro="" textlink="">
        <xdr:nvSpPr>
          <xdr:cNvPr id="531851" name="Rectangle 434">
            <a:extLst>
              <a:ext uri="{FF2B5EF4-FFF2-40B4-BE49-F238E27FC236}">
                <a16:creationId xmlns:a16="http://schemas.microsoft.com/office/drawing/2014/main" id="{BEFC0F64-E47F-7861-AF8C-B6B68634C064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2" name="Line 435">
            <a:extLst>
              <a:ext uri="{FF2B5EF4-FFF2-40B4-BE49-F238E27FC236}">
                <a16:creationId xmlns:a16="http://schemas.microsoft.com/office/drawing/2014/main" id="{AFA3568F-227A-42F1-4954-51A3DF201226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53" name="Line 436">
            <a:extLst>
              <a:ext uri="{FF2B5EF4-FFF2-40B4-BE49-F238E27FC236}">
                <a16:creationId xmlns:a16="http://schemas.microsoft.com/office/drawing/2014/main" id="{26ED0618-A97D-39C9-D7F0-3A103FA46AF5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54" name="Rectangle 437">
            <a:extLst>
              <a:ext uri="{FF2B5EF4-FFF2-40B4-BE49-F238E27FC236}">
                <a16:creationId xmlns:a16="http://schemas.microsoft.com/office/drawing/2014/main" id="{C3AE04BC-810C-6CF8-B41A-0808578B0CD6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5" name="Oval 438">
            <a:extLst>
              <a:ext uri="{FF2B5EF4-FFF2-40B4-BE49-F238E27FC236}">
                <a16:creationId xmlns:a16="http://schemas.microsoft.com/office/drawing/2014/main" id="{54ACB0E0-B8E0-AFA2-2F65-63D959251006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56" name="Oval 439">
            <a:extLst>
              <a:ext uri="{FF2B5EF4-FFF2-40B4-BE49-F238E27FC236}">
                <a16:creationId xmlns:a16="http://schemas.microsoft.com/office/drawing/2014/main" id="{56DE91D6-5826-EC1E-F47C-2B062BCB1943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57" name="Rectangle 440">
            <a:extLst>
              <a:ext uri="{FF2B5EF4-FFF2-40B4-BE49-F238E27FC236}">
                <a16:creationId xmlns:a16="http://schemas.microsoft.com/office/drawing/2014/main" id="{36D267D4-C8E9-F80D-4C0D-B06AD8F0A653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8" name="Rectangle 441">
            <a:extLst>
              <a:ext uri="{FF2B5EF4-FFF2-40B4-BE49-F238E27FC236}">
                <a16:creationId xmlns:a16="http://schemas.microsoft.com/office/drawing/2014/main" id="{1B59B3E6-6829-285B-DF35-A3DF78BC6D39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9" name="Rectangle 442">
            <a:extLst>
              <a:ext uri="{FF2B5EF4-FFF2-40B4-BE49-F238E27FC236}">
                <a16:creationId xmlns:a16="http://schemas.microsoft.com/office/drawing/2014/main" id="{D3E7CA73-D386-1E53-0F91-0A901B7F7F1D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60" name="Rectangle 443">
            <a:extLst>
              <a:ext uri="{FF2B5EF4-FFF2-40B4-BE49-F238E27FC236}">
                <a16:creationId xmlns:a16="http://schemas.microsoft.com/office/drawing/2014/main" id="{99758865-B20E-BB51-80AF-C37ACAA8ABFC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152400</xdr:rowOff>
    </xdr:from>
    <xdr:to>
      <xdr:col>10</xdr:col>
      <xdr:colOff>0</xdr:colOff>
      <xdr:row>3</xdr:row>
      <xdr:rowOff>0</xdr:rowOff>
    </xdr:to>
    <xdr:grpSp>
      <xdr:nvGrpSpPr>
        <xdr:cNvPr id="526814" name="Group 444">
          <a:extLst>
            <a:ext uri="{FF2B5EF4-FFF2-40B4-BE49-F238E27FC236}">
              <a16:creationId xmlns:a16="http://schemas.microsoft.com/office/drawing/2014/main" id="{03271503-73A5-8DC6-050F-6EFE44E86AA8}"/>
            </a:ext>
          </a:extLst>
        </xdr:cNvPr>
        <xdr:cNvGrpSpPr>
          <a:grpSpLocks/>
        </xdr:cNvGrpSpPr>
      </xdr:nvGrpSpPr>
      <xdr:grpSpPr bwMode="auto">
        <a:xfrm>
          <a:off x="9893710" y="1283110"/>
          <a:ext cx="0" cy="695632"/>
          <a:chOff x="333" y="153"/>
          <a:chExt cx="219" cy="333"/>
        </a:xfrm>
      </xdr:grpSpPr>
      <xdr:sp macro="" textlink="">
        <xdr:nvSpPr>
          <xdr:cNvPr id="531841" name="Rectangle 445">
            <a:extLst>
              <a:ext uri="{FF2B5EF4-FFF2-40B4-BE49-F238E27FC236}">
                <a16:creationId xmlns:a16="http://schemas.microsoft.com/office/drawing/2014/main" id="{0AE27542-1A35-EF7C-B7AB-4B4658672F5E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42" name="Line 446">
            <a:extLst>
              <a:ext uri="{FF2B5EF4-FFF2-40B4-BE49-F238E27FC236}">
                <a16:creationId xmlns:a16="http://schemas.microsoft.com/office/drawing/2014/main" id="{DC9E8335-7BF4-5850-ECB6-E501034B3CA3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43" name="Line 447">
            <a:extLst>
              <a:ext uri="{FF2B5EF4-FFF2-40B4-BE49-F238E27FC236}">
                <a16:creationId xmlns:a16="http://schemas.microsoft.com/office/drawing/2014/main" id="{096068C8-5471-273C-BE8A-1A6356A80C85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844" name="Rectangle 448">
            <a:extLst>
              <a:ext uri="{FF2B5EF4-FFF2-40B4-BE49-F238E27FC236}">
                <a16:creationId xmlns:a16="http://schemas.microsoft.com/office/drawing/2014/main" id="{481B7B80-C7AE-9825-7E0C-3CB09DB13826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45" name="Oval 449">
            <a:extLst>
              <a:ext uri="{FF2B5EF4-FFF2-40B4-BE49-F238E27FC236}">
                <a16:creationId xmlns:a16="http://schemas.microsoft.com/office/drawing/2014/main" id="{5ACF841E-A681-FE37-160A-FC865662CCEC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46" name="Oval 450">
            <a:extLst>
              <a:ext uri="{FF2B5EF4-FFF2-40B4-BE49-F238E27FC236}">
                <a16:creationId xmlns:a16="http://schemas.microsoft.com/office/drawing/2014/main" id="{F1CA012C-2D3A-C16F-6627-C19552444FBA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847" name="Rectangle 451">
            <a:extLst>
              <a:ext uri="{FF2B5EF4-FFF2-40B4-BE49-F238E27FC236}">
                <a16:creationId xmlns:a16="http://schemas.microsoft.com/office/drawing/2014/main" id="{39E9D4D3-AA3E-5452-A193-F0BE839589B5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48" name="Rectangle 452">
            <a:extLst>
              <a:ext uri="{FF2B5EF4-FFF2-40B4-BE49-F238E27FC236}">
                <a16:creationId xmlns:a16="http://schemas.microsoft.com/office/drawing/2014/main" id="{A9F7AFF7-CDD8-B2EB-DFAC-7C4BABD27235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49" name="Rectangle 453">
            <a:extLst>
              <a:ext uri="{FF2B5EF4-FFF2-40B4-BE49-F238E27FC236}">
                <a16:creationId xmlns:a16="http://schemas.microsoft.com/office/drawing/2014/main" id="{FC4F150C-7786-BB57-D162-0827ADDC45D9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850" name="Rectangle 454">
            <a:extLst>
              <a:ext uri="{FF2B5EF4-FFF2-40B4-BE49-F238E27FC236}">
                <a16:creationId xmlns:a16="http://schemas.microsoft.com/office/drawing/2014/main" id="{863D2DC7-38E2-DD79-ED85-7CABEAB94309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5" name="Group 455">
          <a:extLst>
            <a:ext uri="{FF2B5EF4-FFF2-40B4-BE49-F238E27FC236}">
              <a16:creationId xmlns:a16="http://schemas.microsoft.com/office/drawing/2014/main" id="{B8ECB0AD-300D-7504-FDC5-B8C479EBDE5D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381000"/>
          <a:chOff x="335" y="195"/>
          <a:chExt cx="352" cy="282"/>
        </a:xfrm>
      </xdr:grpSpPr>
      <xdr:grpSp>
        <xdr:nvGrpSpPr>
          <xdr:cNvPr id="531819" name="Group 456">
            <a:extLst>
              <a:ext uri="{FF2B5EF4-FFF2-40B4-BE49-F238E27FC236}">
                <a16:creationId xmlns:a16="http://schemas.microsoft.com/office/drawing/2014/main" id="{6CF349B8-8CE3-F467-58EE-A46024F803B4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831" name="Rectangle 457">
              <a:extLst>
                <a:ext uri="{FF2B5EF4-FFF2-40B4-BE49-F238E27FC236}">
                  <a16:creationId xmlns:a16="http://schemas.microsoft.com/office/drawing/2014/main" id="{582EC35C-A4BC-530D-2682-749E336939A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2" name="Line 458">
              <a:extLst>
                <a:ext uri="{FF2B5EF4-FFF2-40B4-BE49-F238E27FC236}">
                  <a16:creationId xmlns:a16="http://schemas.microsoft.com/office/drawing/2014/main" id="{52DD2BAA-D164-3D59-BEAB-A92AB1E5B9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33" name="Line 459">
              <a:extLst>
                <a:ext uri="{FF2B5EF4-FFF2-40B4-BE49-F238E27FC236}">
                  <a16:creationId xmlns:a16="http://schemas.microsoft.com/office/drawing/2014/main" id="{04107EEF-9AA9-77D5-2CC3-DE58D4E03C1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34" name="Rectangle 460">
              <a:extLst>
                <a:ext uri="{FF2B5EF4-FFF2-40B4-BE49-F238E27FC236}">
                  <a16:creationId xmlns:a16="http://schemas.microsoft.com/office/drawing/2014/main" id="{C9BAE303-A630-1A25-8529-B3AADAB4A7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5" name="Oval 461">
              <a:extLst>
                <a:ext uri="{FF2B5EF4-FFF2-40B4-BE49-F238E27FC236}">
                  <a16:creationId xmlns:a16="http://schemas.microsoft.com/office/drawing/2014/main" id="{5D291786-A14E-C858-5328-D5EF9BDC5A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36" name="Oval 462">
              <a:extLst>
                <a:ext uri="{FF2B5EF4-FFF2-40B4-BE49-F238E27FC236}">
                  <a16:creationId xmlns:a16="http://schemas.microsoft.com/office/drawing/2014/main" id="{12970722-DC64-84FC-D095-48ABDCE334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37" name="Rectangle 463">
              <a:extLst>
                <a:ext uri="{FF2B5EF4-FFF2-40B4-BE49-F238E27FC236}">
                  <a16:creationId xmlns:a16="http://schemas.microsoft.com/office/drawing/2014/main" id="{D542E7A0-A50D-6666-B3D4-53DAEB4519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8" name="Rectangle 464">
              <a:extLst>
                <a:ext uri="{FF2B5EF4-FFF2-40B4-BE49-F238E27FC236}">
                  <a16:creationId xmlns:a16="http://schemas.microsoft.com/office/drawing/2014/main" id="{A4A71B43-21D3-E5F7-CDF8-DE8A240CCE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9" name="Rectangle 465">
              <a:extLst>
                <a:ext uri="{FF2B5EF4-FFF2-40B4-BE49-F238E27FC236}">
                  <a16:creationId xmlns:a16="http://schemas.microsoft.com/office/drawing/2014/main" id="{F06EE1A5-FE59-E4CA-D55B-DE846FF3D8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40" name="Rectangle 466">
              <a:extLst>
                <a:ext uri="{FF2B5EF4-FFF2-40B4-BE49-F238E27FC236}">
                  <a16:creationId xmlns:a16="http://schemas.microsoft.com/office/drawing/2014/main" id="{2CCFD2D4-DE9B-F137-2253-C06B418F0F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820" name="Group 467">
            <a:extLst>
              <a:ext uri="{FF2B5EF4-FFF2-40B4-BE49-F238E27FC236}">
                <a16:creationId xmlns:a16="http://schemas.microsoft.com/office/drawing/2014/main" id="{9E240E62-CD45-1838-936C-ED688983A1A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821" name="Rectangle 468">
              <a:extLst>
                <a:ext uri="{FF2B5EF4-FFF2-40B4-BE49-F238E27FC236}">
                  <a16:creationId xmlns:a16="http://schemas.microsoft.com/office/drawing/2014/main" id="{2D0CDD2C-47E3-66FF-DA4A-A06AA92F82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22" name="Line 469">
              <a:extLst>
                <a:ext uri="{FF2B5EF4-FFF2-40B4-BE49-F238E27FC236}">
                  <a16:creationId xmlns:a16="http://schemas.microsoft.com/office/drawing/2014/main" id="{74A319BE-CB3E-9A6B-C064-C3F367E031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23" name="Line 470">
              <a:extLst>
                <a:ext uri="{FF2B5EF4-FFF2-40B4-BE49-F238E27FC236}">
                  <a16:creationId xmlns:a16="http://schemas.microsoft.com/office/drawing/2014/main" id="{9CC031E1-A45B-2789-2A3B-BE3EADF63E5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24" name="Rectangle 471">
              <a:extLst>
                <a:ext uri="{FF2B5EF4-FFF2-40B4-BE49-F238E27FC236}">
                  <a16:creationId xmlns:a16="http://schemas.microsoft.com/office/drawing/2014/main" id="{DFAD3F7E-CE2B-4136-80F0-E051FB99B4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25" name="Oval 472">
              <a:extLst>
                <a:ext uri="{FF2B5EF4-FFF2-40B4-BE49-F238E27FC236}">
                  <a16:creationId xmlns:a16="http://schemas.microsoft.com/office/drawing/2014/main" id="{E6C8EA75-496C-0325-E85D-E70E762AC4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26" name="Oval 473">
              <a:extLst>
                <a:ext uri="{FF2B5EF4-FFF2-40B4-BE49-F238E27FC236}">
                  <a16:creationId xmlns:a16="http://schemas.microsoft.com/office/drawing/2014/main" id="{1436195A-BF2D-7FE4-CC47-DC12518C37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27" name="Rectangle 474">
              <a:extLst>
                <a:ext uri="{FF2B5EF4-FFF2-40B4-BE49-F238E27FC236}">
                  <a16:creationId xmlns:a16="http://schemas.microsoft.com/office/drawing/2014/main" id="{BD4155B7-3447-ED08-CEC3-A61534EF7E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28" name="Rectangle 475">
              <a:extLst>
                <a:ext uri="{FF2B5EF4-FFF2-40B4-BE49-F238E27FC236}">
                  <a16:creationId xmlns:a16="http://schemas.microsoft.com/office/drawing/2014/main" id="{0E6AAACA-FA01-5B81-CF8E-B0D7A302CD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29" name="Rectangle 476">
              <a:extLst>
                <a:ext uri="{FF2B5EF4-FFF2-40B4-BE49-F238E27FC236}">
                  <a16:creationId xmlns:a16="http://schemas.microsoft.com/office/drawing/2014/main" id="{D48D7C86-DB15-CD5C-F6C2-8BC833DB952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30" name="Rectangle 477">
              <a:extLst>
                <a:ext uri="{FF2B5EF4-FFF2-40B4-BE49-F238E27FC236}">
                  <a16:creationId xmlns:a16="http://schemas.microsoft.com/office/drawing/2014/main" id="{C3529B64-2A1E-4C5D-B169-4B1F934285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6" name="Group 478">
          <a:extLst>
            <a:ext uri="{FF2B5EF4-FFF2-40B4-BE49-F238E27FC236}">
              <a16:creationId xmlns:a16="http://schemas.microsoft.com/office/drawing/2014/main" id="{47664523-5713-169C-5435-A87F3A3C8FC4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381000"/>
          <a:chOff x="335" y="195"/>
          <a:chExt cx="352" cy="282"/>
        </a:xfrm>
      </xdr:grpSpPr>
      <xdr:grpSp>
        <xdr:nvGrpSpPr>
          <xdr:cNvPr id="531797" name="Group 479">
            <a:extLst>
              <a:ext uri="{FF2B5EF4-FFF2-40B4-BE49-F238E27FC236}">
                <a16:creationId xmlns:a16="http://schemas.microsoft.com/office/drawing/2014/main" id="{A0B08D58-5800-CEB8-DC13-0CECFCB85DF6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809" name="Rectangle 480">
              <a:extLst>
                <a:ext uri="{FF2B5EF4-FFF2-40B4-BE49-F238E27FC236}">
                  <a16:creationId xmlns:a16="http://schemas.microsoft.com/office/drawing/2014/main" id="{DCAEB86F-51F7-62FF-D9FC-FE6030FCE6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0" name="Line 481">
              <a:extLst>
                <a:ext uri="{FF2B5EF4-FFF2-40B4-BE49-F238E27FC236}">
                  <a16:creationId xmlns:a16="http://schemas.microsoft.com/office/drawing/2014/main" id="{D2BBF2C3-B0FF-FF66-5859-E6FFF1707C9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11" name="Line 482">
              <a:extLst>
                <a:ext uri="{FF2B5EF4-FFF2-40B4-BE49-F238E27FC236}">
                  <a16:creationId xmlns:a16="http://schemas.microsoft.com/office/drawing/2014/main" id="{70AF732E-39D5-3A70-F48D-303A6E6AA72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12" name="Rectangle 483">
              <a:extLst>
                <a:ext uri="{FF2B5EF4-FFF2-40B4-BE49-F238E27FC236}">
                  <a16:creationId xmlns:a16="http://schemas.microsoft.com/office/drawing/2014/main" id="{AE9472DD-C460-49F0-A8BB-7DD0FB996A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3" name="Oval 484">
              <a:extLst>
                <a:ext uri="{FF2B5EF4-FFF2-40B4-BE49-F238E27FC236}">
                  <a16:creationId xmlns:a16="http://schemas.microsoft.com/office/drawing/2014/main" id="{D78F1AE3-5911-2D61-053E-1046239BE3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14" name="Oval 485">
              <a:extLst>
                <a:ext uri="{FF2B5EF4-FFF2-40B4-BE49-F238E27FC236}">
                  <a16:creationId xmlns:a16="http://schemas.microsoft.com/office/drawing/2014/main" id="{64855F31-1266-142D-C1B6-EBB3DEF4E3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15" name="Rectangle 486">
              <a:extLst>
                <a:ext uri="{FF2B5EF4-FFF2-40B4-BE49-F238E27FC236}">
                  <a16:creationId xmlns:a16="http://schemas.microsoft.com/office/drawing/2014/main" id="{77FF4A6B-78C4-4112-7096-FC9639AC2E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6" name="Rectangle 487">
              <a:extLst>
                <a:ext uri="{FF2B5EF4-FFF2-40B4-BE49-F238E27FC236}">
                  <a16:creationId xmlns:a16="http://schemas.microsoft.com/office/drawing/2014/main" id="{B9B1C2B3-D549-AF10-8DF2-F8C1C1A2E5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7" name="Rectangle 488">
              <a:extLst>
                <a:ext uri="{FF2B5EF4-FFF2-40B4-BE49-F238E27FC236}">
                  <a16:creationId xmlns:a16="http://schemas.microsoft.com/office/drawing/2014/main" id="{06B37201-113D-D603-6A99-5E928610A5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18" name="Rectangle 489">
              <a:extLst>
                <a:ext uri="{FF2B5EF4-FFF2-40B4-BE49-F238E27FC236}">
                  <a16:creationId xmlns:a16="http://schemas.microsoft.com/office/drawing/2014/main" id="{D93A5191-E9ED-7763-1C11-1C98F46525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98" name="Group 490">
            <a:extLst>
              <a:ext uri="{FF2B5EF4-FFF2-40B4-BE49-F238E27FC236}">
                <a16:creationId xmlns:a16="http://schemas.microsoft.com/office/drawing/2014/main" id="{FC02CA88-2133-4BED-9DF0-A00722C926D2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99" name="Rectangle 491">
              <a:extLst>
                <a:ext uri="{FF2B5EF4-FFF2-40B4-BE49-F238E27FC236}">
                  <a16:creationId xmlns:a16="http://schemas.microsoft.com/office/drawing/2014/main" id="{E9649A5E-1154-2C40-5CB9-B0771D2D7C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0" name="Line 492">
              <a:extLst>
                <a:ext uri="{FF2B5EF4-FFF2-40B4-BE49-F238E27FC236}">
                  <a16:creationId xmlns:a16="http://schemas.microsoft.com/office/drawing/2014/main" id="{1DDCD555-A237-A471-1245-0BA13B38708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01" name="Line 493">
              <a:extLst>
                <a:ext uri="{FF2B5EF4-FFF2-40B4-BE49-F238E27FC236}">
                  <a16:creationId xmlns:a16="http://schemas.microsoft.com/office/drawing/2014/main" id="{7B51AFF3-C439-B8C9-4858-89AE7D61933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802" name="Rectangle 494">
              <a:extLst>
                <a:ext uri="{FF2B5EF4-FFF2-40B4-BE49-F238E27FC236}">
                  <a16:creationId xmlns:a16="http://schemas.microsoft.com/office/drawing/2014/main" id="{26CDDE54-13F9-3A22-72A9-F49A99F8E1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3" name="Oval 495">
              <a:extLst>
                <a:ext uri="{FF2B5EF4-FFF2-40B4-BE49-F238E27FC236}">
                  <a16:creationId xmlns:a16="http://schemas.microsoft.com/office/drawing/2014/main" id="{92EE6478-8770-181E-4846-08FDA417BE8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04" name="Oval 496">
              <a:extLst>
                <a:ext uri="{FF2B5EF4-FFF2-40B4-BE49-F238E27FC236}">
                  <a16:creationId xmlns:a16="http://schemas.microsoft.com/office/drawing/2014/main" id="{DDE1F582-6673-B5E9-9605-1EF0B9DA09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805" name="Rectangle 497">
              <a:extLst>
                <a:ext uri="{FF2B5EF4-FFF2-40B4-BE49-F238E27FC236}">
                  <a16:creationId xmlns:a16="http://schemas.microsoft.com/office/drawing/2014/main" id="{0CDC16BD-0135-A262-642A-681B9772EBC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6" name="Rectangle 498">
              <a:extLst>
                <a:ext uri="{FF2B5EF4-FFF2-40B4-BE49-F238E27FC236}">
                  <a16:creationId xmlns:a16="http://schemas.microsoft.com/office/drawing/2014/main" id="{2A662E4C-21B4-C5A4-4682-8B5C5896F7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7" name="Rectangle 499">
              <a:extLst>
                <a:ext uri="{FF2B5EF4-FFF2-40B4-BE49-F238E27FC236}">
                  <a16:creationId xmlns:a16="http://schemas.microsoft.com/office/drawing/2014/main" id="{CF9110A1-C9A1-2C98-762B-3C611F6FCA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808" name="Rectangle 500">
              <a:extLst>
                <a:ext uri="{FF2B5EF4-FFF2-40B4-BE49-F238E27FC236}">
                  <a16:creationId xmlns:a16="http://schemas.microsoft.com/office/drawing/2014/main" id="{03702434-39DF-47EF-75DB-E440A4683E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7" name="Group 501">
          <a:extLst>
            <a:ext uri="{FF2B5EF4-FFF2-40B4-BE49-F238E27FC236}">
              <a16:creationId xmlns:a16="http://schemas.microsoft.com/office/drawing/2014/main" id="{94FCAAB4-A60A-999A-76E3-699DAC7902C7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381000"/>
          <a:chOff x="335" y="195"/>
          <a:chExt cx="352" cy="282"/>
        </a:xfrm>
      </xdr:grpSpPr>
      <xdr:grpSp>
        <xdr:nvGrpSpPr>
          <xdr:cNvPr id="531775" name="Group 502">
            <a:extLst>
              <a:ext uri="{FF2B5EF4-FFF2-40B4-BE49-F238E27FC236}">
                <a16:creationId xmlns:a16="http://schemas.microsoft.com/office/drawing/2014/main" id="{CE6365E2-6121-DA4C-4DDD-892BAFBA69AD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787" name="Rectangle 503">
              <a:extLst>
                <a:ext uri="{FF2B5EF4-FFF2-40B4-BE49-F238E27FC236}">
                  <a16:creationId xmlns:a16="http://schemas.microsoft.com/office/drawing/2014/main" id="{137803BC-0080-600E-9D1C-21E1F5777B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8" name="Line 504">
              <a:extLst>
                <a:ext uri="{FF2B5EF4-FFF2-40B4-BE49-F238E27FC236}">
                  <a16:creationId xmlns:a16="http://schemas.microsoft.com/office/drawing/2014/main" id="{36CB4DED-0E2D-C6EE-5EE9-EFEC3AB57D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89" name="Line 505">
              <a:extLst>
                <a:ext uri="{FF2B5EF4-FFF2-40B4-BE49-F238E27FC236}">
                  <a16:creationId xmlns:a16="http://schemas.microsoft.com/office/drawing/2014/main" id="{56DA9ED3-8E60-ADBE-A6F9-02B14B451F8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90" name="Rectangle 506">
              <a:extLst>
                <a:ext uri="{FF2B5EF4-FFF2-40B4-BE49-F238E27FC236}">
                  <a16:creationId xmlns:a16="http://schemas.microsoft.com/office/drawing/2014/main" id="{393E26B1-C8D1-B767-B297-9DEFECA28B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91" name="Oval 507">
              <a:extLst>
                <a:ext uri="{FF2B5EF4-FFF2-40B4-BE49-F238E27FC236}">
                  <a16:creationId xmlns:a16="http://schemas.microsoft.com/office/drawing/2014/main" id="{3C20B678-162E-65F9-E3D1-A346BD463D3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92" name="Oval 508">
              <a:extLst>
                <a:ext uri="{FF2B5EF4-FFF2-40B4-BE49-F238E27FC236}">
                  <a16:creationId xmlns:a16="http://schemas.microsoft.com/office/drawing/2014/main" id="{307D2AB4-F9FC-781F-0E2C-DA7CA8B4F6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93" name="Rectangle 509">
              <a:extLst>
                <a:ext uri="{FF2B5EF4-FFF2-40B4-BE49-F238E27FC236}">
                  <a16:creationId xmlns:a16="http://schemas.microsoft.com/office/drawing/2014/main" id="{747C688C-24F3-975B-0139-53C6D6C76B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94" name="Rectangle 510">
              <a:extLst>
                <a:ext uri="{FF2B5EF4-FFF2-40B4-BE49-F238E27FC236}">
                  <a16:creationId xmlns:a16="http://schemas.microsoft.com/office/drawing/2014/main" id="{E7DE213E-DAEF-3E63-D6CF-6620DF4EEF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95" name="Rectangle 511">
              <a:extLst>
                <a:ext uri="{FF2B5EF4-FFF2-40B4-BE49-F238E27FC236}">
                  <a16:creationId xmlns:a16="http://schemas.microsoft.com/office/drawing/2014/main" id="{3A94115D-DF07-8FEF-BAB0-ABEDB12C91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96" name="Rectangle 512">
              <a:extLst>
                <a:ext uri="{FF2B5EF4-FFF2-40B4-BE49-F238E27FC236}">
                  <a16:creationId xmlns:a16="http://schemas.microsoft.com/office/drawing/2014/main" id="{B282EBD7-7A7C-67C4-1BA0-A831D01097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76" name="Group 513">
            <a:extLst>
              <a:ext uri="{FF2B5EF4-FFF2-40B4-BE49-F238E27FC236}">
                <a16:creationId xmlns:a16="http://schemas.microsoft.com/office/drawing/2014/main" id="{80B61BFF-716C-5B4C-E5A9-80B73E472A21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77" name="Rectangle 514">
              <a:extLst>
                <a:ext uri="{FF2B5EF4-FFF2-40B4-BE49-F238E27FC236}">
                  <a16:creationId xmlns:a16="http://schemas.microsoft.com/office/drawing/2014/main" id="{7EB50C9E-A316-4BAB-AAE4-6F93A7BF1B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78" name="Line 515">
              <a:extLst>
                <a:ext uri="{FF2B5EF4-FFF2-40B4-BE49-F238E27FC236}">
                  <a16:creationId xmlns:a16="http://schemas.microsoft.com/office/drawing/2014/main" id="{23A3B158-0475-23F2-B097-CBADC2734B9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79" name="Line 516">
              <a:extLst>
                <a:ext uri="{FF2B5EF4-FFF2-40B4-BE49-F238E27FC236}">
                  <a16:creationId xmlns:a16="http://schemas.microsoft.com/office/drawing/2014/main" id="{C0502C64-2CF2-505C-59B1-F90AC1A1A89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80" name="Rectangle 517">
              <a:extLst>
                <a:ext uri="{FF2B5EF4-FFF2-40B4-BE49-F238E27FC236}">
                  <a16:creationId xmlns:a16="http://schemas.microsoft.com/office/drawing/2014/main" id="{85FC6BC8-FB99-6C16-CAC1-DEAB8C839A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1" name="Oval 518">
              <a:extLst>
                <a:ext uri="{FF2B5EF4-FFF2-40B4-BE49-F238E27FC236}">
                  <a16:creationId xmlns:a16="http://schemas.microsoft.com/office/drawing/2014/main" id="{6614F7F1-C146-CB45-4809-9DD3572699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82" name="Oval 519">
              <a:extLst>
                <a:ext uri="{FF2B5EF4-FFF2-40B4-BE49-F238E27FC236}">
                  <a16:creationId xmlns:a16="http://schemas.microsoft.com/office/drawing/2014/main" id="{F81C7AFB-F556-8894-8167-C0355B3CE0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83" name="Rectangle 520">
              <a:extLst>
                <a:ext uri="{FF2B5EF4-FFF2-40B4-BE49-F238E27FC236}">
                  <a16:creationId xmlns:a16="http://schemas.microsoft.com/office/drawing/2014/main" id="{7101C1F4-3F9F-6536-F940-EF8DAEF65E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4" name="Rectangle 521">
              <a:extLst>
                <a:ext uri="{FF2B5EF4-FFF2-40B4-BE49-F238E27FC236}">
                  <a16:creationId xmlns:a16="http://schemas.microsoft.com/office/drawing/2014/main" id="{BE0F1BEE-94C3-553D-175C-AE08D26A06D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5" name="Rectangle 522">
              <a:extLst>
                <a:ext uri="{FF2B5EF4-FFF2-40B4-BE49-F238E27FC236}">
                  <a16:creationId xmlns:a16="http://schemas.microsoft.com/office/drawing/2014/main" id="{F34FE98D-D0BA-943A-D42C-C5EFFEC11F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86" name="Rectangle 523">
              <a:extLst>
                <a:ext uri="{FF2B5EF4-FFF2-40B4-BE49-F238E27FC236}">
                  <a16:creationId xmlns:a16="http://schemas.microsoft.com/office/drawing/2014/main" id="{DDC82EAC-0F3A-AF1F-D561-38096750A9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8" name="Group 524">
          <a:extLst>
            <a:ext uri="{FF2B5EF4-FFF2-40B4-BE49-F238E27FC236}">
              <a16:creationId xmlns:a16="http://schemas.microsoft.com/office/drawing/2014/main" id="{70E960D3-7B8B-1CA1-497D-E9E4600142F6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381000"/>
          <a:chOff x="335" y="195"/>
          <a:chExt cx="352" cy="282"/>
        </a:xfrm>
      </xdr:grpSpPr>
      <xdr:grpSp>
        <xdr:nvGrpSpPr>
          <xdr:cNvPr id="531753" name="Group 525">
            <a:extLst>
              <a:ext uri="{FF2B5EF4-FFF2-40B4-BE49-F238E27FC236}">
                <a16:creationId xmlns:a16="http://schemas.microsoft.com/office/drawing/2014/main" id="{D63E32CA-F226-D936-C02B-DA715383CC14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765" name="Rectangle 526">
              <a:extLst>
                <a:ext uri="{FF2B5EF4-FFF2-40B4-BE49-F238E27FC236}">
                  <a16:creationId xmlns:a16="http://schemas.microsoft.com/office/drawing/2014/main" id="{40724C3E-DA9E-364E-4F59-712F41E788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6" name="Line 527">
              <a:extLst>
                <a:ext uri="{FF2B5EF4-FFF2-40B4-BE49-F238E27FC236}">
                  <a16:creationId xmlns:a16="http://schemas.microsoft.com/office/drawing/2014/main" id="{6658605A-3B35-C775-BA34-50DA1836BC1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67" name="Line 528">
              <a:extLst>
                <a:ext uri="{FF2B5EF4-FFF2-40B4-BE49-F238E27FC236}">
                  <a16:creationId xmlns:a16="http://schemas.microsoft.com/office/drawing/2014/main" id="{80E42C67-F66A-892A-6AD9-E2A25CF4577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68" name="Rectangle 529">
              <a:extLst>
                <a:ext uri="{FF2B5EF4-FFF2-40B4-BE49-F238E27FC236}">
                  <a16:creationId xmlns:a16="http://schemas.microsoft.com/office/drawing/2014/main" id="{78E898DE-3D11-1860-5548-29746FEC61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9" name="Oval 530">
              <a:extLst>
                <a:ext uri="{FF2B5EF4-FFF2-40B4-BE49-F238E27FC236}">
                  <a16:creationId xmlns:a16="http://schemas.microsoft.com/office/drawing/2014/main" id="{F4F74765-3B0A-2671-68B9-8E9C565321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70" name="Oval 531">
              <a:extLst>
                <a:ext uri="{FF2B5EF4-FFF2-40B4-BE49-F238E27FC236}">
                  <a16:creationId xmlns:a16="http://schemas.microsoft.com/office/drawing/2014/main" id="{FD5A8A99-DFB4-86BB-945D-0169C43AC9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71" name="Rectangle 532">
              <a:extLst>
                <a:ext uri="{FF2B5EF4-FFF2-40B4-BE49-F238E27FC236}">
                  <a16:creationId xmlns:a16="http://schemas.microsoft.com/office/drawing/2014/main" id="{5374CCFB-0261-C239-AD06-82FB93A147A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72" name="Rectangle 533">
              <a:extLst>
                <a:ext uri="{FF2B5EF4-FFF2-40B4-BE49-F238E27FC236}">
                  <a16:creationId xmlns:a16="http://schemas.microsoft.com/office/drawing/2014/main" id="{BBC85766-42E3-A12F-1B29-E11A351D27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73" name="Rectangle 534">
              <a:extLst>
                <a:ext uri="{FF2B5EF4-FFF2-40B4-BE49-F238E27FC236}">
                  <a16:creationId xmlns:a16="http://schemas.microsoft.com/office/drawing/2014/main" id="{EBDBD08D-714F-945B-D187-0920F6A35F7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74" name="Rectangle 535">
              <a:extLst>
                <a:ext uri="{FF2B5EF4-FFF2-40B4-BE49-F238E27FC236}">
                  <a16:creationId xmlns:a16="http://schemas.microsoft.com/office/drawing/2014/main" id="{3B1313D4-3C1A-227A-794C-17E7724745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54" name="Group 536">
            <a:extLst>
              <a:ext uri="{FF2B5EF4-FFF2-40B4-BE49-F238E27FC236}">
                <a16:creationId xmlns:a16="http://schemas.microsoft.com/office/drawing/2014/main" id="{91E64EDF-F482-CEB2-FA20-579D1446D664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55" name="Rectangle 537">
              <a:extLst>
                <a:ext uri="{FF2B5EF4-FFF2-40B4-BE49-F238E27FC236}">
                  <a16:creationId xmlns:a16="http://schemas.microsoft.com/office/drawing/2014/main" id="{0A5388F6-0194-9F72-97F8-57A7007EC8E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6" name="Line 538">
              <a:extLst>
                <a:ext uri="{FF2B5EF4-FFF2-40B4-BE49-F238E27FC236}">
                  <a16:creationId xmlns:a16="http://schemas.microsoft.com/office/drawing/2014/main" id="{518839E8-69B7-4EBD-D415-EAC5623805A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57" name="Line 539">
              <a:extLst>
                <a:ext uri="{FF2B5EF4-FFF2-40B4-BE49-F238E27FC236}">
                  <a16:creationId xmlns:a16="http://schemas.microsoft.com/office/drawing/2014/main" id="{0BEA1EAC-5660-A7A5-CF1E-E67E16FA065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58" name="Rectangle 540">
              <a:extLst>
                <a:ext uri="{FF2B5EF4-FFF2-40B4-BE49-F238E27FC236}">
                  <a16:creationId xmlns:a16="http://schemas.microsoft.com/office/drawing/2014/main" id="{1014D74C-A903-45D0-714E-A1EF401A36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9" name="Oval 541">
              <a:extLst>
                <a:ext uri="{FF2B5EF4-FFF2-40B4-BE49-F238E27FC236}">
                  <a16:creationId xmlns:a16="http://schemas.microsoft.com/office/drawing/2014/main" id="{08126147-B270-0784-E7BA-D169369B3B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60" name="Oval 542">
              <a:extLst>
                <a:ext uri="{FF2B5EF4-FFF2-40B4-BE49-F238E27FC236}">
                  <a16:creationId xmlns:a16="http://schemas.microsoft.com/office/drawing/2014/main" id="{4DC22135-F197-654D-8857-2F98FBE321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61" name="Rectangle 543">
              <a:extLst>
                <a:ext uri="{FF2B5EF4-FFF2-40B4-BE49-F238E27FC236}">
                  <a16:creationId xmlns:a16="http://schemas.microsoft.com/office/drawing/2014/main" id="{1109D11E-C2BC-F5ED-BC6B-E728E52BD79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2" name="Rectangle 544">
              <a:extLst>
                <a:ext uri="{FF2B5EF4-FFF2-40B4-BE49-F238E27FC236}">
                  <a16:creationId xmlns:a16="http://schemas.microsoft.com/office/drawing/2014/main" id="{BE3BB837-BA0E-0789-1E03-4294510EAF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3" name="Rectangle 545">
              <a:extLst>
                <a:ext uri="{FF2B5EF4-FFF2-40B4-BE49-F238E27FC236}">
                  <a16:creationId xmlns:a16="http://schemas.microsoft.com/office/drawing/2014/main" id="{4BA5632D-2628-E673-9EB4-CFE3993D56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64" name="Rectangle 546">
              <a:extLst>
                <a:ext uri="{FF2B5EF4-FFF2-40B4-BE49-F238E27FC236}">
                  <a16:creationId xmlns:a16="http://schemas.microsoft.com/office/drawing/2014/main" id="{D4633E7E-73D1-4030-45D8-54E253BC62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19" name="Group 547">
          <a:extLst>
            <a:ext uri="{FF2B5EF4-FFF2-40B4-BE49-F238E27FC236}">
              <a16:creationId xmlns:a16="http://schemas.microsoft.com/office/drawing/2014/main" id="{2E24A18D-0B43-790C-214E-3624DE1256E5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381000"/>
          <a:chOff x="335" y="195"/>
          <a:chExt cx="352" cy="282"/>
        </a:xfrm>
      </xdr:grpSpPr>
      <xdr:grpSp>
        <xdr:nvGrpSpPr>
          <xdr:cNvPr id="531731" name="Group 548">
            <a:extLst>
              <a:ext uri="{FF2B5EF4-FFF2-40B4-BE49-F238E27FC236}">
                <a16:creationId xmlns:a16="http://schemas.microsoft.com/office/drawing/2014/main" id="{DA828FAC-C9FC-AFAA-D926-876E9951C8C5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743" name="Rectangle 549">
              <a:extLst>
                <a:ext uri="{FF2B5EF4-FFF2-40B4-BE49-F238E27FC236}">
                  <a16:creationId xmlns:a16="http://schemas.microsoft.com/office/drawing/2014/main" id="{5B56EBA5-4CF3-F81D-5B49-2942215399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4" name="Line 550">
              <a:extLst>
                <a:ext uri="{FF2B5EF4-FFF2-40B4-BE49-F238E27FC236}">
                  <a16:creationId xmlns:a16="http://schemas.microsoft.com/office/drawing/2014/main" id="{29723179-5277-561A-29B2-E00A62631A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45" name="Line 551">
              <a:extLst>
                <a:ext uri="{FF2B5EF4-FFF2-40B4-BE49-F238E27FC236}">
                  <a16:creationId xmlns:a16="http://schemas.microsoft.com/office/drawing/2014/main" id="{1B2A5315-5715-5790-EC7E-5105998541C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46" name="Rectangle 552">
              <a:extLst>
                <a:ext uri="{FF2B5EF4-FFF2-40B4-BE49-F238E27FC236}">
                  <a16:creationId xmlns:a16="http://schemas.microsoft.com/office/drawing/2014/main" id="{D0098FE5-E88F-98D1-9818-EF08D79AB2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7" name="Oval 553">
              <a:extLst>
                <a:ext uri="{FF2B5EF4-FFF2-40B4-BE49-F238E27FC236}">
                  <a16:creationId xmlns:a16="http://schemas.microsoft.com/office/drawing/2014/main" id="{FB877376-375F-EB4A-B780-320FCDEEFC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48" name="Oval 554">
              <a:extLst>
                <a:ext uri="{FF2B5EF4-FFF2-40B4-BE49-F238E27FC236}">
                  <a16:creationId xmlns:a16="http://schemas.microsoft.com/office/drawing/2014/main" id="{97E0CCE5-E111-5303-69C2-249CE21F96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49" name="Rectangle 555">
              <a:extLst>
                <a:ext uri="{FF2B5EF4-FFF2-40B4-BE49-F238E27FC236}">
                  <a16:creationId xmlns:a16="http://schemas.microsoft.com/office/drawing/2014/main" id="{84F5E51C-267E-BE1A-B911-CB8AD22232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0" name="Rectangle 556">
              <a:extLst>
                <a:ext uri="{FF2B5EF4-FFF2-40B4-BE49-F238E27FC236}">
                  <a16:creationId xmlns:a16="http://schemas.microsoft.com/office/drawing/2014/main" id="{A1C19DC2-0C3C-CDBF-6653-BA8093337D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1" name="Rectangle 557">
              <a:extLst>
                <a:ext uri="{FF2B5EF4-FFF2-40B4-BE49-F238E27FC236}">
                  <a16:creationId xmlns:a16="http://schemas.microsoft.com/office/drawing/2014/main" id="{B9E9AEDE-806C-F168-CADA-ABF36BCB83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52" name="Rectangle 558">
              <a:extLst>
                <a:ext uri="{FF2B5EF4-FFF2-40B4-BE49-F238E27FC236}">
                  <a16:creationId xmlns:a16="http://schemas.microsoft.com/office/drawing/2014/main" id="{9D35C715-0517-9853-F998-5997EE1AE6B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32" name="Group 559">
            <a:extLst>
              <a:ext uri="{FF2B5EF4-FFF2-40B4-BE49-F238E27FC236}">
                <a16:creationId xmlns:a16="http://schemas.microsoft.com/office/drawing/2014/main" id="{13A6A382-29A9-5C0F-A521-8935BBF05986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33" name="Rectangle 560">
              <a:extLst>
                <a:ext uri="{FF2B5EF4-FFF2-40B4-BE49-F238E27FC236}">
                  <a16:creationId xmlns:a16="http://schemas.microsoft.com/office/drawing/2014/main" id="{091EE0A6-6F17-AEEE-BFD8-CAF45671C0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34" name="Line 561">
              <a:extLst>
                <a:ext uri="{FF2B5EF4-FFF2-40B4-BE49-F238E27FC236}">
                  <a16:creationId xmlns:a16="http://schemas.microsoft.com/office/drawing/2014/main" id="{B6B9831F-70C3-47F6-2FA4-4352CED0E3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35" name="Line 562">
              <a:extLst>
                <a:ext uri="{FF2B5EF4-FFF2-40B4-BE49-F238E27FC236}">
                  <a16:creationId xmlns:a16="http://schemas.microsoft.com/office/drawing/2014/main" id="{5D30F035-F15E-7E4A-8B31-F3F946BA331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36" name="Rectangle 563">
              <a:extLst>
                <a:ext uri="{FF2B5EF4-FFF2-40B4-BE49-F238E27FC236}">
                  <a16:creationId xmlns:a16="http://schemas.microsoft.com/office/drawing/2014/main" id="{8C9EE2F3-F69F-FE4C-6620-06410D23AD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37" name="Oval 564">
              <a:extLst>
                <a:ext uri="{FF2B5EF4-FFF2-40B4-BE49-F238E27FC236}">
                  <a16:creationId xmlns:a16="http://schemas.microsoft.com/office/drawing/2014/main" id="{8D4042A3-6835-F982-878E-9D25A367BB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38" name="Oval 565">
              <a:extLst>
                <a:ext uri="{FF2B5EF4-FFF2-40B4-BE49-F238E27FC236}">
                  <a16:creationId xmlns:a16="http://schemas.microsoft.com/office/drawing/2014/main" id="{CBDA6317-D349-BDE0-31EF-E2AF3C899DA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39" name="Rectangle 566">
              <a:extLst>
                <a:ext uri="{FF2B5EF4-FFF2-40B4-BE49-F238E27FC236}">
                  <a16:creationId xmlns:a16="http://schemas.microsoft.com/office/drawing/2014/main" id="{8F9FF66A-95B9-C16C-2ADF-74AEC64156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0" name="Rectangle 567">
              <a:extLst>
                <a:ext uri="{FF2B5EF4-FFF2-40B4-BE49-F238E27FC236}">
                  <a16:creationId xmlns:a16="http://schemas.microsoft.com/office/drawing/2014/main" id="{A45431CF-1575-0FD2-4844-010F0E16BE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1" name="Rectangle 568">
              <a:extLst>
                <a:ext uri="{FF2B5EF4-FFF2-40B4-BE49-F238E27FC236}">
                  <a16:creationId xmlns:a16="http://schemas.microsoft.com/office/drawing/2014/main" id="{B7B0F996-8C25-9EAE-FE26-C9313D2B2EA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42" name="Rectangle 569">
              <a:extLst>
                <a:ext uri="{FF2B5EF4-FFF2-40B4-BE49-F238E27FC236}">
                  <a16:creationId xmlns:a16="http://schemas.microsoft.com/office/drawing/2014/main" id="{54CC5CA9-CF8C-B231-24B7-6A4203910E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20" name="Group 570">
          <a:extLst>
            <a:ext uri="{FF2B5EF4-FFF2-40B4-BE49-F238E27FC236}">
              <a16:creationId xmlns:a16="http://schemas.microsoft.com/office/drawing/2014/main" id="{ECC5598A-5AA1-2A37-FA9C-E3AC57E0D32A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381000"/>
          <a:chOff x="335" y="195"/>
          <a:chExt cx="352" cy="282"/>
        </a:xfrm>
      </xdr:grpSpPr>
      <xdr:grpSp>
        <xdr:nvGrpSpPr>
          <xdr:cNvPr id="531709" name="Group 571">
            <a:extLst>
              <a:ext uri="{FF2B5EF4-FFF2-40B4-BE49-F238E27FC236}">
                <a16:creationId xmlns:a16="http://schemas.microsoft.com/office/drawing/2014/main" id="{E1C4DB31-5DEB-5B1F-B90E-76A1C6B0E68C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721" name="Rectangle 572">
              <a:extLst>
                <a:ext uri="{FF2B5EF4-FFF2-40B4-BE49-F238E27FC236}">
                  <a16:creationId xmlns:a16="http://schemas.microsoft.com/office/drawing/2014/main" id="{71FE2BB0-B6CF-2378-8985-928B3D9A6D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2" name="Line 573">
              <a:extLst>
                <a:ext uri="{FF2B5EF4-FFF2-40B4-BE49-F238E27FC236}">
                  <a16:creationId xmlns:a16="http://schemas.microsoft.com/office/drawing/2014/main" id="{4EC3DF90-EB99-8E3F-7C64-33B028349C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23" name="Line 574">
              <a:extLst>
                <a:ext uri="{FF2B5EF4-FFF2-40B4-BE49-F238E27FC236}">
                  <a16:creationId xmlns:a16="http://schemas.microsoft.com/office/drawing/2014/main" id="{1E9CEBBB-B232-5172-14A2-FB13425F7A3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24" name="Rectangle 575">
              <a:extLst>
                <a:ext uri="{FF2B5EF4-FFF2-40B4-BE49-F238E27FC236}">
                  <a16:creationId xmlns:a16="http://schemas.microsoft.com/office/drawing/2014/main" id="{6886DB45-030D-9F02-384C-22419E45DD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5" name="Oval 576">
              <a:extLst>
                <a:ext uri="{FF2B5EF4-FFF2-40B4-BE49-F238E27FC236}">
                  <a16:creationId xmlns:a16="http://schemas.microsoft.com/office/drawing/2014/main" id="{F91655B8-8AAE-DBAF-0D65-A90D9291E74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26" name="Oval 577">
              <a:extLst>
                <a:ext uri="{FF2B5EF4-FFF2-40B4-BE49-F238E27FC236}">
                  <a16:creationId xmlns:a16="http://schemas.microsoft.com/office/drawing/2014/main" id="{801B6B95-75E1-17BD-9341-B8190D800C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27" name="Rectangle 578">
              <a:extLst>
                <a:ext uri="{FF2B5EF4-FFF2-40B4-BE49-F238E27FC236}">
                  <a16:creationId xmlns:a16="http://schemas.microsoft.com/office/drawing/2014/main" id="{BB0EDEDD-60C3-825C-018E-D9FC0CD7C9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8" name="Rectangle 579">
              <a:extLst>
                <a:ext uri="{FF2B5EF4-FFF2-40B4-BE49-F238E27FC236}">
                  <a16:creationId xmlns:a16="http://schemas.microsoft.com/office/drawing/2014/main" id="{41344E36-AA8D-935A-09BB-621A9F9863A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9" name="Rectangle 580">
              <a:extLst>
                <a:ext uri="{FF2B5EF4-FFF2-40B4-BE49-F238E27FC236}">
                  <a16:creationId xmlns:a16="http://schemas.microsoft.com/office/drawing/2014/main" id="{487F233E-DFA8-47BC-D801-36A4188639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30" name="Rectangle 581">
              <a:extLst>
                <a:ext uri="{FF2B5EF4-FFF2-40B4-BE49-F238E27FC236}">
                  <a16:creationId xmlns:a16="http://schemas.microsoft.com/office/drawing/2014/main" id="{43C41638-6765-8111-F67D-75EEC8E4960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710" name="Group 582">
            <a:extLst>
              <a:ext uri="{FF2B5EF4-FFF2-40B4-BE49-F238E27FC236}">
                <a16:creationId xmlns:a16="http://schemas.microsoft.com/office/drawing/2014/main" id="{74DE5DB3-E5E1-D387-6137-C9757F835598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711" name="Rectangle 583">
              <a:extLst>
                <a:ext uri="{FF2B5EF4-FFF2-40B4-BE49-F238E27FC236}">
                  <a16:creationId xmlns:a16="http://schemas.microsoft.com/office/drawing/2014/main" id="{DF293FD3-AF0C-A8E1-6EC9-98BB8AD97F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12" name="Line 584">
              <a:extLst>
                <a:ext uri="{FF2B5EF4-FFF2-40B4-BE49-F238E27FC236}">
                  <a16:creationId xmlns:a16="http://schemas.microsoft.com/office/drawing/2014/main" id="{26062419-F0B8-D951-21AA-A829F06901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13" name="Line 585">
              <a:extLst>
                <a:ext uri="{FF2B5EF4-FFF2-40B4-BE49-F238E27FC236}">
                  <a16:creationId xmlns:a16="http://schemas.microsoft.com/office/drawing/2014/main" id="{24622606-4A63-952A-5A5C-6924D134135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14" name="Rectangle 586">
              <a:extLst>
                <a:ext uri="{FF2B5EF4-FFF2-40B4-BE49-F238E27FC236}">
                  <a16:creationId xmlns:a16="http://schemas.microsoft.com/office/drawing/2014/main" id="{8D736F33-3E35-90E9-C1BC-9A844E764A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15" name="Oval 587">
              <a:extLst>
                <a:ext uri="{FF2B5EF4-FFF2-40B4-BE49-F238E27FC236}">
                  <a16:creationId xmlns:a16="http://schemas.microsoft.com/office/drawing/2014/main" id="{1ACCF3DA-460C-F310-85E2-EFD3ACF320A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16" name="Oval 588">
              <a:extLst>
                <a:ext uri="{FF2B5EF4-FFF2-40B4-BE49-F238E27FC236}">
                  <a16:creationId xmlns:a16="http://schemas.microsoft.com/office/drawing/2014/main" id="{6BEBD90F-A91C-51E3-68B6-2F0044FD96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17" name="Rectangle 589">
              <a:extLst>
                <a:ext uri="{FF2B5EF4-FFF2-40B4-BE49-F238E27FC236}">
                  <a16:creationId xmlns:a16="http://schemas.microsoft.com/office/drawing/2014/main" id="{C117FF93-6630-45CE-18CA-95A3A51504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18" name="Rectangle 590">
              <a:extLst>
                <a:ext uri="{FF2B5EF4-FFF2-40B4-BE49-F238E27FC236}">
                  <a16:creationId xmlns:a16="http://schemas.microsoft.com/office/drawing/2014/main" id="{C9E38660-A322-C7AC-DB75-25224C71D1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19" name="Rectangle 591">
              <a:extLst>
                <a:ext uri="{FF2B5EF4-FFF2-40B4-BE49-F238E27FC236}">
                  <a16:creationId xmlns:a16="http://schemas.microsoft.com/office/drawing/2014/main" id="{83ED790A-DB34-3246-D7C7-55A3CDAD468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20" name="Rectangle 592">
              <a:extLst>
                <a:ext uri="{FF2B5EF4-FFF2-40B4-BE49-F238E27FC236}">
                  <a16:creationId xmlns:a16="http://schemas.microsoft.com/office/drawing/2014/main" id="{5D75453C-972A-2AB4-35CB-64DCAAC2E2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2</xdr:row>
      <xdr:rowOff>541020</xdr:rowOff>
    </xdr:to>
    <xdr:grpSp>
      <xdr:nvGrpSpPr>
        <xdr:cNvPr id="526821" name="Group 593">
          <a:extLst>
            <a:ext uri="{FF2B5EF4-FFF2-40B4-BE49-F238E27FC236}">
              <a16:creationId xmlns:a16="http://schemas.microsoft.com/office/drawing/2014/main" id="{ACD88BC0-753B-37F5-3648-1970313F8380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381000"/>
          <a:chOff x="335" y="195"/>
          <a:chExt cx="352" cy="282"/>
        </a:xfrm>
      </xdr:grpSpPr>
      <xdr:grpSp>
        <xdr:nvGrpSpPr>
          <xdr:cNvPr id="531687" name="Group 594">
            <a:extLst>
              <a:ext uri="{FF2B5EF4-FFF2-40B4-BE49-F238E27FC236}">
                <a16:creationId xmlns:a16="http://schemas.microsoft.com/office/drawing/2014/main" id="{ED113E73-0FA4-6010-53C8-FB9E81BC269C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699" name="Rectangle 595">
              <a:extLst>
                <a:ext uri="{FF2B5EF4-FFF2-40B4-BE49-F238E27FC236}">
                  <a16:creationId xmlns:a16="http://schemas.microsoft.com/office/drawing/2014/main" id="{2668E19C-2593-AAC5-DD83-DD10E253C7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0" name="Line 596">
              <a:extLst>
                <a:ext uri="{FF2B5EF4-FFF2-40B4-BE49-F238E27FC236}">
                  <a16:creationId xmlns:a16="http://schemas.microsoft.com/office/drawing/2014/main" id="{1065BB6E-2EC2-F152-3A54-9AA13CBD288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01" name="Line 597">
              <a:extLst>
                <a:ext uri="{FF2B5EF4-FFF2-40B4-BE49-F238E27FC236}">
                  <a16:creationId xmlns:a16="http://schemas.microsoft.com/office/drawing/2014/main" id="{89654018-BE7B-B62C-F388-5BC51F182CD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702" name="Rectangle 598">
              <a:extLst>
                <a:ext uri="{FF2B5EF4-FFF2-40B4-BE49-F238E27FC236}">
                  <a16:creationId xmlns:a16="http://schemas.microsoft.com/office/drawing/2014/main" id="{A26FA2CC-3D8C-DD17-D7E2-D3AD7EBAFB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3" name="Oval 599">
              <a:extLst>
                <a:ext uri="{FF2B5EF4-FFF2-40B4-BE49-F238E27FC236}">
                  <a16:creationId xmlns:a16="http://schemas.microsoft.com/office/drawing/2014/main" id="{21F8AB87-D8C4-93F1-C662-AC6B252533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04" name="Oval 600">
              <a:extLst>
                <a:ext uri="{FF2B5EF4-FFF2-40B4-BE49-F238E27FC236}">
                  <a16:creationId xmlns:a16="http://schemas.microsoft.com/office/drawing/2014/main" id="{B54C285D-1C36-622C-A361-D58F6768C0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705" name="Rectangle 601">
              <a:extLst>
                <a:ext uri="{FF2B5EF4-FFF2-40B4-BE49-F238E27FC236}">
                  <a16:creationId xmlns:a16="http://schemas.microsoft.com/office/drawing/2014/main" id="{65529136-8150-111A-1860-014ADBBAD7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6" name="Rectangle 602">
              <a:extLst>
                <a:ext uri="{FF2B5EF4-FFF2-40B4-BE49-F238E27FC236}">
                  <a16:creationId xmlns:a16="http://schemas.microsoft.com/office/drawing/2014/main" id="{5AE788C3-C680-A23C-F967-14FAFA2919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7" name="Rectangle 603">
              <a:extLst>
                <a:ext uri="{FF2B5EF4-FFF2-40B4-BE49-F238E27FC236}">
                  <a16:creationId xmlns:a16="http://schemas.microsoft.com/office/drawing/2014/main" id="{D2057CEC-1B24-BD80-7809-D0DEAC83138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708" name="Rectangle 604">
              <a:extLst>
                <a:ext uri="{FF2B5EF4-FFF2-40B4-BE49-F238E27FC236}">
                  <a16:creationId xmlns:a16="http://schemas.microsoft.com/office/drawing/2014/main" id="{AA97127C-5D46-AD18-7327-FAB1B5E93F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688" name="Group 605">
            <a:extLst>
              <a:ext uri="{FF2B5EF4-FFF2-40B4-BE49-F238E27FC236}">
                <a16:creationId xmlns:a16="http://schemas.microsoft.com/office/drawing/2014/main" id="{0C3133FC-004A-B8CD-78B9-6AA418962CAC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689" name="Rectangle 606">
              <a:extLst>
                <a:ext uri="{FF2B5EF4-FFF2-40B4-BE49-F238E27FC236}">
                  <a16:creationId xmlns:a16="http://schemas.microsoft.com/office/drawing/2014/main" id="{D00A2309-9E14-749A-4796-DAAFACD533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0" name="Line 607">
              <a:extLst>
                <a:ext uri="{FF2B5EF4-FFF2-40B4-BE49-F238E27FC236}">
                  <a16:creationId xmlns:a16="http://schemas.microsoft.com/office/drawing/2014/main" id="{8B1A05B2-E12A-F295-72A5-5F277AA03C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91" name="Line 608">
              <a:extLst>
                <a:ext uri="{FF2B5EF4-FFF2-40B4-BE49-F238E27FC236}">
                  <a16:creationId xmlns:a16="http://schemas.microsoft.com/office/drawing/2014/main" id="{100D22E9-E074-5E63-32B2-2B5DAD0FE68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92" name="Rectangle 609">
              <a:extLst>
                <a:ext uri="{FF2B5EF4-FFF2-40B4-BE49-F238E27FC236}">
                  <a16:creationId xmlns:a16="http://schemas.microsoft.com/office/drawing/2014/main" id="{33E1FA58-A664-0837-980E-89A0F4CD3B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3" name="Oval 610">
              <a:extLst>
                <a:ext uri="{FF2B5EF4-FFF2-40B4-BE49-F238E27FC236}">
                  <a16:creationId xmlns:a16="http://schemas.microsoft.com/office/drawing/2014/main" id="{F9B8531B-80AC-8978-531F-C460F6B039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94" name="Oval 611">
              <a:extLst>
                <a:ext uri="{FF2B5EF4-FFF2-40B4-BE49-F238E27FC236}">
                  <a16:creationId xmlns:a16="http://schemas.microsoft.com/office/drawing/2014/main" id="{8A404AFF-92C3-AC4E-550F-350FC5FB91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95" name="Rectangle 612">
              <a:extLst>
                <a:ext uri="{FF2B5EF4-FFF2-40B4-BE49-F238E27FC236}">
                  <a16:creationId xmlns:a16="http://schemas.microsoft.com/office/drawing/2014/main" id="{A297CEA1-BBBE-8D29-7021-980CC5E802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6" name="Rectangle 613">
              <a:extLst>
                <a:ext uri="{FF2B5EF4-FFF2-40B4-BE49-F238E27FC236}">
                  <a16:creationId xmlns:a16="http://schemas.microsoft.com/office/drawing/2014/main" id="{42BC2D18-E9DB-71DF-A0C1-5C6940C305F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7" name="Rectangle 614">
              <a:extLst>
                <a:ext uri="{FF2B5EF4-FFF2-40B4-BE49-F238E27FC236}">
                  <a16:creationId xmlns:a16="http://schemas.microsoft.com/office/drawing/2014/main" id="{9B230D81-D08D-965C-66EB-213EF3DE5D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98" name="Rectangle 615">
              <a:extLst>
                <a:ext uri="{FF2B5EF4-FFF2-40B4-BE49-F238E27FC236}">
                  <a16:creationId xmlns:a16="http://schemas.microsoft.com/office/drawing/2014/main" id="{67E1394E-0E9E-8446-4113-C2BBBA71661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2" name="Group 616">
          <a:extLst>
            <a:ext uri="{FF2B5EF4-FFF2-40B4-BE49-F238E27FC236}">
              <a16:creationId xmlns:a16="http://schemas.microsoft.com/office/drawing/2014/main" id="{B42BC495-40C3-7484-F52D-4BEBE938A725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664" name="Rectangle 617">
            <a:extLst>
              <a:ext uri="{FF2B5EF4-FFF2-40B4-BE49-F238E27FC236}">
                <a16:creationId xmlns:a16="http://schemas.microsoft.com/office/drawing/2014/main" id="{6D945439-0E3F-6C01-47FC-6FCA6E93C25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65" name="Line 618">
            <a:extLst>
              <a:ext uri="{FF2B5EF4-FFF2-40B4-BE49-F238E27FC236}">
                <a16:creationId xmlns:a16="http://schemas.microsoft.com/office/drawing/2014/main" id="{F00F6545-3925-A70F-8728-C5D836DD8ED7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66" name="Line 619">
            <a:extLst>
              <a:ext uri="{FF2B5EF4-FFF2-40B4-BE49-F238E27FC236}">
                <a16:creationId xmlns:a16="http://schemas.microsoft.com/office/drawing/2014/main" id="{69F8621E-C19B-1C90-62FB-26DF178B16C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67" name="Rectangle 620">
            <a:extLst>
              <a:ext uri="{FF2B5EF4-FFF2-40B4-BE49-F238E27FC236}">
                <a16:creationId xmlns:a16="http://schemas.microsoft.com/office/drawing/2014/main" id="{7E7061CD-A82B-B4BC-AB16-D94DDA70E66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68" name="Oval 621">
            <a:extLst>
              <a:ext uri="{FF2B5EF4-FFF2-40B4-BE49-F238E27FC236}">
                <a16:creationId xmlns:a16="http://schemas.microsoft.com/office/drawing/2014/main" id="{84BDE8E9-BABA-3AB6-3CBF-282F138F941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69" name="Oval 622">
            <a:extLst>
              <a:ext uri="{FF2B5EF4-FFF2-40B4-BE49-F238E27FC236}">
                <a16:creationId xmlns:a16="http://schemas.microsoft.com/office/drawing/2014/main" id="{BFCB3287-ACEF-201F-722E-BA7710CE397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70" name="Rectangle 623">
            <a:extLst>
              <a:ext uri="{FF2B5EF4-FFF2-40B4-BE49-F238E27FC236}">
                <a16:creationId xmlns:a16="http://schemas.microsoft.com/office/drawing/2014/main" id="{03C9CA96-CA22-F097-DCF2-94CE0AB79CC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71" name="Rectangle 624">
            <a:extLst>
              <a:ext uri="{FF2B5EF4-FFF2-40B4-BE49-F238E27FC236}">
                <a16:creationId xmlns:a16="http://schemas.microsoft.com/office/drawing/2014/main" id="{575BA7DD-BBAB-466E-6967-62FA40BD66C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72" name="Rectangle 625">
            <a:extLst>
              <a:ext uri="{FF2B5EF4-FFF2-40B4-BE49-F238E27FC236}">
                <a16:creationId xmlns:a16="http://schemas.microsoft.com/office/drawing/2014/main" id="{291A43F1-626F-26A6-2588-E4FF7EA9DFE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73" name="Rectangle 626">
            <a:extLst>
              <a:ext uri="{FF2B5EF4-FFF2-40B4-BE49-F238E27FC236}">
                <a16:creationId xmlns:a16="http://schemas.microsoft.com/office/drawing/2014/main" id="{5D25C888-D7F2-2C23-B475-68E45E5A7857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674" name="Group 627">
            <a:extLst>
              <a:ext uri="{FF2B5EF4-FFF2-40B4-BE49-F238E27FC236}">
                <a16:creationId xmlns:a16="http://schemas.microsoft.com/office/drawing/2014/main" id="{9A165854-96C3-4244-F97C-8149BC10A39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677" name="Rectangle 628">
              <a:extLst>
                <a:ext uri="{FF2B5EF4-FFF2-40B4-BE49-F238E27FC236}">
                  <a16:creationId xmlns:a16="http://schemas.microsoft.com/office/drawing/2014/main" id="{A7C2FC3B-F5F3-07BB-9EC8-8C8C059971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78" name="Line 629">
              <a:extLst>
                <a:ext uri="{FF2B5EF4-FFF2-40B4-BE49-F238E27FC236}">
                  <a16:creationId xmlns:a16="http://schemas.microsoft.com/office/drawing/2014/main" id="{E6F54D27-A834-3622-89A4-E9C2AAB4A28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79" name="Line 630">
              <a:extLst>
                <a:ext uri="{FF2B5EF4-FFF2-40B4-BE49-F238E27FC236}">
                  <a16:creationId xmlns:a16="http://schemas.microsoft.com/office/drawing/2014/main" id="{02A4BEC2-1611-1D39-5556-8E9AE537909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80" name="Rectangle 631">
              <a:extLst>
                <a:ext uri="{FF2B5EF4-FFF2-40B4-BE49-F238E27FC236}">
                  <a16:creationId xmlns:a16="http://schemas.microsoft.com/office/drawing/2014/main" id="{54019F7A-9FF6-4F38-2C55-E518E1DA31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81" name="Oval 632">
              <a:extLst>
                <a:ext uri="{FF2B5EF4-FFF2-40B4-BE49-F238E27FC236}">
                  <a16:creationId xmlns:a16="http://schemas.microsoft.com/office/drawing/2014/main" id="{CF15D7B4-27D4-4F0F-D1B6-1B91BF9FA9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82" name="Oval 633">
              <a:extLst>
                <a:ext uri="{FF2B5EF4-FFF2-40B4-BE49-F238E27FC236}">
                  <a16:creationId xmlns:a16="http://schemas.microsoft.com/office/drawing/2014/main" id="{634789CF-4243-A788-07A0-EF9949D740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83" name="Rectangle 634">
              <a:extLst>
                <a:ext uri="{FF2B5EF4-FFF2-40B4-BE49-F238E27FC236}">
                  <a16:creationId xmlns:a16="http://schemas.microsoft.com/office/drawing/2014/main" id="{2F0F1093-DE8C-8DE7-F578-857CE1FC7F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84" name="Rectangle 635">
              <a:extLst>
                <a:ext uri="{FF2B5EF4-FFF2-40B4-BE49-F238E27FC236}">
                  <a16:creationId xmlns:a16="http://schemas.microsoft.com/office/drawing/2014/main" id="{9F0785C1-BA5F-1BCA-0552-FA9E151117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85" name="Rectangle 636">
              <a:extLst>
                <a:ext uri="{FF2B5EF4-FFF2-40B4-BE49-F238E27FC236}">
                  <a16:creationId xmlns:a16="http://schemas.microsoft.com/office/drawing/2014/main" id="{4BF13C0A-1765-88C6-3372-79535C0339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86" name="Rectangle 637">
              <a:extLst>
                <a:ext uri="{FF2B5EF4-FFF2-40B4-BE49-F238E27FC236}">
                  <a16:creationId xmlns:a16="http://schemas.microsoft.com/office/drawing/2014/main" id="{90802B0A-94E1-A4FE-AD25-0EE271F779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675" name="Rectangle 638">
            <a:extLst>
              <a:ext uri="{FF2B5EF4-FFF2-40B4-BE49-F238E27FC236}">
                <a16:creationId xmlns:a16="http://schemas.microsoft.com/office/drawing/2014/main" id="{5069F588-A32D-A514-258E-7C183FE2355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76" name="Rectangle 639">
            <a:extLst>
              <a:ext uri="{FF2B5EF4-FFF2-40B4-BE49-F238E27FC236}">
                <a16:creationId xmlns:a16="http://schemas.microsoft.com/office/drawing/2014/main" id="{0F6A6D89-2170-3F80-65B8-2F13E8D98808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3" name="Group 640">
          <a:extLst>
            <a:ext uri="{FF2B5EF4-FFF2-40B4-BE49-F238E27FC236}">
              <a16:creationId xmlns:a16="http://schemas.microsoft.com/office/drawing/2014/main" id="{33013BD2-7164-FEBC-EA24-450721BF2006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641" name="Rectangle 641">
            <a:extLst>
              <a:ext uri="{FF2B5EF4-FFF2-40B4-BE49-F238E27FC236}">
                <a16:creationId xmlns:a16="http://schemas.microsoft.com/office/drawing/2014/main" id="{56944C4D-3FBB-CD24-A98E-20C2CCF4FBE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42" name="Line 642">
            <a:extLst>
              <a:ext uri="{FF2B5EF4-FFF2-40B4-BE49-F238E27FC236}">
                <a16:creationId xmlns:a16="http://schemas.microsoft.com/office/drawing/2014/main" id="{F60D543F-D589-3304-FA9C-74AB8C89DD5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43" name="Line 643">
            <a:extLst>
              <a:ext uri="{FF2B5EF4-FFF2-40B4-BE49-F238E27FC236}">
                <a16:creationId xmlns:a16="http://schemas.microsoft.com/office/drawing/2014/main" id="{40E612C1-2344-0D1D-6755-EB013B834E1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44" name="Rectangle 644">
            <a:extLst>
              <a:ext uri="{FF2B5EF4-FFF2-40B4-BE49-F238E27FC236}">
                <a16:creationId xmlns:a16="http://schemas.microsoft.com/office/drawing/2014/main" id="{4243FA33-006A-5C50-A181-871BC9B7821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45" name="Oval 645">
            <a:extLst>
              <a:ext uri="{FF2B5EF4-FFF2-40B4-BE49-F238E27FC236}">
                <a16:creationId xmlns:a16="http://schemas.microsoft.com/office/drawing/2014/main" id="{664B611A-FDD4-589C-9EA7-CE3675C11D81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46" name="Oval 646">
            <a:extLst>
              <a:ext uri="{FF2B5EF4-FFF2-40B4-BE49-F238E27FC236}">
                <a16:creationId xmlns:a16="http://schemas.microsoft.com/office/drawing/2014/main" id="{23D31ADC-A77E-3881-29EA-6918C5C4D56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47" name="Rectangle 647">
            <a:extLst>
              <a:ext uri="{FF2B5EF4-FFF2-40B4-BE49-F238E27FC236}">
                <a16:creationId xmlns:a16="http://schemas.microsoft.com/office/drawing/2014/main" id="{79D682EE-7079-A0F2-228A-290B54C4F93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48" name="Rectangle 648">
            <a:extLst>
              <a:ext uri="{FF2B5EF4-FFF2-40B4-BE49-F238E27FC236}">
                <a16:creationId xmlns:a16="http://schemas.microsoft.com/office/drawing/2014/main" id="{EAB457AF-B0E3-D9CC-52E2-4B71024571D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49" name="Rectangle 649">
            <a:extLst>
              <a:ext uri="{FF2B5EF4-FFF2-40B4-BE49-F238E27FC236}">
                <a16:creationId xmlns:a16="http://schemas.microsoft.com/office/drawing/2014/main" id="{2AB174D2-3628-5D63-BE4A-C17C9F85905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50" name="Rectangle 650">
            <a:extLst>
              <a:ext uri="{FF2B5EF4-FFF2-40B4-BE49-F238E27FC236}">
                <a16:creationId xmlns:a16="http://schemas.microsoft.com/office/drawing/2014/main" id="{6B1D1046-95D9-29B4-8309-78E7CA2CBADD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651" name="Group 651">
            <a:extLst>
              <a:ext uri="{FF2B5EF4-FFF2-40B4-BE49-F238E27FC236}">
                <a16:creationId xmlns:a16="http://schemas.microsoft.com/office/drawing/2014/main" id="{65651A00-432D-9B79-02BD-7C33683C22EC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654" name="Rectangle 652">
              <a:extLst>
                <a:ext uri="{FF2B5EF4-FFF2-40B4-BE49-F238E27FC236}">
                  <a16:creationId xmlns:a16="http://schemas.microsoft.com/office/drawing/2014/main" id="{25B0065A-8B6F-944D-F37B-CDAD50EE0C1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55" name="Line 653">
              <a:extLst>
                <a:ext uri="{FF2B5EF4-FFF2-40B4-BE49-F238E27FC236}">
                  <a16:creationId xmlns:a16="http://schemas.microsoft.com/office/drawing/2014/main" id="{DF224C5F-D927-EEB8-4948-02454E503AA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56" name="Line 654">
              <a:extLst>
                <a:ext uri="{FF2B5EF4-FFF2-40B4-BE49-F238E27FC236}">
                  <a16:creationId xmlns:a16="http://schemas.microsoft.com/office/drawing/2014/main" id="{6F54848E-BE08-0F45-DB4F-428F6B5EAFE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57" name="Rectangle 655">
              <a:extLst>
                <a:ext uri="{FF2B5EF4-FFF2-40B4-BE49-F238E27FC236}">
                  <a16:creationId xmlns:a16="http://schemas.microsoft.com/office/drawing/2014/main" id="{2E2E9EA9-BB48-9025-FCFD-6DC276AB973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58" name="Oval 656">
              <a:extLst>
                <a:ext uri="{FF2B5EF4-FFF2-40B4-BE49-F238E27FC236}">
                  <a16:creationId xmlns:a16="http://schemas.microsoft.com/office/drawing/2014/main" id="{53740E00-D324-2AC9-2DC8-A1911C9F7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59" name="Oval 657">
              <a:extLst>
                <a:ext uri="{FF2B5EF4-FFF2-40B4-BE49-F238E27FC236}">
                  <a16:creationId xmlns:a16="http://schemas.microsoft.com/office/drawing/2014/main" id="{E4E98832-559C-1B9F-854E-93802ED2F1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60" name="Rectangle 658">
              <a:extLst>
                <a:ext uri="{FF2B5EF4-FFF2-40B4-BE49-F238E27FC236}">
                  <a16:creationId xmlns:a16="http://schemas.microsoft.com/office/drawing/2014/main" id="{FF701610-99C5-BD8B-F0F0-616C2970AC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61" name="Rectangle 659">
              <a:extLst>
                <a:ext uri="{FF2B5EF4-FFF2-40B4-BE49-F238E27FC236}">
                  <a16:creationId xmlns:a16="http://schemas.microsoft.com/office/drawing/2014/main" id="{FF4E3AE2-37C6-645C-6075-F5A3A9A037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62" name="Rectangle 660">
              <a:extLst>
                <a:ext uri="{FF2B5EF4-FFF2-40B4-BE49-F238E27FC236}">
                  <a16:creationId xmlns:a16="http://schemas.microsoft.com/office/drawing/2014/main" id="{EF818C2A-AC5E-D101-566A-7CCDDD661D4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63" name="Rectangle 661">
              <a:extLst>
                <a:ext uri="{FF2B5EF4-FFF2-40B4-BE49-F238E27FC236}">
                  <a16:creationId xmlns:a16="http://schemas.microsoft.com/office/drawing/2014/main" id="{C7AF0B03-54AC-7BB0-5BA0-377A4B3801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652" name="Rectangle 662">
            <a:extLst>
              <a:ext uri="{FF2B5EF4-FFF2-40B4-BE49-F238E27FC236}">
                <a16:creationId xmlns:a16="http://schemas.microsoft.com/office/drawing/2014/main" id="{5B0D6A9D-96A0-214E-3F5D-FA58BBCF6B4F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53" name="Rectangle 663">
            <a:extLst>
              <a:ext uri="{FF2B5EF4-FFF2-40B4-BE49-F238E27FC236}">
                <a16:creationId xmlns:a16="http://schemas.microsoft.com/office/drawing/2014/main" id="{C7CCA8EA-16D7-7747-9348-5B7D6CE8F22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4" name="Group 664">
          <a:extLst>
            <a:ext uri="{FF2B5EF4-FFF2-40B4-BE49-F238E27FC236}">
              <a16:creationId xmlns:a16="http://schemas.microsoft.com/office/drawing/2014/main" id="{7BE78AD5-7CEC-B1D9-EC4C-10B030E0DE2F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618" name="Rectangle 665">
            <a:extLst>
              <a:ext uri="{FF2B5EF4-FFF2-40B4-BE49-F238E27FC236}">
                <a16:creationId xmlns:a16="http://schemas.microsoft.com/office/drawing/2014/main" id="{5DB03AAE-F854-5552-E906-F9EA5617F88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19" name="Line 666">
            <a:extLst>
              <a:ext uri="{FF2B5EF4-FFF2-40B4-BE49-F238E27FC236}">
                <a16:creationId xmlns:a16="http://schemas.microsoft.com/office/drawing/2014/main" id="{3C96A737-6528-C720-ABB7-82E5783DB32B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20" name="Line 667">
            <a:extLst>
              <a:ext uri="{FF2B5EF4-FFF2-40B4-BE49-F238E27FC236}">
                <a16:creationId xmlns:a16="http://schemas.microsoft.com/office/drawing/2014/main" id="{55CCEC2D-FEF2-7E37-6294-AF3EB10E1F85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621" name="Rectangle 668">
            <a:extLst>
              <a:ext uri="{FF2B5EF4-FFF2-40B4-BE49-F238E27FC236}">
                <a16:creationId xmlns:a16="http://schemas.microsoft.com/office/drawing/2014/main" id="{F30CCFDC-C9DF-6E1A-EA12-A88F3E4A1CE9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22" name="Oval 669">
            <a:extLst>
              <a:ext uri="{FF2B5EF4-FFF2-40B4-BE49-F238E27FC236}">
                <a16:creationId xmlns:a16="http://schemas.microsoft.com/office/drawing/2014/main" id="{C80662FC-269B-F7B0-B40F-D787E3C275D4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23" name="Oval 670">
            <a:extLst>
              <a:ext uri="{FF2B5EF4-FFF2-40B4-BE49-F238E27FC236}">
                <a16:creationId xmlns:a16="http://schemas.microsoft.com/office/drawing/2014/main" id="{A82EFD8B-F5C9-AA2F-0E2A-9B463289EF5F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24" name="Rectangle 671">
            <a:extLst>
              <a:ext uri="{FF2B5EF4-FFF2-40B4-BE49-F238E27FC236}">
                <a16:creationId xmlns:a16="http://schemas.microsoft.com/office/drawing/2014/main" id="{05DF4E1A-CFAE-0ACA-0EA1-E0B4FEBBCB2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25" name="Rectangle 672">
            <a:extLst>
              <a:ext uri="{FF2B5EF4-FFF2-40B4-BE49-F238E27FC236}">
                <a16:creationId xmlns:a16="http://schemas.microsoft.com/office/drawing/2014/main" id="{85EE1874-02E9-2AA4-03CA-EEDEE5398E49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26" name="Rectangle 673">
            <a:extLst>
              <a:ext uri="{FF2B5EF4-FFF2-40B4-BE49-F238E27FC236}">
                <a16:creationId xmlns:a16="http://schemas.microsoft.com/office/drawing/2014/main" id="{6481BF98-15C2-2B9F-4D55-4C87E411EED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27" name="Rectangle 674">
            <a:extLst>
              <a:ext uri="{FF2B5EF4-FFF2-40B4-BE49-F238E27FC236}">
                <a16:creationId xmlns:a16="http://schemas.microsoft.com/office/drawing/2014/main" id="{A0FA3801-4D89-5D03-8F4F-7BC4F6E57892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628" name="Group 675">
            <a:extLst>
              <a:ext uri="{FF2B5EF4-FFF2-40B4-BE49-F238E27FC236}">
                <a16:creationId xmlns:a16="http://schemas.microsoft.com/office/drawing/2014/main" id="{EC265F2B-CD4F-C01E-9112-07898D2B0114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631" name="Rectangle 676">
              <a:extLst>
                <a:ext uri="{FF2B5EF4-FFF2-40B4-BE49-F238E27FC236}">
                  <a16:creationId xmlns:a16="http://schemas.microsoft.com/office/drawing/2014/main" id="{158F039E-F9BE-4BFB-A1A4-F9F9DA706C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32" name="Line 677">
              <a:extLst>
                <a:ext uri="{FF2B5EF4-FFF2-40B4-BE49-F238E27FC236}">
                  <a16:creationId xmlns:a16="http://schemas.microsoft.com/office/drawing/2014/main" id="{C6B64537-B79D-5D3D-88AF-28D14E685DD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33" name="Line 678">
              <a:extLst>
                <a:ext uri="{FF2B5EF4-FFF2-40B4-BE49-F238E27FC236}">
                  <a16:creationId xmlns:a16="http://schemas.microsoft.com/office/drawing/2014/main" id="{1D014BE6-4578-74A1-BE89-9DAB9C82B41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34" name="Rectangle 679">
              <a:extLst>
                <a:ext uri="{FF2B5EF4-FFF2-40B4-BE49-F238E27FC236}">
                  <a16:creationId xmlns:a16="http://schemas.microsoft.com/office/drawing/2014/main" id="{2AB9E174-E3C9-2C00-620D-87BE7C5613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35" name="Oval 680">
              <a:extLst>
                <a:ext uri="{FF2B5EF4-FFF2-40B4-BE49-F238E27FC236}">
                  <a16:creationId xmlns:a16="http://schemas.microsoft.com/office/drawing/2014/main" id="{E4FEFE61-73C1-F078-88B6-BA0093F3E5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36" name="Oval 681">
              <a:extLst>
                <a:ext uri="{FF2B5EF4-FFF2-40B4-BE49-F238E27FC236}">
                  <a16:creationId xmlns:a16="http://schemas.microsoft.com/office/drawing/2014/main" id="{FCA2DCD5-9C93-E18D-D414-F358AAE78E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37" name="Rectangle 682">
              <a:extLst>
                <a:ext uri="{FF2B5EF4-FFF2-40B4-BE49-F238E27FC236}">
                  <a16:creationId xmlns:a16="http://schemas.microsoft.com/office/drawing/2014/main" id="{4DE286E1-0072-69B1-32C8-F6B56903E9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38" name="Rectangle 683">
              <a:extLst>
                <a:ext uri="{FF2B5EF4-FFF2-40B4-BE49-F238E27FC236}">
                  <a16:creationId xmlns:a16="http://schemas.microsoft.com/office/drawing/2014/main" id="{8756DD39-6C9B-1F65-C309-89068CE75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39" name="Rectangle 684">
              <a:extLst>
                <a:ext uri="{FF2B5EF4-FFF2-40B4-BE49-F238E27FC236}">
                  <a16:creationId xmlns:a16="http://schemas.microsoft.com/office/drawing/2014/main" id="{A595B20E-02B8-E57C-536F-849422CBEA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40" name="Rectangle 685">
              <a:extLst>
                <a:ext uri="{FF2B5EF4-FFF2-40B4-BE49-F238E27FC236}">
                  <a16:creationId xmlns:a16="http://schemas.microsoft.com/office/drawing/2014/main" id="{E507334F-D48A-3CD2-EFDF-D08F97147B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629" name="Rectangle 686">
            <a:extLst>
              <a:ext uri="{FF2B5EF4-FFF2-40B4-BE49-F238E27FC236}">
                <a16:creationId xmlns:a16="http://schemas.microsoft.com/office/drawing/2014/main" id="{FEF4640A-E4FC-AE61-CED4-06101CB4BC0A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30" name="Rectangle 687">
            <a:extLst>
              <a:ext uri="{FF2B5EF4-FFF2-40B4-BE49-F238E27FC236}">
                <a16:creationId xmlns:a16="http://schemas.microsoft.com/office/drawing/2014/main" id="{BEB489BB-776C-659F-404D-D735357955FB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5" name="Group 688">
          <a:extLst>
            <a:ext uri="{FF2B5EF4-FFF2-40B4-BE49-F238E27FC236}">
              <a16:creationId xmlns:a16="http://schemas.microsoft.com/office/drawing/2014/main" id="{3CC8525A-CDD8-FB4A-75A0-79F16C103EF2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595" name="Rectangle 689">
            <a:extLst>
              <a:ext uri="{FF2B5EF4-FFF2-40B4-BE49-F238E27FC236}">
                <a16:creationId xmlns:a16="http://schemas.microsoft.com/office/drawing/2014/main" id="{1A9AEEB4-DED7-B95D-2B0E-51BDC995984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96" name="Line 690">
            <a:extLst>
              <a:ext uri="{FF2B5EF4-FFF2-40B4-BE49-F238E27FC236}">
                <a16:creationId xmlns:a16="http://schemas.microsoft.com/office/drawing/2014/main" id="{F3525982-AEBD-B36C-BA1C-8BB74D3C13A5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97" name="Line 691">
            <a:extLst>
              <a:ext uri="{FF2B5EF4-FFF2-40B4-BE49-F238E27FC236}">
                <a16:creationId xmlns:a16="http://schemas.microsoft.com/office/drawing/2014/main" id="{5FCABE56-A5D9-96D5-7675-1D615FF3BEF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98" name="Rectangle 692">
            <a:extLst>
              <a:ext uri="{FF2B5EF4-FFF2-40B4-BE49-F238E27FC236}">
                <a16:creationId xmlns:a16="http://schemas.microsoft.com/office/drawing/2014/main" id="{54EAD700-3286-9AE5-7701-746185E78488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99" name="Oval 693">
            <a:extLst>
              <a:ext uri="{FF2B5EF4-FFF2-40B4-BE49-F238E27FC236}">
                <a16:creationId xmlns:a16="http://schemas.microsoft.com/office/drawing/2014/main" id="{EAEEFE46-3966-E665-D873-152F36FA8A1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00" name="Oval 694">
            <a:extLst>
              <a:ext uri="{FF2B5EF4-FFF2-40B4-BE49-F238E27FC236}">
                <a16:creationId xmlns:a16="http://schemas.microsoft.com/office/drawing/2014/main" id="{DEF41AB7-855F-C070-45D5-2556E8B63B53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601" name="Rectangle 695">
            <a:extLst>
              <a:ext uri="{FF2B5EF4-FFF2-40B4-BE49-F238E27FC236}">
                <a16:creationId xmlns:a16="http://schemas.microsoft.com/office/drawing/2014/main" id="{4245F756-F325-160F-0BD8-6BCD9893EF8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02" name="Rectangle 696">
            <a:extLst>
              <a:ext uri="{FF2B5EF4-FFF2-40B4-BE49-F238E27FC236}">
                <a16:creationId xmlns:a16="http://schemas.microsoft.com/office/drawing/2014/main" id="{AA04A2FC-1C95-08A8-F4A9-5D44084F6E1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03" name="Rectangle 697">
            <a:extLst>
              <a:ext uri="{FF2B5EF4-FFF2-40B4-BE49-F238E27FC236}">
                <a16:creationId xmlns:a16="http://schemas.microsoft.com/office/drawing/2014/main" id="{19841EC7-0F0B-5655-5B60-3E5EB38CEF6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04" name="Rectangle 698">
            <a:extLst>
              <a:ext uri="{FF2B5EF4-FFF2-40B4-BE49-F238E27FC236}">
                <a16:creationId xmlns:a16="http://schemas.microsoft.com/office/drawing/2014/main" id="{A089A5F4-9CAA-BD62-9759-D6B270BF82BE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605" name="Group 699">
            <a:extLst>
              <a:ext uri="{FF2B5EF4-FFF2-40B4-BE49-F238E27FC236}">
                <a16:creationId xmlns:a16="http://schemas.microsoft.com/office/drawing/2014/main" id="{7C381857-3D16-A463-6807-2EFDDB4AB72E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608" name="Rectangle 700">
              <a:extLst>
                <a:ext uri="{FF2B5EF4-FFF2-40B4-BE49-F238E27FC236}">
                  <a16:creationId xmlns:a16="http://schemas.microsoft.com/office/drawing/2014/main" id="{47C1795A-7BAE-8155-2083-E173E69DDB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09" name="Line 701">
              <a:extLst>
                <a:ext uri="{FF2B5EF4-FFF2-40B4-BE49-F238E27FC236}">
                  <a16:creationId xmlns:a16="http://schemas.microsoft.com/office/drawing/2014/main" id="{DC495F5A-A647-4625-F4B8-4BABBC9A8E0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10" name="Line 702">
              <a:extLst>
                <a:ext uri="{FF2B5EF4-FFF2-40B4-BE49-F238E27FC236}">
                  <a16:creationId xmlns:a16="http://schemas.microsoft.com/office/drawing/2014/main" id="{E8F3B5F4-66AC-8C7B-A6BB-C7A4944390B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611" name="Rectangle 703">
              <a:extLst>
                <a:ext uri="{FF2B5EF4-FFF2-40B4-BE49-F238E27FC236}">
                  <a16:creationId xmlns:a16="http://schemas.microsoft.com/office/drawing/2014/main" id="{B7F1705D-FC5E-36A8-5C88-26B0B6B959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12" name="Oval 704">
              <a:extLst>
                <a:ext uri="{FF2B5EF4-FFF2-40B4-BE49-F238E27FC236}">
                  <a16:creationId xmlns:a16="http://schemas.microsoft.com/office/drawing/2014/main" id="{57C46381-98D8-65AB-A356-0499B2539D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13" name="Oval 705">
              <a:extLst>
                <a:ext uri="{FF2B5EF4-FFF2-40B4-BE49-F238E27FC236}">
                  <a16:creationId xmlns:a16="http://schemas.microsoft.com/office/drawing/2014/main" id="{68BACECC-CB04-E627-D2E7-7310B89143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614" name="Rectangle 706">
              <a:extLst>
                <a:ext uri="{FF2B5EF4-FFF2-40B4-BE49-F238E27FC236}">
                  <a16:creationId xmlns:a16="http://schemas.microsoft.com/office/drawing/2014/main" id="{02F3E7C2-BB75-E829-EFA4-CAA1DDA3B1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15" name="Rectangle 707">
              <a:extLst>
                <a:ext uri="{FF2B5EF4-FFF2-40B4-BE49-F238E27FC236}">
                  <a16:creationId xmlns:a16="http://schemas.microsoft.com/office/drawing/2014/main" id="{DE859A47-B141-578C-53BE-C1E88D719E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16" name="Rectangle 708">
              <a:extLst>
                <a:ext uri="{FF2B5EF4-FFF2-40B4-BE49-F238E27FC236}">
                  <a16:creationId xmlns:a16="http://schemas.microsoft.com/office/drawing/2014/main" id="{45F69963-D534-50D1-8AB2-15F22A7F2F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617" name="Rectangle 709">
              <a:extLst>
                <a:ext uri="{FF2B5EF4-FFF2-40B4-BE49-F238E27FC236}">
                  <a16:creationId xmlns:a16="http://schemas.microsoft.com/office/drawing/2014/main" id="{A7DC4E67-6915-A5FD-BF5D-B404209D05E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606" name="Rectangle 710">
            <a:extLst>
              <a:ext uri="{FF2B5EF4-FFF2-40B4-BE49-F238E27FC236}">
                <a16:creationId xmlns:a16="http://schemas.microsoft.com/office/drawing/2014/main" id="{B39C0206-723A-F524-7AD7-F2A7BDA4B651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607" name="Rectangle 711">
            <a:extLst>
              <a:ext uri="{FF2B5EF4-FFF2-40B4-BE49-F238E27FC236}">
                <a16:creationId xmlns:a16="http://schemas.microsoft.com/office/drawing/2014/main" id="{F0A575B7-07EC-382B-E4AE-15D38A8334E5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160020</xdr:rowOff>
    </xdr:from>
    <xdr:to>
      <xdr:col>10</xdr:col>
      <xdr:colOff>0</xdr:colOff>
      <xdr:row>3</xdr:row>
      <xdr:rowOff>0</xdr:rowOff>
    </xdr:to>
    <xdr:grpSp>
      <xdr:nvGrpSpPr>
        <xdr:cNvPr id="526826" name="Group 712">
          <a:extLst>
            <a:ext uri="{FF2B5EF4-FFF2-40B4-BE49-F238E27FC236}">
              <a16:creationId xmlns:a16="http://schemas.microsoft.com/office/drawing/2014/main" id="{9C447B5B-7F54-D421-F42F-57C01FF30176}"/>
            </a:ext>
          </a:extLst>
        </xdr:cNvPr>
        <xdr:cNvGrpSpPr>
          <a:grpSpLocks/>
        </xdr:cNvGrpSpPr>
      </xdr:nvGrpSpPr>
      <xdr:grpSpPr bwMode="auto">
        <a:xfrm>
          <a:off x="9893710" y="1290730"/>
          <a:ext cx="0" cy="688012"/>
          <a:chOff x="220" y="176"/>
          <a:chExt cx="556" cy="247"/>
        </a:xfrm>
      </xdr:grpSpPr>
      <xdr:sp macro="" textlink="">
        <xdr:nvSpPr>
          <xdr:cNvPr id="531572" name="Rectangle 713">
            <a:extLst>
              <a:ext uri="{FF2B5EF4-FFF2-40B4-BE49-F238E27FC236}">
                <a16:creationId xmlns:a16="http://schemas.microsoft.com/office/drawing/2014/main" id="{43FB6757-0FFF-1019-6EC7-8F886EF36F7A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73" name="Line 714">
            <a:extLst>
              <a:ext uri="{FF2B5EF4-FFF2-40B4-BE49-F238E27FC236}">
                <a16:creationId xmlns:a16="http://schemas.microsoft.com/office/drawing/2014/main" id="{7B8D2AF5-D54E-7070-3D8A-E79A51DC715C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74" name="Line 715">
            <a:extLst>
              <a:ext uri="{FF2B5EF4-FFF2-40B4-BE49-F238E27FC236}">
                <a16:creationId xmlns:a16="http://schemas.microsoft.com/office/drawing/2014/main" id="{D0546C60-B220-28DD-B970-11EE89DF8B8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575" name="Rectangle 716">
            <a:extLst>
              <a:ext uri="{FF2B5EF4-FFF2-40B4-BE49-F238E27FC236}">
                <a16:creationId xmlns:a16="http://schemas.microsoft.com/office/drawing/2014/main" id="{E2BD9424-9353-4FD7-739D-DBD5D0BA4DB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76" name="Oval 717">
            <a:extLst>
              <a:ext uri="{FF2B5EF4-FFF2-40B4-BE49-F238E27FC236}">
                <a16:creationId xmlns:a16="http://schemas.microsoft.com/office/drawing/2014/main" id="{21A4CEB3-1F7D-9E46-6D7A-28A9B713F1E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77" name="Oval 718">
            <a:extLst>
              <a:ext uri="{FF2B5EF4-FFF2-40B4-BE49-F238E27FC236}">
                <a16:creationId xmlns:a16="http://schemas.microsoft.com/office/drawing/2014/main" id="{63B8ABEF-E1F2-CD86-DB0A-6425E1D7642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78" name="Rectangle 719">
            <a:extLst>
              <a:ext uri="{FF2B5EF4-FFF2-40B4-BE49-F238E27FC236}">
                <a16:creationId xmlns:a16="http://schemas.microsoft.com/office/drawing/2014/main" id="{3D532755-39F5-C4E2-0855-DD5BE7A84446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79" name="Rectangle 720">
            <a:extLst>
              <a:ext uri="{FF2B5EF4-FFF2-40B4-BE49-F238E27FC236}">
                <a16:creationId xmlns:a16="http://schemas.microsoft.com/office/drawing/2014/main" id="{223DDB1B-C2D0-A067-4BBB-5E383D053CC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80" name="Rectangle 721">
            <a:extLst>
              <a:ext uri="{FF2B5EF4-FFF2-40B4-BE49-F238E27FC236}">
                <a16:creationId xmlns:a16="http://schemas.microsoft.com/office/drawing/2014/main" id="{F855CA19-1E94-711A-7B93-972C899DB40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81" name="Rectangle 722">
            <a:extLst>
              <a:ext uri="{FF2B5EF4-FFF2-40B4-BE49-F238E27FC236}">
                <a16:creationId xmlns:a16="http://schemas.microsoft.com/office/drawing/2014/main" id="{9E911D72-2DC3-AEC5-1F6D-FCDD24D2D38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582" name="Group 723">
            <a:extLst>
              <a:ext uri="{FF2B5EF4-FFF2-40B4-BE49-F238E27FC236}">
                <a16:creationId xmlns:a16="http://schemas.microsoft.com/office/drawing/2014/main" id="{1359B266-BF2B-B088-53CA-E621A83A0CF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585" name="Rectangle 724">
              <a:extLst>
                <a:ext uri="{FF2B5EF4-FFF2-40B4-BE49-F238E27FC236}">
                  <a16:creationId xmlns:a16="http://schemas.microsoft.com/office/drawing/2014/main" id="{490D2E95-5760-54D3-4E4A-57DB8A87CF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86" name="Line 725">
              <a:extLst>
                <a:ext uri="{FF2B5EF4-FFF2-40B4-BE49-F238E27FC236}">
                  <a16:creationId xmlns:a16="http://schemas.microsoft.com/office/drawing/2014/main" id="{6B95A306-1464-556B-AE91-3888733339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587" name="Line 726">
              <a:extLst>
                <a:ext uri="{FF2B5EF4-FFF2-40B4-BE49-F238E27FC236}">
                  <a16:creationId xmlns:a16="http://schemas.microsoft.com/office/drawing/2014/main" id="{F9B3CC0A-955E-82C0-EDC6-F5035C1DFB6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588" name="Rectangle 727">
              <a:extLst>
                <a:ext uri="{FF2B5EF4-FFF2-40B4-BE49-F238E27FC236}">
                  <a16:creationId xmlns:a16="http://schemas.microsoft.com/office/drawing/2014/main" id="{FB1F6096-5B8C-C4E8-F9C4-09107C2A19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89" name="Oval 728">
              <a:extLst>
                <a:ext uri="{FF2B5EF4-FFF2-40B4-BE49-F238E27FC236}">
                  <a16:creationId xmlns:a16="http://schemas.microsoft.com/office/drawing/2014/main" id="{77F2CE95-F301-E773-15DA-23BB28B387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590" name="Oval 729">
              <a:extLst>
                <a:ext uri="{FF2B5EF4-FFF2-40B4-BE49-F238E27FC236}">
                  <a16:creationId xmlns:a16="http://schemas.microsoft.com/office/drawing/2014/main" id="{35BD9036-54AE-C100-59EE-E08799F87B8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591" name="Rectangle 730">
              <a:extLst>
                <a:ext uri="{FF2B5EF4-FFF2-40B4-BE49-F238E27FC236}">
                  <a16:creationId xmlns:a16="http://schemas.microsoft.com/office/drawing/2014/main" id="{6A484AD5-7792-E7C0-E206-E3EFDB3686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92" name="Rectangle 731">
              <a:extLst>
                <a:ext uri="{FF2B5EF4-FFF2-40B4-BE49-F238E27FC236}">
                  <a16:creationId xmlns:a16="http://schemas.microsoft.com/office/drawing/2014/main" id="{33C7B266-5D60-9DD3-7A85-1DF2488770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93" name="Rectangle 732">
              <a:extLst>
                <a:ext uri="{FF2B5EF4-FFF2-40B4-BE49-F238E27FC236}">
                  <a16:creationId xmlns:a16="http://schemas.microsoft.com/office/drawing/2014/main" id="{AE640F8C-CA52-C30D-9766-5C310F340D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594" name="Rectangle 733">
              <a:extLst>
                <a:ext uri="{FF2B5EF4-FFF2-40B4-BE49-F238E27FC236}">
                  <a16:creationId xmlns:a16="http://schemas.microsoft.com/office/drawing/2014/main" id="{D04FFFF8-1502-E2C3-1447-35205A1BC3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583" name="Rectangle 734">
            <a:extLst>
              <a:ext uri="{FF2B5EF4-FFF2-40B4-BE49-F238E27FC236}">
                <a16:creationId xmlns:a16="http://schemas.microsoft.com/office/drawing/2014/main" id="{8F5FAB62-414E-FD7A-5BAC-0835E66221C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84" name="Rectangle 735">
            <a:extLst>
              <a:ext uri="{FF2B5EF4-FFF2-40B4-BE49-F238E27FC236}">
                <a16:creationId xmlns:a16="http://schemas.microsoft.com/office/drawing/2014/main" id="{68525ECF-4512-3F27-38B7-C36A5F2ED4D7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27" name="Group 784">
          <a:extLst>
            <a:ext uri="{FF2B5EF4-FFF2-40B4-BE49-F238E27FC236}">
              <a16:creationId xmlns:a16="http://schemas.microsoft.com/office/drawing/2014/main" id="{0ACDC099-D046-9327-26FD-78744C876D16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31558" name="Rectangle 785">
            <a:extLst>
              <a:ext uri="{FF2B5EF4-FFF2-40B4-BE49-F238E27FC236}">
                <a16:creationId xmlns:a16="http://schemas.microsoft.com/office/drawing/2014/main" id="{15C14CA6-9C45-2E6D-18A6-D60D05390EE4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9" name="Rectangle 786">
            <a:extLst>
              <a:ext uri="{FF2B5EF4-FFF2-40B4-BE49-F238E27FC236}">
                <a16:creationId xmlns:a16="http://schemas.microsoft.com/office/drawing/2014/main" id="{F7A11F48-9D1E-BA96-FAE6-CCDB1F7FE66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0" name="Rectangle 787">
            <a:extLst>
              <a:ext uri="{FF2B5EF4-FFF2-40B4-BE49-F238E27FC236}">
                <a16:creationId xmlns:a16="http://schemas.microsoft.com/office/drawing/2014/main" id="{D8E545D6-6AF5-0E8D-FD50-040DB4C36E8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1" name="Rectangle 788">
            <a:extLst>
              <a:ext uri="{FF2B5EF4-FFF2-40B4-BE49-F238E27FC236}">
                <a16:creationId xmlns:a16="http://schemas.microsoft.com/office/drawing/2014/main" id="{2DCC7F48-CEEB-F42A-04F1-460A81695E6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2" name="Rectangle 789">
            <a:extLst>
              <a:ext uri="{FF2B5EF4-FFF2-40B4-BE49-F238E27FC236}">
                <a16:creationId xmlns:a16="http://schemas.microsoft.com/office/drawing/2014/main" id="{C16474D7-B857-8213-0E53-3FB2A7E2C08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3" name="Rectangle 790">
            <a:extLst>
              <a:ext uri="{FF2B5EF4-FFF2-40B4-BE49-F238E27FC236}">
                <a16:creationId xmlns:a16="http://schemas.microsoft.com/office/drawing/2014/main" id="{4A1C4A55-7B8A-D4CF-F8CD-BD073CC730A3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4" name="Rectangle 791">
            <a:extLst>
              <a:ext uri="{FF2B5EF4-FFF2-40B4-BE49-F238E27FC236}">
                <a16:creationId xmlns:a16="http://schemas.microsoft.com/office/drawing/2014/main" id="{48B81A7E-A95D-63FD-1B42-B9A9D4A2743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5" name="Rectangle 792">
            <a:extLst>
              <a:ext uri="{FF2B5EF4-FFF2-40B4-BE49-F238E27FC236}">
                <a16:creationId xmlns:a16="http://schemas.microsoft.com/office/drawing/2014/main" id="{D1A4960F-E119-70E0-DCDB-3615E56DBCD8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66" name="Oval 793">
            <a:extLst>
              <a:ext uri="{FF2B5EF4-FFF2-40B4-BE49-F238E27FC236}">
                <a16:creationId xmlns:a16="http://schemas.microsoft.com/office/drawing/2014/main" id="{BD90C03A-B8F2-FB82-4F57-54DB83BA0D95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67" name="Oval 794">
            <a:extLst>
              <a:ext uri="{FF2B5EF4-FFF2-40B4-BE49-F238E27FC236}">
                <a16:creationId xmlns:a16="http://schemas.microsoft.com/office/drawing/2014/main" id="{43F065B6-EFE8-1B14-A407-98C12377B93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68" name="Oval 795">
            <a:extLst>
              <a:ext uri="{FF2B5EF4-FFF2-40B4-BE49-F238E27FC236}">
                <a16:creationId xmlns:a16="http://schemas.microsoft.com/office/drawing/2014/main" id="{DCA413C9-45E0-1BB4-56C3-5AFA771AAF91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69" name="Oval 796">
            <a:extLst>
              <a:ext uri="{FF2B5EF4-FFF2-40B4-BE49-F238E27FC236}">
                <a16:creationId xmlns:a16="http://schemas.microsoft.com/office/drawing/2014/main" id="{3D49EFE2-5A32-D614-E12F-56DCD5AAFBD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70" name="AutoShape 797">
            <a:extLst>
              <a:ext uri="{FF2B5EF4-FFF2-40B4-BE49-F238E27FC236}">
                <a16:creationId xmlns:a16="http://schemas.microsoft.com/office/drawing/2014/main" id="{498829FC-E46F-209F-A698-CAC503BEDD0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71" name="AutoShape 798">
            <a:extLst>
              <a:ext uri="{FF2B5EF4-FFF2-40B4-BE49-F238E27FC236}">
                <a16:creationId xmlns:a16="http://schemas.microsoft.com/office/drawing/2014/main" id="{83A5C5ED-0659-A81D-5F47-049C978D8DDA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28" name="Group 799">
          <a:extLst>
            <a:ext uri="{FF2B5EF4-FFF2-40B4-BE49-F238E27FC236}">
              <a16:creationId xmlns:a16="http://schemas.microsoft.com/office/drawing/2014/main" id="{BCE67060-106D-1052-7ECC-06D0AE908A25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31544" name="Rectangle 800">
            <a:extLst>
              <a:ext uri="{FF2B5EF4-FFF2-40B4-BE49-F238E27FC236}">
                <a16:creationId xmlns:a16="http://schemas.microsoft.com/office/drawing/2014/main" id="{7969D033-E0B8-F341-8610-A4132A0B249B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5" name="Rectangle 801">
            <a:extLst>
              <a:ext uri="{FF2B5EF4-FFF2-40B4-BE49-F238E27FC236}">
                <a16:creationId xmlns:a16="http://schemas.microsoft.com/office/drawing/2014/main" id="{13F06CFC-3DB1-6AF7-9C27-BABD3C71AC9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6" name="Rectangle 802">
            <a:extLst>
              <a:ext uri="{FF2B5EF4-FFF2-40B4-BE49-F238E27FC236}">
                <a16:creationId xmlns:a16="http://schemas.microsoft.com/office/drawing/2014/main" id="{DB373333-DBF3-9320-70D3-B073FB4F8CC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7" name="Rectangle 803">
            <a:extLst>
              <a:ext uri="{FF2B5EF4-FFF2-40B4-BE49-F238E27FC236}">
                <a16:creationId xmlns:a16="http://schemas.microsoft.com/office/drawing/2014/main" id="{35D8D176-A5CB-F75B-B871-24891B45A83F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8" name="Rectangle 804">
            <a:extLst>
              <a:ext uri="{FF2B5EF4-FFF2-40B4-BE49-F238E27FC236}">
                <a16:creationId xmlns:a16="http://schemas.microsoft.com/office/drawing/2014/main" id="{5F107383-1222-E91C-F581-6B9440662F1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9" name="Rectangle 805">
            <a:extLst>
              <a:ext uri="{FF2B5EF4-FFF2-40B4-BE49-F238E27FC236}">
                <a16:creationId xmlns:a16="http://schemas.microsoft.com/office/drawing/2014/main" id="{91C4B270-35C7-7ED3-C26E-90D8D1876F94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0" name="Rectangle 806">
            <a:extLst>
              <a:ext uri="{FF2B5EF4-FFF2-40B4-BE49-F238E27FC236}">
                <a16:creationId xmlns:a16="http://schemas.microsoft.com/office/drawing/2014/main" id="{0F001F29-5774-D6C4-0090-D074820EB5D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1" name="Rectangle 807">
            <a:extLst>
              <a:ext uri="{FF2B5EF4-FFF2-40B4-BE49-F238E27FC236}">
                <a16:creationId xmlns:a16="http://schemas.microsoft.com/office/drawing/2014/main" id="{285468C7-57F3-E336-50F1-E0CBDD0590F4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2" name="Oval 808">
            <a:extLst>
              <a:ext uri="{FF2B5EF4-FFF2-40B4-BE49-F238E27FC236}">
                <a16:creationId xmlns:a16="http://schemas.microsoft.com/office/drawing/2014/main" id="{70521522-7E0B-9717-0D95-6D7552F9B024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53" name="Oval 809">
            <a:extLst>
              <a:ext uri="{FF2B5EF4-FFF2-40B4-BE49-F238E27FC236}">
                <a16:creationId xmlns:a16="http://schemas.microsoft.com/office/drawing/2014/main" id="{6C1F8155-3C24-E092-6C70-FEF2A6A09A69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54" name="Oval 810">
            <a:extLst>
              <a:ext uri="{FF2B5EF4-FFF2-40B4-BE49-F238E27FC236}">
                <a16:creationId xmlns:a16="http://schemas.microsoft.com/office/drawing/2014/main" id="{B3159DD6-55DF-1C98-002F-D785616C1BB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55" name="Oval 811">
            <a:extLst>
              <a:ext uri="{FF2B5EF4-FFF2-40B4-BE49-F238E27FC236}">
                <a16:creationId xmlns:a16="http://schemas.microsoft.com/office/drawing/2014/main" id="{0DE379F1-EBA4-7D77-2244-186874A1A883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56" name="AutoShape 812">
            <a:extLst>
              <a:ext uri="{FF2B5EF4-FFF2-40B4-BE49-F238E27FC236}">
                <a16:creationId xmlns:a16="http://schemas.microsoft.com/office/drawing/2014/main" id="{F4194E8D-F625-BE8A-63AC-DA47288B0538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57" name="AutoShape 813">
            <a:extLst>
              <a:ext uri="{FF2B5EF4-FFF2-40B4-BE49-F238E27FC236}">
                <a16:creationId xmlns:a16="http://schemas.microsoft.com/office/drawing/2014/main" id="{7437C839-DC86-163F-C4BB-5B00B8A293D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29" name="Group 814">
          <a:extLst>
            <a:ext uri="{FF2B5EF4-FFF2-40B4-BE49-F238E27FC236}">
              <a16:creationId xmlns:a16="http://schemas.microsoft.com/office/drawing/2014/main" id="{6410B29B-9EB1-259A-9201-41F60D6B7791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31536" name="Rectangle 815">
            <a:extLst>
              <a:ext uri="{FF2B5EF4-FFF2-40B4-BE49-F238E27FC236}">
                <a16:creationId xmlns:a16="http://schemas.microsoft.com/office/drawing/2014/main" id="{6D5B4317-ED80-78F8-FF1B-6E92C180A95A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7" name="Rectangle 816">
            <a:extLst>
              <a:ext uri="{FF2B5EF4-FFF2-40B4-BE49-F238E27FC236}">
                <a16:creationId xmlns:a16="http://schemas.microsoft.com/office/drawing/2014/main" id="{5EF883F2-1021-8A62-4E99-607BA8B6656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8" name="Rectangle 817">
            <a:extLst>
              <a:ext uri="{FF2B5EF4-FFF2-40B4-BE49-F238E27FC236}">
                <a16:creationId xmlns:a16="http://schemas.microsoft.com/office/drawing/2014/main" id="{85333D8A-56AA-5F68-45D2-62817B5DA56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9" name="Rectangle 818">
            <a:extLst>
              <a:ext uri="{FF2B5EF4-FFF2-40B4-BE49-F238E27FC236}">
                <a16:creationId xmlns:a16="http://schemas.microsoft.com/office/drawing/2014/main" id="{E59AD3C0-E5AB-C2EB-FE32-74D22298D9C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0" name="Rectangle 819">
            <a:extLst>
              <a:ext uri="{FF2B5EF4-FFF2-40B4-BE49-F238E27FC236}">
                <a16:creationId xmlns:a16="http://schemas.microsoft.com/office/drawing/2014/main" id="{1DEF04E0-C9B9-0701-D220-DF281EE52FAF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41" name="Oval 820">
            <a:extLst>
              <a:ext uri="{FF2B5EF4-FFF2-40B4-BE49-F238E27FC236}">
                <a16:creationId xmlns:a16="http://schemas.microsoft.com/office/drawing/2014/main" id="{9A0885E8-3B3C-50B5-901D-172FBB258E3A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42" name="Oval 821">
            <a:extLst>
              <a:ext uri="{FF2B5EF4-FFF2-40B4-BE49-F238E27FC236}">
                <a16:creationId xmlns:a16="http://schemas.microsoft.com/office/drawing/2014/main" id="{BB04D632-647E-8957-4DFE-A372C23F957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43" name="AutoShape 822">
            <a:extLst>
              <a:ext uri="{FF2B5EF4-FFF2-40B4-BE49-F238E27FC236}">
                <a16:creationId xmlns:a16="http://schemas.microsoft.com/office/drawing/2014/main" id="{ACE88268-7F19-D708-C071-DCF9B8E5B4E9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0" name="Group 823">
          <a:extLst>
            <a:ext uri="{FF2B5EF4-FFF2-40B4-BE49-F238E27FC236}">
              <a16:creationId xmlns:a16="http://schemas.microsoft.com/office/drawing/2014/main" id="{C4B00FB1-1DCE-ED08-750A-85E9B5856C6D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31528" name="Rectangle 824">
            <a:extLst>
              <a:ext uri="{FF2B5EF4-FFF2-40B4-BE49-F238E27FC236}">
                <a16:creationId xmlns:a16="http://schemas.microsoft.com/office/drawing/2014/main" id="{B84AA837-CD2D-DE7A-BC82-9F22C95C234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9" name="Rectangle 825">
            <a:extLst>
              <a:ext uri="{FF2B5EF4-FFF2-40B4-BE49-F238E27FC236}">
                <a16:creationId xmlns:a16="http://schemas.microsoft.com/office/drawing/2014/main" id="{EC5320E4-4E8E-52DC-7839-BEC6CDD3423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0" name="Rectangle 826">
            <a:extLst>
              <a:ext uri="{FF2B5EF4-FFF2-40B4-BE49-F238E27FC236}">
                <a16:creationId xmlns:a16="http://schemas.microsoft.com/office/drawing/2014/main" id="{F44D9EE2-2706-1512-9F18-32323C1E5CB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1" name="Rectangle 827">
            <a:extLst>
              <a:ext uri="{FF2B5EF4-FFF2-40B4-BE49-F238E27FC236}">
                <a16:creationId xmlns:a16="http://schemas.microsoft.com/office/drawing/2014/main" id="{77373CDA-D12F-96F1-7E9B-9A718912DE3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2" name="Rectangle 828">
            <a:extLst>
              <a:ext uri="{FF2B5EF4-FFF2-40B4-BE49-F238E27FC236}">
                <a16:creationId xmlns:a16="http://schemas.microsoft.com/office/drawing/2014/main" id="{09A4552B-9597-FFB3-E87F-1B499657E12B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33" name="Oval 829">
            <a:extLst>
              <a:ext uri="{FF2B5EF4-FFF2-40B4-BE49-F238E27FC236}">
                <a16:creationId xmlns:a16="http://schemas.microsoft.com/office/drawing/2014/main" id="{6E764067-C28E-916B-F40F-60B2E2418436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34" name="Oval 830">
            <a:extLst>
              <a:ext uri="{FF2B5EF4-FFF2-40B4-BE49-F238E27FC236}">
                <a16:creationId xmlns:a16="http://schemas.microsoft.com/office/drawing/2014/main" id="{CCA130D4-65D0-D91D-09FE-A5847C09C768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35" name="AutoShape 831">
            <a:extLst>
              <a:ext uri="{FF2B5EF4-FFF2-40B4-BE49-F238E27FC236}">
                <a16:creationId xmlns:a16="http://schemas.microsoft.com/office/drawing/2014/main" id="{0F78AEF4-8E11-0E09-356F-99D57D7BA709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1" name="Group 832">
          <a:extLst>
            <a:ext uri="{FF2B5EF4-FFF2-40B4-BE49-F238E27FC236}">
              <a16:creationId xmlns:a16="http://schemas.microsoft.com/office/drawing/2014/main" id="{79030733-11B8-DA94-708E-3E0DA3E5CCA1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31520" name="Rectangle 833">
            <a:extLst>
              <a:ext uri="{FF2B5EF4-FFF2-40B4-BE49-F238E27FC236}">
                <a16:creationId xmlns:a16="http://schemas.microsoft.com/office/drawing/2014/main" id="{321A05AD-ECF1-FDE6-4DFB-8F663199A23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1" name="Rectangle 834">
            <a:extLst>
              <a:ext uri="{FF2B5EF4-FFF2-40B4-BE49-F238E27FC236}">
                <a16:creationId xmlns:a16="http://schemas.microsoft.com/office/drawing/2014/main" id="{94F2DA09-1DF9-F4CD-D1AC-CEE6CA31BE32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2" name="Rectangle 835">
            <a:extLst>
              <a:ext uri="{FF2B5EF4-FFF2-40B4-BE49-F238E27FC236}">
                <a16:creationId xmlns:a16="http://schemas.microsoft.com/office/drawing/2014/main" id="{30EF0D14-BE3A-CD62-FBBB-55F50CD0A50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3" name="Rectangle 836">
            <a:extLst>
              <a:ext uri="{FF2B5EF4-FFF2-40B4-BE49-F238E27FC236}">
                <a16:creationId xmlns:a16="http://schemas.microsoft.com/office/drawing/2014/main" id="{4D946169-192B-6754-8E94-AE3A1D8A417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4" name="Rectangle 837">
            <a:extLst>
              <a:ext uri="{FF2B5EF4-FFF2-40B4-BE49-F238E27FC236}">
                <a16:creationId xmlns:a16="http://schemas.microsoft.com/office/drawing/2014/main" id="{045E86D8-E569-1A07-A131-8F9C7AE32BB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25" name="Oval 838">
            <a:extLst>
              <a:ext uri="{FF2B5EF4-FFF2-40B4-BE49-F238E27FC236}">
                <a16:creationId xmlns:a16="http://schemas.microsoft.com/office/drawing/2014/main" id="{8F3C053C-0708-A4BF-75DB-2F77A2F0138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26" name="Oval 839">
            <a:extLst>
              <a:ext uri="{FF2B5EF4-FFF2-40B4-BE49-F238E27FC236}">
                <a16:creationId xmlns:a16="http://schemas.microsoft.com/office/drawing/2014/main" id="{A503A513-F18A-69FD-D963-C87548EE001B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27" name="AutoShape 840">
            <a:extLst>
              <a:ext uri="{FF2B5EF4-FFF2-40B4-BE49-F238E27FC236}">
                <a16:creationId xmlns:a16="http://schemas.microsoft.com/office/drawing/2014/main" id="{EC2E239F-E043-3811-28E6-08B42BD18F7A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32" name="Group 841">
          <a:extLst>
            <a:ext uri="{FF2B5EF4-FFF2-40B4-BE49-F238E27FC236}">
              <a16:creationId xmlns:a16="http://schemas.microsoft.com/office/drawing/2014/main" id="{F033DD1E-6A6F-969B-D686-720E930271DB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31506" name="Rectangle 842">
            <a:extLst>
              <a:ext uri="{FF2B5EF4-FFF2-40B4-BE49-F238E27FC236}">
                <a16:creationId xmlns:a16="http://schemas.microsoft.com/office/drawing/2014/main" id="{5B753BBA-9B39-F141-DCA1-A014A610D18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7" name="Rectangle 843">
            <a:extLst>
              <a:ext uri="{FF2B5EF4-FFF2-40B4-BE49-F238E27FC236}">
                <a16:creationId xmlns:a16="http://schemas.microsoft.com/office/drawing/2014/main" id="{A9A03887-589A-3BD2-6518-3B11E09666C1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8" name="Rectangle 844">
            <a:extLst>
              <a:ext uri="{FF2B5EF4-FFF2-40B4-BE49-F238E27FC236}">
                <a16:creationId xmlns:a16="http://schemas.microsoft.com/office/drawing/2014/main" id="{C56C303C-5CC3-E3D4-0E2E-B201921A541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9" name="Rectangle 845">
            <a:extLst>
              <a:ext uri="{FF2B5EF4-FFF2-40B4-BE49-F238E27FC236}">
                <a16:creationId xmlns:a16="http://schemas.microsoft.com/office/drawing/2014/main" id="{FBC4C92D-88DB-27A4-9531-3284FD5AC984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0" name="Rectangle 846">
            <a:extLst>
              <a:ext uri="{FF2B5EF4-FFF2-40B4-BE49-F238E27FC236}">
                <a16:creationId xmlns:a16="http://schemas.microsoft.com/office/drawing/2014/main" id="{ED2BA77D-8518-FB2D-E7CB-69030E0E051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1" name="Rectangle 847">
            <a:extLst>
              <a:ext uri="{FF2B5EF4-FFF2-40B4-BE49-F238E27FC236}">
                <a16:creationId xmlns:a16="http://schemas.microsoft.com/office/drawing/2014/main" id="{1AD7FEFA-C457-6A13-8E1C-794AD907537D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2" name="Rectangle 848">
            <a:extLst>
              <a:ext uri="{FF2B5EF4-FFF2-40B4-BE49-F238E27FC236}">
                <a16:creationId xmlns:a16="http://schemas.microsoft.com/office/drawing/2014/main" id="{CCEDF44F-1E06-5E9C-9200-7BACF2BD1577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3" name="Rectangle 849">
            <a:extLst>
              <a:ext uri="{FF2B5EF4-FFF2-40B4-BE49-F238E27FC236}">
                <a16:creationId xmlns:a16="http://schemas.microsoft.com/office/drawing/2014/main" id="{06C9957C-3FA3-9A4D-F8E9-368ACC880EF9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4" name="Oval 850">
            <a:extLst>
              <a:ext uri="{FF2B5EF4-FFF2-40B4-BE49-F238E27FC236}">
                <a16:creationId xmlns:a16="http://schemas.microsoft.com/office/drawing/2014/main" id="{A85B4E31-D6DD-FFFC-ADC2-B32C05C66236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15" name="Oval 851">
            <a:extLst>
              <a:ext uri="{FF2B5EF4-FFF2-40B4-BE49-F238E27FC236}">
                <a16:creationId xmlns:a16="http://schemas.microsoft.com/office/drawing/2014/main" id="{A6469311-2AF0-1DEC-7C6E-71BA98929F3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16" name="Oval 852">
            <a:extLst>
              <a:ext uri="{FF2B5EF4-FFF2-40B4-BE49-F238E27FC236}">
                <a16:creationId xmlns:a16="http://schemas.microsoft.com/office/drawing/2014/main" id="{54C71526-BBDC-9520-49A0-E379F93D3B8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17" name="Oval 853">
            <a:extLst>
              <a:ext uri="{FF2B5EF4-FFF2-40B4-BE49-F238E27FC236}">
                <a16:creationId xmlns:a16="http://schemas.microsoft.com/office/drawing/2014/main" id="{463CE137-AFAF-0F32-5DFD-97019410200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18" name="AutoShape 854">
            <a:extLst>
              <a:ext uri="{FF2B5EF4-FFF2-40B4-BE49-F238E27FC236}">
                <a16:creationId xmlns:a16="http://schemas.microsoft.com/office/drawing/2014/main" id="{73AF3FA7-A607-2ACA-4040-F9910754BBC7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19" name="AutoShape 855">
            <a:extLst>
              <a:ext uri="{FF2B5EF4-FFF2-40B4-BE49-F238E27FC236}">
                <a16:creationId xmlns:a16="http://schemas.microsoft.com/office/drawing/2014/main" id="{2BB42DD5-8A24-6A12-D7F2-AEF8EEC45763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3" name="Group 856">
          <a:extLst>
            <a:ext uri="{FF2B5EF4-FFF2-40B4-BE49-F238E27FC236}">
              <a16:creationId xmlns:a16="http://schemas.microsoft.com/office/drawing/2014/main" id="{6D15E1C8-C158-561E-28B1-278526AEC39E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31498" name="Rectangle 857">
            <a:extLst>
              <a:ext uri="{FF2B5EF4-FFF2-40B4-BE49-F238E27FC236}">
                <a16:creationId xmlns:a16="http://schemas.microsoft.com/office/drawing/2014/main" id="{745776B3-3BE5-6DEB-12B0-AA7ADA85C738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9" name="Rectangle 858">
            <a:extLst>
              <a:ext uri="{FF2B5EF4-FFF2-40B4-BE49-F238E27FC236}">
                <a16:creationId xmlns:a16="http://schemas.microsoft.com/office/drawing/2014/main" id="{9BB76537-F347-AF04-000F-704B2AF920F8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0" name="Rectangle 859">
            <a:extLst>
              <a:ext uri="{FF2B5EF4-FFF2-40B4-BE49-F238E27FC236}">
                <a16:creationId xmlns:a16="http://schemas.microsoft.com/office/drawing/2014/main" id="{1CBEFAD3-34DE-1F77-07FB-E8C219609F7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1" name="Rectangle 860">
            <a:extLst>
              <a:ext uri="{FF2B5EF4-FFF2-40B4-BE49-F238E27FC236}">
                <a16:creationId xmlns:a16="http://schemas.microsoft.com/office/drawing/2014/main" id="{7FB2DAE6-18A3-8E47-0BA1-4BD39FD606A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2" name="Rectangle 861">
            <a:extLst>
              <a:ext uri="{FF2B5EF4-FFF2-40B4-BE49-F238E27FC236}">
                <a16:creationId xmlns:a16="http://schemas.microsoft.com/office/drawing/2014/main" id="{07BF7C22-B88C-C1E0-A7DE-82FFA0BBAD97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503" name="Oval 862">
            <a:extLst>
              <a:ext uri="{FF2B5EF4-FFF2-40B4-BE49-F238E27FC236}">
                <a16:creationId xmlns:a16="http://schemas.microsoft.com/office/drawing/2014/main" id="{5CC7B3B9-0019-9C82-ECA4-94655B15A44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04" name="Oval 863">
            <a:extLst>
              <a:ext uri="{FF2B5EF4-FFF2-40B4-BE49-F238E27FC236}">
                <a16:creationId xmlns:a16="http://schemas.microsoft.com/office/drawing/2014/main" id="{ABCC16DF-2DFE-7D44-72D4-A335064E165D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505" name="AutoShape 864">
            <a:extLst>
              <a:ext uri="{FF2B5EF4-FFF2-40B4-BE49-F238E27FC236}">
                <a16:creationId xmlns:a16="http://schemas.microsoft.com/office/drawing/2014/main" id="{A5F41501-01F2-9205-E59A-1EA11C9D2DD2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4" name="Group 865">
          <a:extLst>
            <a:ext uri="{FF2B5EF4-FFF2-40B4-BE49-F238E27FC236}">
              <a16:creationId xmlns:a16="http://schemas.microsoft.com/office/drawing/2014/main" id="{23DE790D-A913-293F-E926-34C8EED130AF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31490" name="Rectangle 866">
            <a:extLst>
              <a:ext uri="{FF2B5EF4-FFF2-40B4-BE49-F238E27FC236}">
                <a16:creationId xmlns:a16="http://schemas.microsoft.com/office/drawing/2014/main" id="{5CA3BEA8-14EB-C8FA-3C15-3EBA9312C964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1" name="Rectangle 867">
            <a:extLst>
              <a:ext uri="{FF2B5EF4-FFF2-40B4-BE49-F238E27FC236}">
                <a16:creationId xmlns:a16="http://schemas.microsoft.com/office/drawing/2014/main" id="{C065ACF1-AEE4-2CA7-B725-73BC25B8ED1E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2" name="Rectangle 868">
            <a:extLst>
              <a:ext uri="{FF2B5EF4-FFF2-40B4-BE49-F238E27FC236}">
                <a16:creationId xmlns:a16="http://schemas.microsoft.com/office/drawing/2014/main" id="{28741C3F-CDCF-7884-BA24-A7E0AE8E31B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3" name="Rectangle 869">
            <a:extLst>
              <a:ext uri="{FF2B5EF4-FFF2-40B4-BE49-F238E27FC236}">
                <a16:creationId xmlns:a16="http://schemas.microsoft.com/office/drawing/2014/main" id="{F94AE1B0-1924-0160-0ADD-8E75B7FCE1C9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4" name="Rectangle 870">
            <a:extLst>
              <a:ext uri="{FF2B5EF4-FFF2-40B4-BE49-F238E27FC236}">
                <a16:creationId xmlns:a16="http://schemas.microsoft.com/office/drawing/2014/main" id="{DCF4234E-E66D-313E-B319-350AAFC875FF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95" name="Oval 871">
            <a:extLst>
              <a:ext uri="{FF2B5EF4-FFF2-40B4-BE49-F238E27FC236}">
                <a16:creationId xmlns:a16="http://schemas.microsoft.com/office/drawing/2014/main" id="{38B81E19-3011-BED5-BF67-2B6E2A06199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96" name="Oval 872">
            <a:extLst>
              <a:ext uri="{FF2B5EF4-FFF2-40B4-BE49-F238E27FC236}">
                <a16:creationId xmlns:a16="http://schemas.microsoft.com/office/drawing/2014/main" id="{504F2057-D8C1-3859-C9A6-E5D70C3FFE6C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97" name="AutoShape 873">
            <a:extLst>
              <a:ext uri="{FF2B5EF4-FFF2-40B4-BE49-F238E27FC236}">
                <a16:creationId xmlns:a16="http://schemas.microsoft.com/office/drawing/2014/main" id="{6F5953B0-B628-1282-7960-7E8B28D37034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5" name="Group 874">
          <a:extLst>
            <a:ext uri="{FF2B5EF4-FFF2-40B4-BE49-F238E27FC236}">
              <a16:creationId xmlns:a16="http://schemas.microsoft.com/office/drawing/2014/main" id="{4E9A49D3-28F4-D581-A6D0-AD953B3C1FAF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31482" name="Rectangle 875">
            <a:extLst>
              <a:ext uri="{FF2B5EF4-FFF2-40B4-BE49-F238E27FC236}">
                <a16:creationId xmlns:a16="http://schemas.microsoft.com/office/drawing/2014/main" id="{2617DB26-41FD-CEAE-BB2F-5A9BAB629701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3" name="Rectangle 876">
            <a:extLst>
              <a:ext uri="{FF2B5EF4-FFF2-40B4-BE49-F238E27FC236}">
                <a16:creationId xmlns:a16="http://schemas.microsoft.com/office/drawing/2014/main" id="{C6BE16F3-3061-ACAC-65A3-7B476307B95C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4" name="Rectangle 877">
            <a:extLst>
              <a:ext uri="{FF2B5EF4-FFF2-40B4-BE49-F238E27FC236}">
                <a16:creationId xmlns:a16="http://schemas.microsoft.com/office/drawing/2014/main" id="{7E4D8D18-C6E7-2404-24C1-FB5DADEE34D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5" name="Rectangle 878">
            <a:extLst>
              <a:ext uri="{FF2B5EF4-FFF2-40B4-BE49-F238E27FC236}">
                <a16:creationId xmlns:a16="http://schemas.microsoft.com/office/drawing/2014/main" id="{A0973561-8851-C0E6-5289-02AC9D3D9D1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6" name="Rectangle 879">
            <a:extLst>
              <a:ext uri="{FF2B5EF4-FFF2-40B4-BE49-F238E27FC236}">
                <a16:creationId xmlns:a16="http://schemas.microsoft.com/office/drawing/2014/main" id="{77E24454-6094-680D-EFEC-8A2E3763C191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87" name="Oval 880">
            <a:extLst>
              <a:ext uri="{FF2B5EF4-FFF2-40B4-BE49-F238E27FC236}">
                <a16:creationId xmlns:a16="http://schemas.microsoft.com/office/drawing/2014/main" id="{DF269BE2-032E-0F1A-95AF-1E6289559FFF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88" name="Oval 881">
            <a:extLst>
              <a:ext uri="{FF2B5EF4-FFF2-40B4-BE49-F238E27FC236}">
                <a16:creationId xmlns:a16="http://schemas.microsoft.com/office/drawing/2014/main" id="{DB8A3592-D2DA-C8A5-3D61-0187CEFFA975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89" name="AutoShape 882">
            <a:extLst>
              <a:ext uri="{FF2B5EF4-FFF2-40B4-BE49-F238E27FC236}">
                <a16:creationId xmlns:a16="http://schemas.microsoft.com/office/drawing/2014/main" id="{470E2AFC-6184-CFA9-F282-A85D49C1ABBE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6" name="Group 883">
          <a:extLst>
            <a:ext uri="{FF2B5EF4-FFF2-40B4-BE49-F238E27FC236}">
              <a16:creationId xmlns:a16="http://schemas.microsoft.com/office/drawing/2014/main" id="{BA675C5A-798D-036C-5AF1-FED43AF1911F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31474" name="Rectangle 884">
            <a:extLst>
              <a:ext uri="{FF2B5EF4-FFF2-40B4-BE49-F238E27FC236}">
                <a16:creationId xmlns:a16="http://schemas.microsoft.com/office/drawing/2014/main" id="{98E72219-C413-BFDF-A1A5-3BF469153B55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5" name="Rectangle 885">
            <a:extLst>
              <a:ext uri="{FF2B5EF4-FFF2-40B4-BE49-F238E27FC236}">
                <a16:creationId xmlns:a16="http://schemas.microsoft.com/office/drawing/2014/main" id="{18D2BF7A-2BA3-9027-497A-E8FDF0B07BD3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6" name="Rectangle 886">
            <a:extLst>
              <a:ext uri="{FF2B5EF4-FFF2-40B4-BE49-F238E27FC236}">
                <a16:creationId xmlns:a16="http://schemas.microsoft.com/office/drawing/2014/main" id="{EB101AB2-D523-C5E3-71BB-283ABB51258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7" name="Rectangle 887">
            <a:extLst>
              <a:ext uri="{FF2B5EF4-FFF2-40B4-BE49-F238E27FC236}">
                <a16:creationId xmlns:a16="http://schemas.microsoft.com/office/drawing/2014/main" id="{A5819A80-E44D-21B2-9516-36586D3AEA2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8" name="Rectangle 888">
            <a:extLst>
              <a:ext uri="{FF2B5EF4-FFF2-40B4-BE49-F238E27FC236}">
                <a16:creationId xmlns:a16="http://schemas.microsoft.com/office/drawing/2014/main" id="{9EBC8A85-E60A-1C4F-5AA6-AFA57E544ED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9" name="Oval 889">
            <a:extLst>
              <a:ext uri="{FF2B5EF4-FFF2-40B4-BE49-F238E27FC236}">
                <a16:creationId xmlns:a16="http://schemas.microsoft.com/office/drawing/2014/main" id="{62E07F27-3C92-0E9E-8673-8949D7D49811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80" name="Oval 890">
            <a:extLst>
              <a:ext uri="{FF2B5EF4-FFF2-40B4-BE49-F238E27FC236}">
                <a16:creationId xmlns:a16="http://schemas.microsoft.com/office/drawing/2014/main" id="{535D1C7B-B775-7CC7-7885-432818B543B8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81" name="AutoShape 891">
            <a:extLst>
              <a:ext uri="{FF2B5EF4-FFF2-40B4-BE49-F238E27FC236}">
                <a16:creationId xmlns:a16="http://schemas.microsoft.com/office/drawing/2014/main" id="{D6A4CC5B-301D-23A5-1059-87A14D8C50B1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37" name="Group 892">
          <a:extLst>
            <a:ext uri="{FF2B5EF4-FFF2-40B4-BE49-F238E27FC236}">
              <a16:creationId xmlns:a16="http://schemas.microsoft.com/office/drawing/2014/main" id="{8F24376A-BF3F-596E-FD10-88A52F5F3DEC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31466" name="Rectangle 893">
            <a:extLst>
              <a:ext uri="{FF2B5EF4-FFF2-40B4-BE49-F238E27FC236}">
                <a16:creationId xmlns:a16="http://schemas.microsoft.com/office/drawing/2014/main" id="{715A7FE6-BBEA-435A-DB4B-629493D6C789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7" name="Rectangle 894">
            <a:extLst>
              <a:ext uri="{FF2B5EF4-FFF2-40B4-BE49-F238E27FC236}">
                <a16:creationId xmlns:a16="http://schemas.microsoft.com/office/drawing/2014/main" id="{246C5F32-40EF-1328-B62C-7DEE378C0BD9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8" name="Rectangle 895">
            <a:extLst>
              <a:ext uri="{FF2B5EF4-FFF2-40B4-BE49-F238E27FC236}">
                <a16:creationId xmlns:a16="http://schemas.microsoft.com/office/drawing/2014/main" id="{26D54C05-6026-4A6B-78DF-90B2C5CCBD3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9" name="Rectangle 896">
            <a:extLst>
              <a:ext uri="{FF2B5EF4-FFF2-40B4-BE49-F238E27FC236}">
                <a16:creationId xmlns:a16="http://schemas.microsoft.com/office/drawing/2014/main" id="{4CAF9A8E-F88C-CBD5-9F96-CE0CD532383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0" name="Rectangle 897">
            <a:extLst>
              <a:ext uri="{FF2B5EF4-FFF2-40B4-BE49-F238E27FC236}">
                <a16:creationId xmlns:a16="http://schemas.microsoft.com/office/drawing/2014/main" id="{D24DCFF4-08F4-BCF3-3595-151A178B9714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71" name="Oval 898">
            <a:extLst>
              <a:ext uri="{FF2B5EF4-FFF2-40B4-BE49-F238E27FC236}">
                <a16:creationId xmlns:a16="http://schemas.microsoft.com/office/drawing/2014/main" id="{5C2C0C71-11CB-2559-6E1C-473516A70D2D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72" name="Oval 899">
            <a:extLst>
              <a:ext uri="{FF2B5EF4-FFF2-40B4-BE49-F238E27FC236}">
                <a16:creationId xmlns:a16="http://schemas.microsoft.com/office/drawing/2014/main" id="{59DA9009-9B1B-6EF2-78EB-CB502B54501A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73" name="AutoShape 900">
            <a:extLst>
              <a:ext uri="{FF2B5EF4-FFF2-40B4-BE49-F238E27FC236}">
                <a16:creationId xmlns:a16="http://schemas.microsoft.com/office/drawing/2014/main" id="{B7DC968D-A381-C587-D3C6-354202F1DF8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38" name="Group 901">
          <a:extLst>
            <a:ext uri="{FF2B5EF4-FFF2-40B4-BE49-F238E27FC236}">
              <a16:creationId xmlns:a16="http://schemas.microsoft.com/office/drawing/2014/main" id="{E419FE23-54EA-D750-565B-A43906D0664A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356" name="Rectangle 902">
            <a:extLst>
              <a:ext uri="{FF2B5EF4-FFF2-40B4-BE49-F238E27FC236}">
                <a16:creationId xmlns:a16="http://schemas.microsoft.com/office/drawing/2014/main" id="{4D713E5A-BE3A-D698-B0F7-82477BEA4D13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7" name="Rectangle 903">
            <a:extLst>
              <a:ext uri="{FF2B5EF4-FFF2-40B4-BE49-F238E27FC236}">
                <a16:creationId xmlns:a16="http://schemas.microsoft.com/office/drawing/2014/main" id="{C0A2CF06-B39C-C07E-8DE0-0F611C1585A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8" name="Rectangle 904">
            <a:extLst>
              <a:ext uri="{FF2B5EF4-FFF2-40B4-BE49-F238E27FC236}">
                <a16:creationId xmlns:a16="http://schemas.microsoft.com/office/drawing/2014/main" id="{D0B8C862-F09E-91E3-89A7-C7CEC8D5D8D4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9" name="Rectangle 905">
            <a:extLst>
              <a:ext uri="{FF2B5EF4-FFF2-40B4-BE49-F238E27FC236}">
                <a16:creationId xmlns:a16="http://schemas.microsoft.com/office/drawing/2014/main" id="{3134559B-2211-84DE-58AC-A2A60B6CADF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6" name="Rectangle 906">
            <a:extLst>
              <a:ext uri="{FF2B5EF4-FFF2-40B4-BE49-F238E27FC236}">
                <a16:creationId xmlns:a16="http://schemas.microsoft.com/office/drawing/2014/main" id="{51ACC16B-BA19-9593-7E02-03ED0F9B394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7" name="Rectangle 907">
            <a:extLst>
              <a:ext uri="{FF2B5EF4-FFF2-40B4-BE49-F238E27FC236}">
                <a16:creationId xmlns:a16="http://schemas.microsoft.com/office/drawing/2014/main" id="{51C4F225-4541-DFBC-FC48-3F2E9C29F432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8" name="Rectangle 908">
            <a:extLst>
              <a:ext uri="{FF2B5EF4-FFF2-40B4-BE49-F238E27FC236}">
                <a16:creationId xmlns:a16="http://schemas.microsoft.com/office/drawing/2014/main" id="{C0C1120F-3112-6C72-B4AB-0B5277D3B18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9" name="Rectangle 909">
            <a:extLst>
              <a:ext uri="{FF2B5EF4-FFF2-40B4-BE49-F238E27FC236}">
                <a16:creationId xmlns:a16="http://schemas.microsoft.com/office/drawing/2014/main" id="{85DF7846-1A13-528E-7666-6016D07E221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0" name="Oval 910">
            <a:extLst>
              <a:ext uri="{FF2B5EF4-FFF2-40B4-BE49-F238E27FC236}">
                <a16:creationId xmlns:a16="http://schemas.microsoft.com/office/drawing/2014/main" id="{5D813C4C-4702-56E4-F04F-37E8117E30AF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61" name="Oval 911">
            <a:extLst>
              <a:ext uri="{FF2B5EF4-FFF2-40B4-BE49-F238E27FC236}">
                <a16:creationId xmlns:a16="http://schemas.microsoft.com/office/drawing/2014/main" id="{C7E6CA2C-0804-0B38-FF39-CEBD492AB4C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62" name="Oval 912">
            <a:extLst>
              <a:ext uri="{FF2B5EF4-FFF2-40B4-BE49-F238E27FC236}">
                <a16:creationId xmlns:a16="http://schemas.microsoft.com/office/drawing/2014/main" id="{162F3BFB-D09E-D10C-43B2-3AD90C9A7F44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63" name="Oval 913">
            <a:extLst>
              <a:ext uri="{FF2B5EF4-FFF2-40B4-BE49-F238E27FC236}">
                <a16:creationId xmlns:a16="http://schemas.microsoft.com/office/drawing/2014/main" id="{22C08E59-5FA3-2DF2-6C55-C467F011037B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464" name="AutoShape 914">
            <a:extLst>
              <a:ext uri="{FF2B5EF4-FFF2-40B4-BE49-F238E27FC236}">
                <a16:creationId xmlns:a16="http://schemas.microsoft.com/office/drawing/2014/main" id="{DAB66F47-97EA-1096-8BC6-2C9DD09316F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65" name="AutoShape 915">
            <a:extLst>
              <a:ext uri="{FF2B5EF4-FFF2-40B4-BE49-F238E27FC236}">
                <a16:creationId xmlns:a16="http://schemas.microsoft.com/office/drawing/2014/main" id="{16C21C5A-5C49-74D4-75EF-CFBD002BA9A6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39" name="Group 916">
          <a:extLst>
            <a:ext uri="{FF2B5EF4-FFF2-40B4-BE49-F238E27FC236}">
              <a16:creationId xmlns:a16="http://schemas.microsoft.com/office/drawing/2014/main" id="{79B14F70-B2C8-63FD-4AC5-A4EE43D6694E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342" name="Rectangle 917">
            <a:extLst>
              <a:ext uri="{FF2B5EF4-FFF2-40B4-BE49-F238E27FC236}">
                <a16:creationId xmlns:a16="http://schemas.microsoft.com/office/drawing/2014/main" id="{6CD5A3B0-0114-FD85-D900-771FF534C093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3" name="Rectangle 918">
            <a:extLst>
              <a:ext uri="{FF2B5EF4-FFF2-40B4-BE49-F238E27FC236}">
                <a16:creationId xmlns:a16="http://schemas.microsoft.com/office/drawing/2014/main" id="{4B485BDE-D7AB-C32E-5EC9-A94ABC4FDED5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4" name="Rectangle 919">
            <a:extLst>
              <a:ext uri="{FF2B5EF4-FFF2-40B4-BE49-F238E27FC236}">
                <a16:creationId xmlns:a16="http://schemas.microsoft.com/office/drawing/2014/main" id="{8A83A618-44FA-93C0-3D10-709D021457B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5" name="Rectangle 920">
            <a:extLst>
              <a:ext uri="{FF2B5EF4-FFF2-40B4-BE49-F238E27FC236}">
                <a16:creationId xmlns:a16="http://schemas.microsoft.com/office/drawing/2014/main" id="{E8DE808C-7908-3358-BEFB-40CD7998247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6" name="Rectangle 921">
            <a:extLst>
              <a:ext uri="{FF2B5EF4-FFF2-40B4-BE49-F238E27FC236}">
                <a16:creationId xmlns:a16="http://schemas.microsoft.com/office/drawing/2014/main" id="{35D58418-4A1B-E352-D01C-E83BE006F29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7" name="Rectangle 922">
            <a:extLst>
              <a:ext uri="{FF2B5EF4-FFF2-40B4-BE49-F238E27FC236}">
                <a16:creationId xmlns:a16="http://schemas.microsoft.com/office/drawing/2014/main" id="{EFE67319-09A4-BAA8-A150-E2F3DA269A0C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8" name="Rectangle 923">
            <a:extLst>
              <a:ext uri="{FF2B5EF4-FFF2-40B4-BE49-F238E27FC236}">
                <a16:creationId xmlns:a16="http://schemas.microsoft.com/office/drawing/2014/main" id="{E1A6CB75-C461-0E67-AFFA-63FBBE9D0B0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9" name="Rectangle 924">
            <a:extLst>
              <a:ext uri="{FF2B5EF4-FFF2-40B4-BE49-F238E27FC236}">
                <a16:creationId xmlns:a16="http://schemas.microsoft.com/office/drawing/2014/main" id="{9C71AADA-27E0-0A94-1D26-43A44E93B05B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0" name="Oval 925">
            <a:extLst>
              <a:ext uri="{FF2B5EF4-FFF2-40B4-BE49-F238E27FC236}">
                <a16:creationId xmlns:a16="http://schemas.microsoft.com/office/drawing/2014/main" id="{C38CAB56-4387-23ED-43BE-D5AFCAE78E59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51" name="Oval 926">
            <a:extLst>
              <a:ext uri="{FF2B5EF4-FFF2-40B4-BE49-F238E27FC236}">
                <a16:creationId xmlns:a16="http://schemas.microsoft.com/office/drawing/2014/main" id="{932149BD-1988-926E-14E3-AE3BF1A2B6E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52" name="Oval 927">
            <a:extLst>
              <a:ext uri="{FF2B5EF4-FFF2-40B4-BE49-F238E27FC236}">
                <a16:creationId xmlns:a16="http://schemas.microsoft.com/office/drawing/2014/main" id="{6883FA61-8C4C-6D0D-2E3C-5A3D09EBED39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53" name="Oval 928">
            <a:extLst>
              <a:ext uri="{FF2B5EF4-FFF2-40B4-BE49-F238E27FC236}">
                <a16:creationId xmlns:a16="http://schemas.microsoft.com/office/drawing/2014/main" id="{16DD0DEC-9CEF-80CB-149D-6B47C456871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54" name="AutoShape 929">
            <a:extLst>
              <a:ext uri="{FF2B5EF4-FFF2-40B4-BE49-F238E27FC236}">
                <a16:creationId xmlns:a16="http://schemas.microsoft.com/office/drawing/2014/main" id="{C93AEC69-6F41-4B5F-722D-061CD9061094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55" name="AutoShape 930">
            <a:extLst>
              <a:ext uri="{FF2B5EF4-FFF2-40B4-BE49-F238E27FC236}">
                <a16:creationId xmlns:a16="http://schemas.microsoft.com/office/drawing/2014/main" id="{580FE1EB-8969-9EAB-91D1-3F4E10F420BF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0" name="Group 931">
          <a:extLst>
            <a:ext uri="{FF2B5EF4-FFF2-40B4-BE49-F238E27FC236}">
              <a16:creationId xmlns:a16="http://schemas.microsoft.com/office/drawing/2014/main" id="{F220AEEE-5E59-6E0F-5A85-C20E1441D80B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328" name="Rectangle 932">
            <a:extLst>
              <a:ext uri="{FF2B5EF4-FFF2-40B4-BE49-F238E27FC236}">
                <a16:creationId xmlns:a16="http://schemas.microsoft.com/office/drawing/2014/main" id="{A05987AF-17B6-964B-A008-6BB79B5B8CB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9" name="Rectangle 933">
            <a:extLst>
              <a:ext uri="{FF2B5EF4-FFF2-40B4-BE49-F238E27FC236}">
                <a16:creationId xmlns:a16="http://schemas.microsoft.com/office/drawing/2014/main" id="{B4503CEA-CAE8-8CE9-094E-241BE7B073E9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0" name="Rectangle 934">
            <a:extLst>
              <a:ext uri="{FF2B5EF4-FFF2-40B4-BE49-F238E27FC236}">
                <a16:creationId xmlns:a16="http://schemas.microsoft.com/office/drawing/2014/main" id="{1119DEE1-976C-FE5B-974B-2C3276321EA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1" name="Rectangle 935">
            <a:extLst>
              <a:ext uri="{FF2B5EF4-FFF2-40B4-BE49-F238E27FC236}">
                <a16:creationId xmlns:a16="http://schemas.microsoft.com/office/drawing/2014/main" id="{52CE0910-2C77-5383-636E-02A37209710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2" name="Rectangle 936">
            <a:extLst>
              <a:ext uri="{FF2B5EF4-FFF2-40B4-BE49-F238E27FC236}">
                <a16:creationId xmlns:a16="http://schemas.microsoft.com/office/drawing/2014/main" id="{B95A1992-087E-8704-521E-A95E0B2F2E6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3" name="Rectangle 937">
            <a:extLst>
              <a:ext uri="{FF2B5EF4-FFF2-40B4-BE49-F238E27FC236}">
                <a16:creationId xmlns:a16="http://schemas.microsoft.com/office/drawing/2014/main" id="{790D0239-BA3F-191B-5747-D66D5A2FA2E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4" name="Rectangle 938">
            <a:extLst>
              <a:ext uri="{FF2B5EF4-FFF2-40B4-BE49-F238E27FC236}">
                <a16:creationId xmlns:a16="http://schemas.microsoft.com/office/drawing/2014/main" id="{97D4616E-8E4B-30E8-A7F0-31719E627B07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5" name="Rectangle 939">
            <a:extLst>
              <a:ext uri="{FF2B5EF4-FFF2-40B4-BE49-F238E27FC236}">
                <a16:creationId xmlns:a16="http://schemas.microsoft.com/office/drawing/2014/main" id="{EB52A84E-0A67-D9B2-832E-1DB466ADC9B8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36" name="Oval 940">
            <a:extLst>
              <a:ext uri="{FF2B5EF4-FFF2-40B4-BE49-F238E27FC236}">
                <a16:creationId xmlns:a16="http://schemas.microsoft.com/office/drawing/2014/main" id="{457F8A52-E6BB-A6B8-9019-B5DAAF1B324C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37" name="Oval 941">
            <a:extLst>
              <a:ext uri="{FF2B5EF4-FFF2-40B4-BE49-F238E27FC236}">
                <a16:creationId xmlns:a16="http://schemas.microsoft.com/office/drawing/2014/main" id="{77992A40-C33D-B9B4-5832-C4A0A471C2BD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38" name="Oval 942">
            <a:extLst>
              <a:ext uri="{FF2B5EF4-FFF2-40B4-BE49-F238E27FC236}">
                <a16:creationId xmlns:a16="http://schemas.microsoft.com/office/drawing/2014/main" id="{75546E69-7BED-2A88-C43B-1F297334604F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39" name="Oval 943">
            <a:extLst>
              <a:ext uri="{FF2B5EF4-FFF2-40B4-BE49-F238E27FC236}">
                <a16:creationId xmlns:a16="http://schemas.microsoft.com/office/drawing/2014/main" id="{F03B7848-F5F6-7CA5-0491-F1AFE617C708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40" name="AutoShape 944">
            <a:extLst>
              <a:ext uri="{FF2B5EF4-FFF2-40B4-BE49-F238E27FC236}">
                <a16:creationId xmlns:a16="http://schemas.microsoft.com/office/drawing/2014/main" id="{020A0872-96F7-5C1C-E131-C3DBFAFB738C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41" name="AutoShape 945">
            <a:extLst>
              <a:ext uri="{FF2B5EF4-FFF2-40B4-BE49-F238E27FC236}">
                <a16:creationId xmlns:a16="http://schemas.microsoft.com/office/drawing/2014/main" id="{F25A6442-337C-C505-3D60-16B11D2CB90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1" name="Group 946">
          <a:extLst>
            <a:ext uri="{FF2B5EF4-FFF2-40B4-BE49-F238E27FC236}">
              <a16:creationId xmlns:a16="http://schemas.microsoft.com/office/drawing/2014/main" id="{EC5A30B9-83C4-9EEB-30D4-5D2E8234BEA2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314" name="Rectangle 947">
            <a:extLst>
              <a:ext uri="{FF2B5EF4-FFF2-40B4-BE49-F238E27FC236}">
                <a16:creationId xmlns:a16="http://schemas.microsoft.com/office/drawing/2014/main" id="{0DF78018-2756-F192-9321-3622AC0AC02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5" name="Rectangle 948">
            <a:extLst>
              <a:ext uri="{FF2B5EF4-FFF2-40B4-BE49-F238E27FC236}">
                <a16:creationId xmlns:a16="http://schemas.microsoft.com/office/drawing/2014/main" id="{DD92F094-0C38-79E3-3FDC-A8121029B949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6" name="Rectangle 949">
            <a:extLst>
              <a:ext uri="{FF2B5EF4-FFF2-40B4-BE49-F238E27FC236}">
                <a16:creationId xmlns:a16="http://schemas.microsoft.com/office/drawing/2014/main" id="{80C92E25-D81E-9425-5861-409F156BE86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7" name="Rectangle 950">
            <a:extLst>
              <a:ext uri="{FF2B5EF4-FFF2-40B4-BE49-F238E27FC236}">
                <a16:creationId xmlns:a16="http://schemas.microsoft.com/office/drawing/2014/main" id="{958E3E3E-43E6-4FD4-C5E6-10D5AE75F20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8" name="Rectangle 951">
            <a:extLst>
              <a:ext uri="{FF2B5EF4-FFF2-40B4-BE49-F238E27FC236}">
                <a16:creationId xmlns:a16="http://schemas.microsoft.com/office/drawing/2014/main" id="{DC3C71C1-331B-FB30-DBF2-55F08C6F40D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9" name="Rectangle 952">
            <a:extLst>
              <a:ext uri="{FF2B5EF4-FFF2-40B4-BE49-F238E27FC236}">
                <a16:creationId xmlns:a16="http://schemas.microsoft.com/office/drawing/2014/main" id="{613D4762-FEA9-3055-7837-53B6CBBAA4FC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0" name="Rectangle 953">
            <a:extLst>
              <a:ext uri="{FF2B5EF4-FFF2-40B4-BE49-F238E27FC236}">
                <a16:creationId xmlns:a16="http://schemas.microsoft.com/office/drawing/2014/main" id="{60ED00E7-39FD-4F19-8728-928930838C3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1" name="Rectangle 954">
            <a:extLst>
              <a:ext uri="{FF2B5EF4-FFF2-40B4-BE49-F238E27FC236}">
                <a16:creationId xmlns:a16="http://schemas.microsoft.com/office/drawing/2014/main" id="{A53F9A52-DC99-9EBD-0F76-D7BEB62EA01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2" name="Oval 955">
            <a:extLst>
              <a:ext uri="{FF2B5EF4-FFF2-40B4-BE49-F238E27FC236}">
                <a16:creationId xmlns:a16="http://schemas.microsoft.com/office/drawing/2014/main" id="{75680169-4024-B7F2-1F03-1584296E1641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23" name="Oval 956">
            <a:extLst>
              <a:ext uri="{FF2B5EF4-FFF2-40B4-BE49-F238E27FC236}">
                <a16:creationId xmlns:a16="http://schemas.microsoft.com/office/drawing/2014/main" id="{C3F40F90-90F7-A420-9A6A-12D078C62E7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24" name="Oval 957">
            <a:extLst>
              <a:ext uri="{FF2B5EF4-FFF2-40B4-BE49-F238E27FC236}">
                <a16:creationId xmlns:a16="http://schemas.microsoft.com/office/drawing/2014/main" id="{D627EAB0-5A8D-9863-E3A1-73054A487D31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25" name="Oval 958">
            <a:extLst>
              <a:ext uri="{FF2B5EF4-FFF2-40B4-BE49-F238E27FC236}">
                <a16:creationId xmlns:a16="http://schemas.microsoft.com/office/drawing/2014/main" id="{65C34D7E-85A8-179F-5E7F-8F7E6517EA08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26" name="AutoShape 959">
            <a:extLst>
              <a:ext uri="{FF2B5EF4-FFF2-40B4-BE49-F238E27FC236}">
                <a16:creationId xmlns:a16="http://schemas.microsoft.com/office/drawing/2014/main" id="{884B98FA-C9C4-04E7-A6BF-2DA61646E85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27" name="AutoShape 960">
            <a:extLst>
              <a:ext uri="{FF2B5EF4-FFF2-40B4-BE49-F238E27FC236}">
                <a16:creationId xmlns:a16="http://schemas.microsoft.com/office/drawing/2014/main" id="{3A5B1699-1F5F-E68F-17FB-2EE6B461DCA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2" name="Group 961">
          <a:extLst>
            <a:ext uri="{FF2B5EF4-FFF2-40B4-BE49-F238E27FC236}">
              <a16:creationId xmlns:a16="http://schemas.microsoft.com/office/drawing/2014/main" id="{DBA931A1-153B-E308-961F-EC7933277F09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300" name="Rectangle 962">
            <a:extLst>
              <a:ext uri="{FF2B5EF4-FFF2-40B4-BE49-F238E27FC236}">
                <a16:creationId xmlns:a16="http://schemas.microsoft.com/office/drawing/2014/main" id="{E98836C1-7A97-920C-847D-2EF4DEA1BC9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1" name="Rectangle 963">
            <a:extLst>
              <a:ext uri="{FF2B5EF4-FFF2-40B4-BE49-F238E27FC236}">
                <a16:creationId xmlns:a16="http://schemas.microsoft.com/office/drawing/2014/main" id="{A472BAF4-0971-31CE-1E20-618380087C96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2" name="Rectangle 964">
            <a:extLst>
              <a:ext uri="{FF2B5EF4-FFF2-40B4-BE49-F238E27FC236}">
                <a16:creationId xmlns:a16="http://schemas.microsoft.com/office/drawing/2014/main" id="{09EAEAB6-A496-2BE5-2D6B-04C80FE9E92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3" name="Rectangle 965">
            <a:extLst>
              <a:ext uri="{FF2B5EF4-FFF2-40B4-BE49-F238E27FC236}">
                <a16:creationId xmlns:a16="http://schemas.microsoft.com/office/drawing/2014/main" id="{BFBE4DC2-9B0A-563D-7E6E-401CC3911B5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4" name="Rectangle 966">
            <a:extLst>
              <a:ext uri="{FF2B5EF4-FFF2-40B4-BE49-F238E27FC236}">
                <a16:creationId xmlns:a16="http://schemas.microsoft.com/office/drawing/2014/main" id="{FC5C9ACB-3EFF-3878-4E6F-ABF947E2CAF7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5" name="Rectangle 967">
            <a:extLst>
              <a:ext uri="{FF2B5EF4-FFF2-40B4-BE49-F238E27FC236}">
                <a16:creationId xmlns:a16="http://schemas.microsoft.com/office/drawing/2014/main" id="{6DD1D494-7C3B-4543-D5A6-B489C2777FA5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6" name="Rectangle 968">
            <a:extLst>
              <a:ext uri="{FF2B5EF4-FFF2-40B4-BE49-F238E27FC236}">
                <a16:creationId xmlns:a16="http://schemas.microsoft.com/office/drawing/2014/main" id="{B9DF7C22-8972-0C1E-708B-78FF8BC4332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7" name="Rectangle 969">
            <a:extLst>
              <a:ext uri="{FF2B5EF4-FFF2-40B4-BE49-F238E27FC236}">
                <a16:creationId xmlns:a16="http://schemas.microsoft.com/office/drawing/2014/main" id="{26EA5996-DE0D-2154-F82B-BEB3B30D0FF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08" name="Oval 970">
            <a:extLst>
              <a:ext uri="{FF2B5EF4-FFF2-40B4-BE49-F238E27FC236}">
                <a16:creationId xmlns:a16="http://schemas.microsoft.com/office/drawing/2014/main" id="{C7C2A3B7-D1FB-D786-E43B-22359E2C01D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09" name="Oval 971">
            <a:extLst>
              <a:ext uri="{FF2B5EF4-FFF2-40B4-BE49-F238E27FC236}">
                <a16:creationId xmlns:a16="http://schemas.microsoft.com/office/drawing/2014/main" id="{A84B4E6E-DCE8-13A7-3CAE-3070FF3AB58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10" name="Oval 972">
            <a:extLst>
              <a:ext uri="{FF2B5EF4-FFF2-40B4-BE49-F238E27FC236}">
                <a16:creationId xmlns:a16="http://schemas.microsoft.com/office/drawing/2014/main" id="{EA7149D4-8537-81D7-0534-AA890A5E6E1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11" name="Oval 973">
            <a:extLst>
              <a:ext uri="{FF2B5EF4-FFF2-40B4-BE49-F238E27FC236}">
                <a16:creationId xmlns:a16="http://schemas.microsoft.com/office/drawing/2014/main" id="{3DFDCA39-F4BD-41FD-743B-E9EEA507EEA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312" name="AutoShape 974">
            <a:extLst>
              <a:ext uri="{FF2B5EF4-FFF2-40B4-BE49-F238E27FC236}">
                <a16:creationId xmlns:a16="http://schemas.microsoft.com/office/drawing/2014/main" id="{FCFD54C7-4BC5-0B6F-7359-B3461FAFF395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313" name="AutoShape 975">
            <a:extLst>
              <a:ext uri="{FF2B5EF4-FFF2-40B4-BE49-F238E27FC236}">
                <a16:creationId xmlns:a16="http://schemas.microsoft.com/office/drawing/2014/main" id="{565E1965-5553-FA74-1659-13BCF874E98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3" name="Group 976">
          <a:extLst>
            <a:ext uri="{FF2B5EF4-FFF2-40B4-BE49-F238E27FC236}">
              <a16:creationId xmlns:a16="http://schemas.microsoft.com/office/drawing/2014/main" id="{5F1A4FA3-905A-81A3-C327-DEFB8D1FD525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286" name="Rectangle 977">
            <a:extLst>
              <a:ext uri="{FF2B5EF4-FFF2-40B4-BE49-F238E27FC236}">
                <a16:creationId xmlns:a16="http://schemas.microsoft.com/office/drawing/2014/main" id="{2DC37CD0-9B4B-5603-7A4F-7EEF0881912B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7" name="Rectangle 978">
            <a:extLst>
              <a:ext uri="{FF2B5EF4-FFF2-40B4-BE49-F238E27FC236}">
                <a16:creationId xmlns:a16="http://schemas.microsoft.com/office/drawing/2014/main" id="{64A99C50-E9AE-E916-18FC-B5C79A0D2AC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8" name="Rectangle 979">
            <a:extLst>
              <a:ext uri="{FF2B5EF4-FFF2-40B4-BE49-F238E27FC236}">
                <a16:creationId xmlns:a16="http://schemas.microsoft.com/office/drawing/2014/main" id="{A60B96C5-CDDD-F1B3-1E62-497BCB703BE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9" name="Rectangle 980">
            <a:extLst>
              <a:ext uri="{FF2B5EF4-FFF2-40B4-BE49-F238E27FC236}">
                <a16:creationId xmlns:a16="http://schemas.microsoft.com/office/drawing/2014/main" id="{9D9FC7A6-3042-5F67-2724-400A0E48C73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0" name="Rectangle 981">
            <a:extLst>
              <a:ext uri="{FF2B5EF4-FFF2-40B4-BE49-F238E27FC236}">
                <a16:creationId xmlns:a16="http://schemas.microsoft.com/office/drawing/2014/main" id="{7944F7B6-A784-39CA-8A19-B6514C8307F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1" name="Rectangle 982">
            <a:extLst>
              <a:ext uri="{FF2B5EF4-FFF2-40B4-BE49-F238E27FC236}">
                <a16:creationId xmlns:a16="http://schemas.microsoft.com/office/drawing/2014/main" id="{30CE801A-C842-7AC9-C188-3828A90F0871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2" name="Rectangle 983">
            <a:extLst>
              <a:ext uri="{FF2B5EF4-FFF2-40B4-BE49-F238E27FC236}">
                <a16:creationId xmlns:a16="http://schemas.microsoft.com/office/drawing/2014/main" id="{4D6EEC7F-AADD-3BBB-FBDD-F5D7BD032C05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3" name="Rectangle 984">
            <a:extLst>
              <a:ext uri="{FF2B5EF4-FFF2-40B4-BE49-F238E27FC236}">
                <a16:creationId xmlns:a16="http://schemas.microsoft.com/office/drawing/2014/main" id="{A4FDAC07-CA7A-C308-27B7-17B2692E56B5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4" name="Oval 985">
            <a:extLst>
              <a:ext uri="{FF2B5EF4-FFF2-40B4-BE49-F238E27FC236}">
                <a16:creationId xmlns:a16="http://schemas.microsoft.com/office/drawing/2014/main" id="{4AFAE77A-EBDC-80ED-269F-58E268579DEB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95" name="Oval 986">
            <a:extLst>
              <a:ext uri="{FF2B5EF4-FFF2-40B4-BE49-F238E27FC236}">
                <a16:creationId xmlns:a16="http://schemas.microsoft.com/office/drawing/2014/main" id="{B2A84252-4BA8-5FD1-1679-F9C3A70FCB8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96" name="Oval 987">
            <a:extLst>
              <a:ext uri="{FF2B5EF4-FFF2-40B4-BE49-F238E27FC236}">
                <a16:creationId xmlns:a16="http://schemas.microsoft.com/office/drawing/2014/main" id="{89D8DADC-4EA5-FDB6-6D5D-F8650385B9DF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97" name="Oval 988">
            <a:extLst>
              <a:ext uri="{FF2B5EF4-FFF2-40B4-BE49-F238E27FC236}">
                <a16:creationId xmlns:a16="http://schemas.microsoft.com/office/drawing/2014/main" id="{9FF32F18-76CA-5904-F007-B064B0ADF5B7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98" name="AutoShape 989">
            <a:extLst>
              <a:ext uri="{FF2B5EF4-FFF2-40B4-BE49-F238E27FC236}">
                <a16:creationId xmlns:a16="http://schemas.microsoft.com/office/drawing/2014/main" id="{990D633A-0814-03F0-47B0-2C69E6EDC747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99" name="AutoShape 990">
            <a:extLst>
              <a:ext uri="{FF2B5EF4-FFF2-40B4-BE49-F238E27FC236}">
                <a16:creationId xmlns:a16="http://schemas.microsoft.com/office/drawing/2014/main" id="{BE86CC6A-66BF-8AD2-9DF4-DD03B9692228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4" name="Group 991">
          <a:extLst>
            <a:ext uri="{FF2B5EF4-FFF2-40B4-BE49-F238E27FC236}">
              <a16:creationId xmlns:a16="http://schemas.microsoft.com/office/drawing/2014/main" id="{B43AF688-EEB8-F709-0350-683B1198B3DA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272" name="Rectangle 992">
            <a:extLst>
              <a:ext uri="{FF2B5EF4-FFF2-40B4-BE49-F238E27FC236}">
                <a16:creationId xmlns:a16="http://schemas.microsoft.com/office/drawing/2014/main" id="{740DE39C-DDCA-AEF6-E41F-50B5A5DBD785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3" name="Rectangle 993">
            <a:extLst>
              <a:ext uri="{FF2B5EF4-FFF2-40B4-BE49-F238E27FC236}">
                <a16:creationId xmlns:a16="http://schemas.microsoft.com/office/drawing/2014/main" id="{74B33FD5-76E8-1F89-1D91-9DA50BDCF606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4" name="Rectangle 994">
            <a:extLst>
              <a:ext uri="{FF2B5EF4-FFF2-40B4-BE49-F238E27FC236}">
                <a16:creationId xmlns:a16="http://schemas.microsoft.com/office/drawing/2014/main" id="{78EF02EA-124E-CE88-63E1-F21A060D600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5" name="Rectangle 995">
            <a:extLst>
              <a:ext uri="{FF2B5EF4-FFF2-40B4-BE49-F238E27FC236}">
                <a16:creationId xmlns:a16="http://schemas.microsoft.com/office/drawing/2014/main" id="{A7A882F1-B0F5-D6C6-EE8D-4C482D22BAA4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6" name="Rectangle 996">
            <a:extLst>
              <a:ext uri="{FF2B5EF4-FFF2-40B4-BE49-F238E27FC236}">
                <a16:creationId xmlns:a16="http://schemas.microsoft.com/office/drawing/2014/main" id="{2FEC1B3A-C318-9E4B-AFF2-B6EBAF784A9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7" name="Rectangle 997">
            <a:extLst>
              <a:ext uri="{FF2B5EF4-FFF2-40B4-BE49-F238E27FC236}">
                <a16:creationId xmlns:a16="http://schemas.microsoft.com/office/drawing/2014/main" id="{AD7288B0-99A6-F422-E861-B7DD875F6AE1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8" name="Rectangle 998">
            <a:extLst>
              <a:ext uri="{FF2B5EF4-FFF2-40B4-BE49-F238E27FC236}">
                <a16:creationId xmlns:a16="http://schemas.microsoft.com/office/drawing/2014/main" id="{5053DAA8-D5BE-3A90-8A11-6E0E294B2DA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9" name="Rectangle 999">
            <a:extLst>
              <a:ext uri="{FF2B5EF4-FFF2-40B4-BE49-F238E27FC236}">
                <a16:creationId xmlns:a16="http://schemas.microsoft.com/office/drawing/2014/main" id="{5B494FCF-2805-A086-407C-BC10C06C6EFD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0" name="Oval 1000">
            <a:extLst>
              <a:ext uri="{FF2B5EF4-FFF2-40B4-BE49-F238E27FC236}">
                <a16:creationId xmlns:a16="http://schemas.microsoft.com/office/drawing/2014/main" id="{501996A4-8B0E-7EAE-5C15-19904CC3946A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81" name="Oval 1001">
            <a:extLst>
              <a:ext uri="{FF2B5EF4-FFF2-40B4-BE49-F238E27FC236}">
                <a16:creationId xmlns:a16="http://schemas.microsoft.com/office/drawing/2014/main" id="{C1C93592-8E79-795D-519A-734CFBBABD8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82" name="Oval 1002">
            <a:extLst>
              <a:ext uri="{FF2B5EF4-FFF2-40B4-BE49-F238E27FC236}">
                <a16:creationId xmlns:a16="http://schemas.microsoft.com/office/drawing/2014/main" id="{4E0EA949-61E9-5784-15B2-248E4BA9D4F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83" name="Oval 1003">
            <a:extLst>
              <a:ext uri="{FF2B5EF4-FFF2-40B4-BE49-F238E27FC236}">
                <a16:creationId xmlns:a16="http://schemas.microsoft.com/office/drawing/2014/main" id="{E11D423E-D266-F74C-7B10-FB5677C91A72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84" name="AutoShape 1004">
            <a:extLst>
              <a:ext uri="{FF2B5EF4-FFF2-40B4-BE49-F238E27FC236}">
                <a16:creationId xmlns:a16="http://schemas.microsoft.com/office/drawing/2014/main" id="{6A003B07-EDF2-920C-621E-41E27A383FF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85" name="AutoShape 1005">
            <a:extLst>
              <a:ext uri="{FF2B5EF4-FFF2-40B4-BE49-F238E27FC236}">
                <a16:creationId xmlns:a16="http://schemas.microsoft.com/office/drawing/2014/main" id="{59601684-254B-BD66-36F0-1CC21892337A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5" name="Group 1006">
          <a:extLst>
            <a:ext uri="{FF2B5EF4-FFF2-40B4-BE49-F238E27FC236}">
              <a16:creationId xmlns:a16="http://schemas.microsoft.com/office/drawing/2014/main" id="{032D8096-609B-B589-C5AD-ED1D517DC1B0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258" name="Rectangle 1007">
            <a:extLst>
              <a:ext uri="{FF2B5EF4-FFF2-40B4-BE49-F238E27FC236}">
                <a16:creationId xmlns:a16="http://schemas.microsoft.com/office/drawing/2014/main" id="{2DF47F66-C625-CC5F-7EFC-BBDEAE3E198D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9" name="Rectangle 1008">
            <a:extLst>
              <a:ext uri="{FF2B5EF4-FFF2-40B4-BE49-F238E27FC236}">
                <a16:creationId xmlns:a16="http://schemas.microsoft.com/office/drawing/2014/main" id="{968A6788-DE79-A5BD-6E9B-19DD39E3E77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0" name="Rectangle 1009">
            <a:extLst>
              <a:ext uri="{FF2B5EF4-FFF2-40B4-BE49-F238E27FC236}">
                <a16:creationId xmlns:a16="http://schemas.microsoft.com/office/drawing/2014/main" id="{F6FEF81A-E1C7-538A-3F94-261A131263F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1" name="Rectangle 1010">
            <a:extLst>
              <a:ext uri="{FF2B5EF4-FFF2-40B4-BE49-F238E27FC236}">
                <a16:creationId xmlns:a16="http://schemas.microsoft.com/office/drawing/2014/main" id="{19488155-B565-AE13-DC9C-343389F5134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2" name="Rectangle 1011">
            <a:extLst>
              <a:ext uri="{FF2B5EF4-FFF2-40B4-BE49-F238E27FC236}">
                <a16:creationId xmlns:a16="http://schemas.microsoft.com/office/drawing/2014/main" id="{791F3DE6-730E-46D9-EA85-3C34413B551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3" name="Rectangle 1012">
            <a:extLst>
              <a:ext uri="{FF2B5EF4-FFF2-40B4-BE49-F238E27FC236}">
                <a16:creationId xmlns:a16="http://schemas.microsoft.com/office/drawing/2014/main" id="{5E96329A-5581-17AD-0F44-E2F565B7E0C3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4" name="Rectangle 1013">
            <a:extLst>
              <a:ext uri="{FF2B5EF4-FFF2-40B4-BE49-F238E27FC236}">
                <a16:creationId xmlns:a16="http://schemas.microsoft.com/office/drawing/2014/main" id="{D73D5462-2FE7-6920-60ED-5965FEF415C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5" name="Rectangle 1014">
            <a:extLst>
              <a:ext uri="{FF2B5EF4-FFF2-40B4-BE49-F238E27FC236}">
                <a16:creationId xmlns:a16="http://schemas.microsoft.com/office/drawing/2014/main" id="{A50863B9-5D7B-65EB-CF91-EB1BD67C8A4C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66" name="Oval 1015">
            <a:extLst>
              <a:ext uri="{FF2B5EF4-FFF2-40B4-BE49-F238E27FC236}">
                <a16:creationId xmlns:a16="http://schemas.microsoft.com/office/drawing/2014/main" id="{27EF7047-72A9-FFF8-B90A-372B407EE62C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67" name="Oval 1016">
            <a:extLst>
              <a:ext uri="{FF2B5EF4-FFF2-40B4-BE49-F238E27FC236}">
                <a16:creationId xmlns:a16="http://schemas.microsoft.com/office/drawing/2014/main" id="{A2FE0CBA-2A25-932C-BD2D-9AC52E0B927C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68" name="Oval 1017">
            <a:extLst>
              <a:ext uri="{FF2B5EF4-FFF2-40B4-BE49-F238E27FC236}">
                <a16:creationId xmlns:a16="http://schemas.microsoft.com/office/drawing/2014/main" id="{A42B371B-61D7-60B7-126A-D2D175CBCB9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69" name="Oval 1018">
            <a:extLst>
              <a:ext uri="{FF2B5EF4-FFF2-40B4-BE49-F238E27FC236}">
                <a16:creationId xmlns:a16="http://schemas.microsoft.com/office/drawing/2014/main" id="{4B90B820-BE51-28F3-996E-D875333B84E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70" name="AutoShape 1019">
            <a:extLst>
              <a:ext uri="{FF2B5EF4-FFF2-40B4-BE49-F238E27FC236}">
                <a16:creationId xmlns:a16="http://schemas.microsoft.com/office/drawing/2014/main" id="{C3AC70D6-C0C3-14D4-94AB-0B3BF33D7A79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71" name="AutoShape 1020">
            <a:extLst>
              <a:ext uri="{FF2B5EF4-FFF2-40B4-BE49-F238E27FC236}">
                <a16:creationId xmlns:a16="http://schemas.microsoft.com/office/drawing/2014/main" id="{ABA81E1D-0CDC-D658-545C-E9E0966EA35E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6" name="Group 1021">
          <a:extLst>
            <a:ext uri="{FF2B5EF4-FFF2-40B4-BE49-F238E27FC236}">
              <a16:creationId xmlns:a16="http://schemas.microsoft.com/office/drawing/2014/main" id="{468ED778-D851-59B4-F236-3965A784B910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244" name="Rectangle 1022">
            <a:extLst>
              <a:ext uri="{FF2B5EF4-FFF2-40B4-BE49-F238E27FC236}">
                <a16:creationId xmlns:a16="http://schemas.microsoft.com/office/drawing/2014/main" id="{457716CE-BCB2-E089-C15B-77081B602DFB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5" name="Rectangle 1023">
            <a:extLst>
              <a:ext uri="{FF2B5EF4-FFF2-40B4-BE49-F238E27FC236}">
                <a16:creationId xmlns:a16="http://schemas.microsoft.com/office/drawing/2014/main" id="{58A2B98A-782C-BD0B-0670-49A8F237D9A4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6" name="Rectangle 1024">
            <a:extLst>
              <a:ext uri="{FF2B5EF4-FFF2-40B4-BE49-F238E27FC236}">
                <a16:creationId xmlns:a16="http://schemas.microsoft.com/office/drawing/2014/main" id="{7629C341-F160-E616-2FE6-366602083F3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7" name="Rectangle 1025">
            <a:extLst>
              <a:ext uri="{FF2B5EF4-FFF2-40B4-BE49-F238E27FC236}">
                <a16:creationId xmlns:a16="http://schemas.microsoft.com/office/drawing/2014/main" id="{B1256CF0-0989-B898-051B-6FE5766047E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8" name="Rectangle 1026">
            <a:extLst>
              <a:ext uri="{FF2B5EF4-FFF2-40B4-BE49-F238E27FC236}">
                <a16:creationId xmlns:a16="http://schemas.microsoft.com/office/drawing/2014/main" id="{613A3384-4E8D-CB2E-2756-DC942367645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9" name="Rectangle 1027">
            <a:extLst>
              <a:ext uri="{FF2B5EF4-FFF2-40B4-BE49-F238E27FC236}">
                <a16:creationId xmlns:a16="http://schemas.microsoft.com/office/drawing/2014/main" id="{442DFEA4-367B-4A83-CD6D-63714A9A44CD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0" name="Rectangle 1028">
            <a:extLst>
              <a:ext uri="{FF2B5EF4-FFF2-40B4-BE49-F238E27FC236}">
                <a16:creationId xmlns:a16="http://schemas.microsoft.com/office/drawing/2014/main" id="{7356124B-5E38-743C-F292-A155D060CFDB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1" name="Rectangle 1029">
            <a:extLst>
              <a:ext uri="{FF2B5EF4-FFF2-40B4-BE49-F238E27FC236}">
                <a16:creationId xmlns:a16="http://schemas.microsoft.com/office/drawing/2014/main" id="{08D60AC6-EDF7-B043-2D0C-D32567170A4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2" name="Oval 1030">
            <a:extLst>
              <a:ext uri="{FF2B5EF4-FFF2-40B4-BE49-F238E27FC236}">
                <a16:creationId xmlns:a16="http://schemas.microsoft.com/office/drawing/2014/main" id="{14940C5C-8EF0-A020-7642-1CF92EF0F08C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53" name="Oval 1031">
            <a:extLst>
              <a:ext uri="{FF2B5EF4-FFF2-40B4-BE49-F238E27FC236}">
                <a16:creationId xmlns:a16="http://schemas.microsoft.com/office/drawing/2014/main" id="{2FDEFE9C-A1FF-5DD9-4EC8-ADB113211FE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54" name="Oval 1032">
            <a:extLst>
              <a:ext uri="{FF2B5EF4-FFF2-40B4-BE49-F238E27FC236}">
                <a16:creationId xmlns:a16="http://schemas.microsoft.com/office/drawing/2014/main" id="{BE74118C-51E1-AEEE-E4AA-AC5FBB805A4E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55" name="Oval 1033">
            <a:extLst>
              <a:ext uri="{FF2B5EF4-FFF2-40B4-BE49-F238E27FC236}">
                <a16:creationId xmlns:a16="http://schemas.microsoft.com/office/drawing/2014/main" id="{1D329313-CBE9-CAC1-40FF-C8D5A93DB0F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56" name="AutoShape 1034">
            <a:extLst>
              <a:ext uri="{FF2B5EF4-FFF2-40B4-BE49-F238E27FC236}">
                <a16:creationId xmlns:a16="http://schemas.microsoft.com/office/drawing/2014/main" id="{0C76B725-1B9C-7549-4096-02303D73173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57" name="AutoShape 1035">
            <a:extLst>
              <a:ext uri="{FF2B5EF4-FFF2-40B4-BE49-F238E27FC236}">
                <a16:creationId xmlns:a16="http://schemas.microsoft.com/office/drawing/2014/main" id="{89C0C749-8A0D-A3D7-B2FD-D51C8B28E954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68580</xdr:rowOff>
    </xdr:from>
    <xdr:to>
      <xdr:col>10</xdr:col>
      <xdr:colOff>0</xdr:colOff>
      <xdr:row>2</xdr:row>
      <xdr:rowOff>441960</xdr:rowOff>
    </xdr:to>
    <xdr:grpSp>
      <xdr:nvGrpSpPr>
        <xdr:cNvPr id="526847" name="Group 1036">
          <a:extLst>
            <a:ext uri="{FF2B5EF4-FFF2-40B4-BE49-F238E27FC236}">
              <a16:creationId xmlns:a16="http://schemas.microsoft.com/office/drawing/2014/main" id="{C29853AE-096A-7EEE-6A3B-957946DC0616}"/>
            </a:ext>
          </a:extLst>
        </xdr:cNvPr>
        <xdr:cNvGrpSpPr>
          <a:grpSpLocks/>
        </xdr:cNvGrpSpPr>
      </xdr:nvGrpSpPr>
      <xdr:grpSpPr bwMode="auto">
        <a:xfrm>
          <a:off x="9893710" y="1199290"/>
          <a:ext cx="0" cy="373380"/>
          <a:chOff x="624" y="37"/>
          <a:chExt cx="552" cy="248"/>
        </a:xfrm>
      </xdr:grpSpPr>
      <xdr:sp macro="" textlink="">
        <xdr:nvSpPr>
          <xdr:cNvPr id="527230" name="Rectangle 1037">
            <a:extLst>
              <a:ext uri="{FF2B5EF4-FFF2-40B4-BE49-F238E27FC236}">
                <a16:creationId xmlns:a16="http://schemas.microsoft.com/office/drawing/2014/main" id="{0C109E03-9BD5-EC07-7AA6-BCC5397D655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1" name="Rectangle 1038">
            <a:extLst>
              <a:ext uri="{FF2B5EF4-FFF2-40B4-BE49-F238E27FC236}">
                <a16:creationId xmlns:a16="http://schemas.microsoft.com/office/drawing/2014/main" id="{06FD25F7-8755-15A0-B39D-9556E3F064E2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2" name="Rectangle 1039">
            <a:extLst>
              <a:ext uri="{FF2B5EF4-FFF2-40B4-BE49-F238E27FC236}">
                <a16:creationId xmlns:a16="http://schemas.microsoft.com/office/drawing/2014/main" id="{93BEB94E-3777-33F6-D74A-809BDF6A39A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3" name="Rectangle 1040">
            <a:extLst>
              <a:ext uri="{FF2B5EF4-FFF2-40B4-BE49-F238E27FC236}">
                <a16:creationId xmlns:a16="http://schemas.microsoft.com/office/drawing/2014/main" id="{B226B22B-551B-0B44-F98F-2216705BE83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4" name="Rectangle 1041">
            <a:extLst>
              <a:ext uri="{FF2B5EF4-FFF2-40B4-BE49-F238E27FC236}">
                <a16:creationId xmlns:a16="http://schemas.microsoft.com/office/drawing/2014/main" id="{90562613-7E1F-FFBF-8E25-02AE0297D01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5" name="Rectangle 1042">
            <a:extLst>
              <a:ext uri="{FF2B5EF4-FFF2-40B4-BE49-F238E27FC236}">
                <a16:creationId xmlns:a16="http://schemas.microsoft.com/office/drawing/2014/main" id="{AB1C7AF1-BA96-56C8-C2EB-945B1749B84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6" name="Rectangle 1043">
            <a:extLst>
              <a:ext uri="{FF2B5EF4-FFF2-40B4-BE49-F238E27FC236}">
                <a16:creationId xmlns:a16="http://schemas.microsoft.com/office/drawing/2014/main" id="{9FAF27BF-462D-0BA9-3DF0-9934AA6781EA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7" name="Rectangle 1044">
            <a:extLst>
              <a:ext uri="{FF2B5EF4-FFF2-40B4-BE49-F238E27FC236}">
                <a16:creationId xmlns:a16="http://schemas.microsoft.com/office/drawing/2014/main" id="{038E513C-FC43-86D3-B5C3-F69476DE2464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38" name="Oval 1045">
            <a:extLst>
              <a:ext uri="{FF2B5EF4-FFF2-40B4-BE49-F238E27FC236}">
                <a16:creationId xmlns:a16="http://schemas.microsoft.com/office/drawing/2014/main" id="{C6993BD8-D555-4239-92D5-ABFBE9642F2E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39" name="Oval 1046">
            <a:extLst>
              <a:ext uri="{FF2B5EF4-FFF2-40B4-BE49-F238E27FC236}">
                <a16:creationId xmlns:a16="http://schemas.microsoft.com/office/drawing/2014/main" id="{0E961440-451C-1CF2-AABB-A0A6F147AC88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40" name="Oval 1047">
            <a:extLst>
              <a:ext uri="{FF2B5EF4-FFF2-40B4-BE49-F238E27FC236}">
                <a16:creationId xmlns:a16="http://schemas.microsoft.com/office/drawing/2014/main" id="{580E61A8-0EF8-2ABD-6546-D79DCCF08B1B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41" name="Oval 1048">
            <a:extLst>
              <a:ext uri="{FF2B5EF4-FFF2-40B4-BE49-F238E27FC236}">
                <a16:creationId xmlns:a16="http://schemas.microsoft.com/office/drawing/2014/main" id="{041A48D7-45B7-331E-878F-431704D95066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42" name="AutoShape 1049">
            <a:extLst>
              <a:ext uri="{FF2B5EF4-FFF2-40B4-BE49-F238E27FC236}">
                <a16:creationId xmlns:a16="http://schemas.microsoft.com/office/drawing/2014/main" id="{5626A397-8F63-6F73-DBFF-2E72CB833BC9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43" name="AutoShape 1050">
            <a:extLst>
              <a:ext uri="{FF2B5EF4-FFF2-40B4-BE49-F238E27FC236}">
                <a16:creationId xmlns:a16="http://schemas.microsoft.com/office/drawing/2014/main" id="{04E78BFB-3493-AB96-A9A3-25D25923C44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48" name="Group 1051">
          <a:extLst>
            <a:ext uri="{FF2B5EF4-FFF2-40B4-BE49-F238E27FC236}">
              <a16:creationId xmlns:a16="http://schemas.microsoft.com/office/drawing/2014/main" id="{26953B76-170E-0783-A6CA-4CC13904B1F2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27222" name="Rectangle 1052">
            <a:extLst>
              <a:ext uri="{FF2B5EF4-FFF2-40B4-BE49-F238E27FC236}">
                <a16:creationId xmlns:a16="http://schemas.microsoft.com/office/drawing/2014/main" id="{0DC0892D-1AE6-DFAD-67DD-B1AC39C0D64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3" name="Rectangle 1053">
            <a:extLst>
              <a:ext uri="{FF2B5EF4-FFF2-40B4-BE49-F238E27FC236}">
                <a16:creationId xmlns:a16="http://schemas.microsoft.com/office/drawing/2014/main" id="{896B8248-CDFC-B70A-2872-9FFC50F0540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4" name="Rectangle 1054">
            <a:extLst>
              <a:ext uri="{FF2B5EF4-FFF2-40B4-BE49-F238E27FC236}">
                <a16:creationId xmlns:a16="http://schemas.microsoft.com/office/drawing/2014/main" id="{78974D39-DD76-EA29-9417-8A8C2DBB90D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5" name="Rectangle 1055">
            <a:extLst>
              <a:ext uri="{FF2B5EF4-FFF2-40B4-BE49-F238E27FC236}">
                <a16:creationId xmlns:a16="http://schemas.microsoft.com/office/drawing/2014/main" id="{615991E9-98E4-5240-FC84-01FF3B46194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6" name="Rectangle 1056">
            <a:extLst>
              <a:ext uri="{FF2B5EF4-FFF2-40B4-BE49-F238E27FC236}">
                <a16:creationId xmlns:a16="http://schemas.microsoft.com/office/drawing/2014/main" id="{CD0E7533-A918-A88F-A46F-8DD39329CF6D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27" name="Oval 1057">
            <a:extLst>
              <a:ext uri="{FF2B5EF4-FFF2-40B4-BE49-F238E27FC236}">
                <a16:creationId xmlns:a16="http://schemas.microsoft.com/office/drawing/2014/main" id="{64422C9B-6B2C-49B5-12A2-823BFBD1D78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28" name="Oval 1058">
            <a:extLst>
              <a:ext uri="{FF2B5EF4-FFF2-40B4-BE49-F238E27FC236}">
                <a16:creationId xmlns:a16="http://schemas.microsoft.com/office/drawing/2014/main" id="{C068EF49-3FCB-6FCA-865B-6BD20626740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29" name="AutoShape 1059">
            <a:extLst>
              <a:ext uri="{FF2B5EF4-FFF2-40B4-BE49-F238E27FC236}">
                <a16:creationId xmlns:a16="http://schemas.microsoft.com/office/drawing/2014/main" id="{6C44396A-4308-1287-3671-CDCBDA478449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49" name="Group 1060">
          <a:extLst>
            <a:ext uri="{FF2B5EF4-FFF2-40B4-BE49-F238E27FC236}">
              <a16:creationId xmlns:a16="http://schemas.microsoft.com/office/drawing/2014/main" id="{6AB24DE8-3DF0-6307-F8EC-E5411510DE60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27214" name="Rectangle 1061">
            <a:extLst>
              <a:ext uri="{FF2B5EF4-FFF2-40B4-BE49-F238E27FC236}">
                <a16:creationId xmlns:a16="http://schemas.microsoft.com/office/drawing/2014/main" id="{91701026-C4C1-546A-D3EF-0F6F0595BB70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5" name="Rectangle 1062">
            <a:extLst>
              <a:ext uri="{FF2B5EF4-FFF2-40B4-BE49-F238E27FC236}">
                <a16:creationId xmlns:a16="http://schemas.microsoft.com/office/drawing/2014/main" id="{4EFCC2E3-BB46-42D3-0FB2-2B2027C86421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6" name="Rectangle 1063">
            <a:extLst>
              <a:ext uri="{FF2B5EF4-FFF2-40B4-BE49-F238E27FC236}">
                <a16:creationId xmlns:a16="http://schemas.microsoft.com/office/drawing/2014/main" id="{A950BAF1-906F-BEA6-4BFF-02CF0C0E334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7" name="Rectangle 1064">
            <a:extLst>
              <a:ext uri="{FF2B5EF4-FFF2-40B4-BE49-F238E27FC236}">
                <a16:creationId xmlns:a16="http://schemas.microsoft.com/office/drawing/2014/main" id="{9F50366A-B1C1-5FE6-B944-BE671F02C3D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8" name="Rectangle 1065">
            <a:extLst>
              <a:ext uri="{FF2B5EF4-FFF2-40B4-BE49-F238E27FC236}">
                <a16:creationId xmlns:a16="http://schemas.microsoft.com/office/drawing/2014/main" id="{FFF616D4-1A3C-5A22-903C-F92C94AE7378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9" name="Oval 1066">
            <a:extLst>
              <a:ext uri="{FF2B5EF4-FFF2-40B4-BE49-F238E27FC236}">
                <a16:creationId xmlns:a16="http://schemas.microsoft.com/office/drawing/2014/main" id="{044046F0-7700-7689-CDDF-FDA372C94B1D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20" name="Oval 1067">
            <a:extLst>
              <a:ext uri="{FF2B5EF4-FFF2-40B4-BE49-F238E27FC236}">
                <a16:creationId xmlns:a16="http://schemas.microsoft.com/office/drawing/2014/main" id="{57E79F0A-73D6-4B07-7DE0-630E11AF297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21" name="AutoShape 1068">
            <a:extLst>
              <a:ext uri="{FF2B5EF4-FFF2-40B4-BE49-F238E27FC236}">
                <a16:creationId xmlns:a16="http://schemas.microsoft.com/office/drawing/2014/main" id="{C4127802-224A-CDD4-9486-459373971282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426720</xdr:rowOff>
    </xdr:to>
    <xdr:grpSp>
      <xdr:nvGrpSpPr>
        <xdr:cNvPr id="526850" name="Group 1069">
          <a:extLst>
            <a:ext uri="{FF2B5EF4-FFF2-40B4-BE49-F238E27FC236}">
              <a16:creationId xmlns:a16="http://schemas.microsoft.com/office/drawing/2014/main" id="{93206113-E5C2-47AB-4FCC-6240D6431936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81000"/>
          <a:chOff x="675" y="362"/>
          <a:chExt cx="278" cy="249"/>
        </a:xfrm>
      </xdr:grpSpPr>
      <xdr:sp macro="" textlink="">
        <xdr:nvSpPr>
          <xdr:cNvPr id="527206" name="Rectangle 1070">
            <a:extLst>
              <a:ext uri="{FF2B5EF4-FFF2-40B4-BE49-F238E27FC236}">
                <a16:creationId xmlns:a16="http://schemas.microsoft.com/office/drawing/2014/main" id="{EDEB2057-0B54-C9B5-951C-E9AB403F778C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7" name="Rectangle 1071">
            <a:extLst>
              <a:ext uri="{FF2B5EF4-FFF2-40B4-BE49-F238E27FC236}">
                <a16:creationId xmlns:a16="http://schemas.microsoft.com/office/drawing/2014/main" id="{EA586555-4556-46D4-1020-9DF41510ADBB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8" name="Rectangle 1072">
            <a:extLst>
              <a:ext uri="{FF2B5EF4-FFF2-40B4-BE49-F238E27FC236}">
                <a16:creationId xmlns:a16="http://schemas.microsoft.com/office/drawing/2014/main" id="{34A8EC26-E622-F8AE-60A6-48A713F4ECD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9" name="Rectangle 1073">
            <a:extLst>
              <a:ext uri="{FF2B5EF4-FFF2-40B4-BE49-F238E27FC236}">
                <a16:creationId xmlns:a16="http://schemas.microsoft.com/office/drawing/2014/main" id="{74B02FAE-657E-3A00-6823-CDDD599FDAF1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0" name="Rectangle 1074">
            <a:extLst>
              <a:ext uri="{FF2B5EF4-FFF2-40B4-BE49-F238E27FC236}">
                <a16:creationId xmlns:a16="http://schemas.microsoft.com/office/drawing/2014/main" id="{7CDD3AE8-DFF4-7742-0D16-549DA9D7DE70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11" name="Oval 1075">
            <a:extLst>
              <a:ext uri="{FF2B5EF4-FFF2-40B4-BE49-F238E27FC236}">
                <a16:creationId xmlns:a16="http://schemas.microsoft.com/office/drawing/2014/main" id="{BBED06ED-3492-192F-DF14-92264312AA8A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12" name="Oval 1076">
            <a:extLst>
              <a:ext uri="{FF2B5EF4-FFF2-40B4-BE49-F238E27FC236}">
                <a16:creationId xmlns:a16="http://schemas.microsoft.com/office/drawing/2014/main" id="{CD3FFF7A-0335-CE71-1367-DEBFBE0402E4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7213" name="AutoShape 1077">
            <a:extLst>
              <a:ext uri="{FF2B5EF4-FFF2-40B4-BE49-F238E27FC236}">
                <a16:creationId xmlns:a16="http://schemas.microsoft.com/office/drawing/2014/main" id="{3E9F5DEC-DFE5-DB1B-34F4-234F0B9F44CF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396240</xdr:rowOff>
    </xdr:to>
    <xdr:grpSp>
      <xdr:nvGrpSpPr>
        <xdr:cNvPr id="526851" name="Group 1127">
          <a:extLst>
            <a:ext uri="{FF2B5EF4-FFF2-40B4-BE49-F238E27FC236}">
              <a16:creationId xmlns:a16="http://schemas.microsoft.com/office/drawing/2014/main" id="{48431126-6BA9-6771-D8D1-C4746E056513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50520"/>
          <a:chOff x="727" y="291"/>
          <a:chExt cx="534" cy="327"/>
        </a:xfrm>
      </xdr:grpSpPr>
      <xdr:sp macro="" textlink="">
        <xdr:nvSpPr>
          <xdr:cNvPr id="527198" name="Rectangle 1128">
            <a:extLst>
              <a:ext uri="{FF2B5EF4-FFF2-40B4-BE49-F238E27FC236}">
                <a16:creationId xmlns:a16="http://schemas.microsoft.com/office/drawing/2014/main" id="{9893807A-133C-7D98-2C64-093E90F01CA0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9" name="Rectangle 1129">
            <a:extLst>
              <a:ext uri="{FF2B5EF4-FFF2-40B4-BE49-F238E27FC236}">
                <a16:creationId xmlns:a16="http://schemas.microsoft.com/office/drawing/2014/main" id="{6CD3ED56-38F2-5AC2-2969-D697D8265F05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0" name="Rectangle 1130">
            <a:extLst>
              <a:ext uri="{FF2B5EF4-FFF2-40B4-BE49-F238E27FC236}">
                <a16:creationId xmlns:a16="http://schemas.microsoft.com/office/drawing/2014/main" id="{1F9A082C-F804-4758-F276-C446519C0E26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1" name="Rectangle 1131">
            <a:extLst>
              <a:ext uri="{FF2B5EF4-FFF2-40B4-BE49-F238E27FC236}">
                <a16:creationId xmlns:a16="http://schemas.microsoft.com/office/drawing/2014/main" id="{FCF1B9BB-9272-42E3-CBAC-F67105D3EB6A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2" name="Rectangle 1132">
            <a:extLst>
              <a:ext uri="{FF2B5EF4-FFF2-40B4-BE49-F238E27FC236}">
                <a16:creationId xmlns:a16="http://schemas.microsoft.com/office/drawing/2014/main" id="{59DECFCF-80AC-CB29-8B56-0A00C937B80A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3" name="Rectangle 1133">
            <a:extLst>
              <a:ext uri="{FF2B5EF4-FFF2-40B4-BE49-F238E27FC236}">
                <a16:creationId xmlns:a16="http://schemas.microsoft.com/office/drawing/2014/main" id="{900C40BC-2242-4AA9-90D6-49D222625318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4" name="Rectangle 1134">
            <a:extLst>
              <a:ext uri="{FF2B5EF4-FFF2-40B4-BE49-F238E27FC236}">
                <a16:creationId xmlns:a16="http://schemas.microsoft.com/office/drawing/2014/main" id="{C5023778-897A-7F9D-BF6A-35F9D0A31E72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205" name="Rectangle 1135">
            <a:extLst>
              <a:ext uri="{FF2B5EF4-FFF2-40B4-BE49-F238E27FC236}">
                <a16:creationId xmlns:a16="http://schemas.microsoft.com/office/drawing/2014/main" id="{0049CECB-0FFB-EFD2-E63E-8B026CD872B8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10</xdr:col>
      <xdr:colOff>0</xdr:colOff>
      <xdr:row>2</xdr:row>
      <xdr:rowOff>45720</xdr:rowOff>
    </xdr:from>
    <xdr:to>
      <xdr:col>10</xdr:col>
      <xdr:colOff>0</xdr:colOff>
      <xdr:row>2</xdr:row>
      <xdr:rowOff>396240</xdr:rowOff>
    </xdr:to>
    <xdr:grpSp>
      <xdr:nvGrpSpPr>
        <xdr:cNvPr id="526852" name="Group 1154">
          <a:extLst>
            <a:ext uri="{FF2B5EF4-FFF2-40B4-BE49-F238E27FC236}">
              <a16:creationId xmlns:a16="http://schemas.microsoft.com/office/drawing/2014/main" id="{FB8CF7D0-2E87-75AD-BA6C-1C3FF3FAACD8}"/>
            </a:ext>
          </a:extLst>
        </xdr:cNvPr>
        <xdr:cNvGrpSpPr>
          <a:grpSpLocks/>
        </xdr:cNvGrpSpPr>
      </xdr:nvGrpSpPr>
      <xdr:grpSpPr bwMode="auto">
        <a:xfrm>
          <a:off x="9893710" y="1176430"/>
          <a:ext cx="0" cy="350520"/>
          <a:chOff x="727" y="291"/>
          <a:chExt cx="534" cy="327"/>
        </a:xfrm>
      </xdr:grpSpPr>
      <xdr:sp macro="" textlink="">
        <xdr:nvSpPr>
          <xdr:cNvPr id="527190" name="Rectangle 1155">
            <a:extLst>
              <a:ext uri="{FF2B5EF4-FFF2-40B4-BE49-F238E27FC236}">
                <a16:creationId xmlns:a16="http://schemas.microsoft.com/office/drawing/2014/main" id="{02369C53-EF79-0D46-29C6-82C02EF0A76C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1" name="Rectangle 1156">
            <a:extLst>
              <a:ext uri="{FF2B5EF4-FFF2-40B4-BE49-F238E27FC236}">
                <a16:creationId xmlns:a16="http://schemas.microsoft.com/office/drawing/2014/main" id="{B3041388-5E35-9098-2877-EE33821B377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2" name="Rectangle 1157">
            <a:extLst>
              <a:ext uri="{FF2B5EF4-FFF2-40B4-BE49-F238E27FC236}">
                <a16:creationId xmlns:a16="http://schemas.microsoft.com/office/drawing/2014/main" id="{9B7266B3-796B-E2D9-B3F9-13A771E3D29F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3" name="Rectangle 1158">
            <a:extLst>
              <a:ext uri="{FF2B5EF4-FFF2-40B4-BE49-F238E27FC236}">
                <a16:creationId xmlns:a16="http://schemas.microsoft.com/office/drawing/2014/main" id="{A1474ABB-ED99-8CD4-B7AE-28FB763A3B9D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4" name="Rectangle 1159">
            <a:extLst>
              <a:ext uri="{FF2B5EF4-FFF2-40B4-BE49-F238E27FC236}">
                <a16:creationId xmlns:a16="http://schemas.microsoft.com/office/drawing/2014/main" id="{08C24F3C-9B52-166D-876C-1B8C9D55DB4F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5" name="Rectangle 1160">
            <a:extLst>
              <a:ext uri="{FF2B5EF4-FFF2-40B4-BE49-F238E27FC236}">
                <a16:creationId xmlns:a16="http://schemas.microsoft.com/office/drawing/2014/main" id="{65633528-3E10-DBDC-D460-6EBFF3FAB4A5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6" name="Rectangle 1161">
            <a:extLst>
              <a:ext uri="{FF2B5EF4-FFF2-40B4-BE49-F238E27FC236}">
                <a16:creationId xmlns:a16="http://schemas.microsoft.com/office/drawing/2014/main" id="{56727E2D-E468-C434-D217-6788251D246E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7197" name="Rectangle 1162">
            <a:extLst>
              <a:ext uri="{FF2B5EF4-FFF2-40B4-BE49-F238E27FC236}">
                <a16:creationId xmlns:a16="http://schemas.microsoft.com/office/drawing/2014/main" id="{A43EF1FC-B1F3-3ED3-020D-9976DB7505B8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76200</xdr:colOff>
      <xdr:row>0</xdr:row>
      <xdr:rowOff>76200</xdr:rowOff>
    </xdr:from>
    <xdr:to>
      <xdr:col>0</xdr:col>
      <xdr:colOff>3223260</xdr:colOff>
      <xdr:row>0</xdr:row>
      <xdr:rowOff>845820</xdr:rowOff>
    </xdr:to>
    <xdr:pic>
      <xdr:nvPicPr>
        <xdr:cNvPr id="526853" name="1034 Imagen" descr="logo masercon ultimo.jpg">
          <a:extLst>
            <a:ext uri="{FF2B5EF4-FFF2-40B4-BE49-F238E27FC236}">
              <a16:creationId xmlns:a16="http://schemas.microsoft.com/office/drawing/2014/main" id="{F554EB53-32F9-2803-9F2B-B5AD34826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76200"/>
          <a:ext cx="3147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137160</xdr:colOff>
      <xdr:row>2</xdr:row>
      <xdr:rowOff>114300</xdr:rowOff>
    </xdr:from>
    <xdr:to>
      <xdr:col>9</xdr:col>
      <xdr:colOff>541020</xdr:colOff>
      <xdr:row>5</xdr:row>
      <xdr:rowOff>65049</xdr:rowOff>
    </xdr:to>
    <xdr:grpSp>
      <xdr:nvGrpSpPr>
        <xdr:cNvPr id="526854" name="1103 Grupo">
          <a:extLst>
            <a:ext uri="{FF2B5EF4-FFF2-40B4-BE49-F238E27FC236}">
              <a16:creationId xmlns:a16="http://schemas.microsoft.com/office/drawing/2014/main" id="{91AFE658-3873-68BB-492C-D431BF1FC133}"/>
            </a:ext>
          </a:extLst>
        </xdr:cNvPr>
        <xdr:cNvGrpSpPr>
          <a:grpSpLocks/>
        </xdr:cNvGrpSpPr>
      </xdr:nvGrpSpPr>
      <xdr:grpSpPr bwMode="auto">
        <a:xfrm>
          <a:off x="8248773" y="1245010"/>
          <a:ext cx="1337924" cy="1167491"/>
          <a:chOff x="12578073" y="988919"/>
          <a:chExt cx="9678677" cy="8510681"/>
        </a:xfrm>
      </xdr:grpSpPr>
      <xdr:grpSp>
        <xdr:nvGrpSpPr>
          <xdr:cNvPr id="527173" name="410 Grupo">
            <a:extLst>
              <a:ext uri="{FF2B5EF4-FFF2-40B4-BE49-F238E27FC236}">
                <a16:creationId xmlns:a16="http://schemas.microsoft.com/office/drawing/2014/main" id="{64DF383D-9D0E-4A75-52D6-6156BFB0B32E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6659658" y="3011580"/>
            <a:chExt cx="3859213" cy="3443007"/>
          </a:xfrm>
        </xdr:grpSpPr>
        <xdr:grpSp>
          <xdr:nvGrpSpPr>
            <xdr:cNvPr id="527178" name="Group 1078">
              <a:extLst>
                <a:ext uri="{FF2B5EF4-FFF2-40B4-BE49-F238E27FC236}">
                  <a16:creationId xmlns:a16="http://schemas.microsoft.com/office/drawing/2014/main" id="{2211A573-5310-6BBD-7214-394460359A7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9658" y="3011580"/>
              <a:ext cx="3859213" cy="3443007"/>
              <a:chOff x="394" y="56"/>
              <a:chExt cx="121" cy="99"/>
            </a:xfrm>
          </xdr:grpSpPr>
          <xdr:sp macro="" textlink="">
            <xdr:nvSpPr>
              <xdr:cNvPr id="527180" name="Rectangle 1079">
                <a:extLst>
                  <a:ext uri="{FF2B5EF4-FFF2-40B4-BE49-F238E27FC236}">
                    <a16:creationId xmlns:a16="http://schemas.microsoft.com/office/drawing/2014/main" id="{2946158A-16C3-03B3-7988-E64F02F5F1B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4" y="56"/>
                <a:ext cx="121" cy="9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7181" name="Rectangle 1080">
                <a:extLst>
                  <a:ext uri="{FF2B5EF4-FFF2-40B4-BE49-F238E27FC236}">
                    <a16:creationId xmlns:a16="http://schemas.microsoft.com/office/drawing/2014/main" id="{BD1C2D95-475B-81F9-61B2-DFD42EF9C2C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7182" name="Rectangle 1081">
                <a:extLst>
                  <a:ext uri="{FF2B5EF4-FFF2-40B4-BE49-F238E27FC236}">
                    <a16:creationId xmlns:a16="http://schemas.microsoft.com/office/drawing/2014/main" id="{269F67FA-50B1-C2AB-A3AB-710006EE1B6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27183" name="Rectangle 1082">
                <a:extLst>
                  <a:ext uri="{FF2B5EF4-FFF2-40B4-BE49-F238E27FC236}">
                    <a16:creationId xmlns:a16="http://schemas.microsoft.com/office/drawing/2014/main" id="{1047A6E1-1921-6583-2F64-0FCCF6DF19D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1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27184" name="Rectangle 1083">
                <a:extLst>
                  <a:ext uri="{FF2B5EF4-FFF2-40B4-BE49-F238E27FC236}">
                    <a16:creationId xmlns:a16="http://schemas.microsoft.com/office/drawing/2014/main" id="{DAC324FD-6C02-0088-200D-4903DBA3BC9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5" y="59"/>
                <a:ext cx="23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27185" name="Rectangle 1086">
                <a:extLst>
                  <a:ext uri="{FF2B5EF4-FFF2-40B4-BE49-F238E27FC236}">
                    <a16:creationId xmlns:a16="http://schemas.microsoft.com/office/drawing/2014/main" id="{1594D024-06F9-5EC3-340F-4712C09782E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7186" name="Rectangle 1087">
                <a:extLst>
                  <a:ext uri="{FF2B5EF4-FFF2-40B4-BE49-F238E27FC236}">
                    <a16:creationId xmlns:a16="http://schemas.microsoft.com/office/drawing/2014/main" id="{18BF95A2-387D-3D9D-1E6F-8687849BBB5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137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7187" name="Rectangle 1088">
                <a:extLst>
                  <a:ext uri="{FF2B5EF4-FFF2-40B4-BE49-F238E27FC236}">
                    <a16:creationId xmlns:a16="http://schemas.microsoft.com/office/drawing/2014/main" id="{3681B809-760A-7181-B732-BC32FC16062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75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7188" name="Rectangle 1089">
                <a:extLst>
                  <a:ext uri="{FF2B5EF4-FFF2-40B4-BE49-F238E27FC236}">
                    <a16:creationId xmlns:a16="http://schemas.microsoft.com/office/drawing/2014/main" id="{379A3B99-B6C9-2FBC-771B-E7BD5F32996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91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27189" name="Rectangle 1093">
                <a:extLst>
                  <a:ext uri="{FF2B5EF4-FFF2-40B4-BE49-F238E27FC236}">
                    <a16:creationId xmlns:a16="http://schemas.microsoft.com/office/drawing/2014/main" id="{1A8845E5-32C5-AA22-1238-351DFCE734B9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1" y="59"/>
                <a:ext cx="21" cy="9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7179" name="Rectangle 1087">
              <a:extLst>
                <a:ext uri="{FF2B5EF4-FFF2-40B4-BE49-F238E27FC236}">
                  <a16:creationId xmlns:a16="http://schemas.microsoft.com/office/drawing/2014/main" id="{A11A0077-2518-DE16-8927-9E74D7E7E5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54555" y="5297606"/>
              <a:ext cx="3672128" cy="52724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7108" name="572 Grupo">
            <a:extLst>
              <a:ext uri="{FF2B5EF4-FFF2-40B4-BE49-F238E27FC236}">
                <a16:creationId xmlns:a16="http://schemas.microsoft.com/office/drawing/2014/main" id="{4B42218D-3703-295E-D3FD-1A7125E7500B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527161" name="562 Grupo">
              <a:extLst>
                <a:ext uri="{FF2B5EF4-FFF2-40B4-BE49-F238E27FC236}">
                  <a16:creationId xmlns:a16="http://schemas.microsoft.com/office/drawing/2014/main" id="{BCC8FB89-3D65-099B-EE82-386D171570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71" name="1168 Conector recto">
                <a:extLst>
                  <a:ext uri="{FF2B5EF4-FFF2-40B4-BE49-F238E27FC236}">
                    <a16:creationId xmlns:a16="http://schemas.microsoft.com/office/drawing/2014/main" id="{96A9C20D-E1E6-0C1F-C6FE-0B1C3D9FF44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72" name="1169 Conector recto">
                <a:extLst>
                  <a:ext uri="{FF2B5EF4-FFF2-40B4-BE49-F238E27FC236}">
                    <a16:creationId xmlns:a16="http://schemas.microsoft.com/office/drawing/2014/main" id="{D0FB3E63-A49E-0943-7B3A-C27E134980C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62" name="563 Grupo">
              <a:extLst>
                <a:ext uri="{FF2B5EF4-FFF2-40B4-BE49-F238E27FC236}">
                  <a16:creationId xmlns:a16="http://schemas.microsoft.com/office/drawing/2014/main" id="{5DE13E6A-46B0-268F-07F2-99D06CE14D2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69" name="1166 Conector recto">
                <a:extLst>
                  <a:ext uri="{FF2B5EF4-FFF2-40B4-BE49-F238E27FC236}">
                    <a16:creationId xmlns:a16="http://schemas.microsoft.com/office/drawing/2014/main" id="{EBFFE5ED-3382-A985-7A70-9AC075C64D3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70" name="1167 Conector recto">
                <a:extLst>
                  <a:ext uri="{FF2B5EF4-FFF2-40B4-BE49-F238E27FC236}">
                    <a16:creationId xmlns:a16="http://schemas.microsoft.com/office/drawing/2014/main" id="{F8C9BB23-793A-92EF-B090-CE1A5AA2F2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63" name="566 Grupo">
              <a:extLst>
                <a:ext uri="{FF2B5EF4-FFF2-40B4-BE49-F238E27FC236}">
                  <a16:creationId xmlns:a16="http://schemas.microsoft.com/office/drawing/2014/main" id="{2EC35600-A4C7-D2AE-0F1D-0676D3D8AC7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67" name="1164 Conector recto">
                <a:extLst>
                  <a:ext uri="{FF2B5EF4-FFF2-40B4-BE49-F238E27FC236}">
                    <a16:creationId xmlns:a16="http://schemas.microsoft.com/office/drawing/2014/main" id="{1DF0E5D2-2D82-8B95-7577-FC68F4E0FCB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68" name="1165 Conector recto">
                <a:extLst>
                  <a:ext uri="{FF2B5EF4-FFF2-40B4-BE49-F238E27FC236}">
                    <a16:creationId xmlns:a16="http://schemas.microsoft.com/office/drawing/2014/main" id="{431C0029-644C-72C7-4676-71D0C5122C7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64" name="569 Grupo">
              <a:extLst>
                <a:ext uri="{FF2B5EF4-FFF2-40B4-BE49-F238E27FC236}">
                  <a16:creationId xmlns:a16="http://schemas.microsoft.com/office/drawing/2014/main" id="{AC6DFD25-D622-D548-8D85-DF7F15565D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65" name="1162 Conector recto">
                <a:extLst>
                  <a:ext uri="{FF2B5EF4-FFF2-40B4-BE49-F238E27FC236}">
                    <a16:creationId xmlns:a16="http://schemas.microsoft.com/office/drawing/2014/main" id="{87CFB44A-0A12-6605-B857-140324099A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66" name="1163 Conector recto">
                <a:extLst>
                  <a:ext uri="{FF2B5EF4-FFF2-40B4-BE49-F238E27FC236}">
                    <a16:creationId xmlns:a16="http://schemas.microsoft.com/office/drawing/2014/main" id="{DD1CB6FD-95A3-F5DB-1EA1-4C07ABB3AB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109" name="573 Grupo">
            <a:extLst>
              <a:ext uri="{FF2B5EF4-FFF2-40B4-BE49-F238E27FC236}">
                <a16:creationId xmlns:a16="http://schemas.microsoft.com/office/drawing/2014/main" id="{5F736559-4E4E-FA48-39C5-19D4B2BC43B7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527149" name="562 Grupo">
              <a:extLst>
                <a:ext uri="{FF2B5EF4-FFF2-40B4-BE49-F238E27FC236}">
                  <a16:creationId xmlns:a16="http://schemas.microsoft.com/office/drawing/2014/main" id="{9D5319E6-BB63-B22A-CA5E-E13DC6D4B3D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59" name="1156 Conector recto">
                <a:extLst>
                  <a:ext uri="{FF2B5EF4-FFF2-40B4-BE49-F238E27FC236}">
                    <a16:creationId xmlns:a16="http://schemas.microsoft.com/office/drawing/2014/main" id="{8D81EEE8-DF64-8B4F-8DA0-163E7ED2CDB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60" name="1157 Conector recto">
                <a:extLst>
                  <a:ext uri="{FF2B5EF4-FFF2-40B4-BE49-F238E27FC236}">
                    <a16:creationId xmlns:a16="http://schemas.microsoft.com/office/drawing/2014/main" id="{2C6CF16E-67D6-8281-18C6-A654A6F659A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50" name="563 Grupo">
              <a:extLst>
                <a:ext uri="{FF2B5EF4-FFF2-40B4-BE49-F238E27FC236}">
                  <a16:creationId xmlns:a16="http://schemas.microsoft.com/office/drawing/2014/main" id="{BCCE3D5B-380D-0C34-48D3-ECE2B18B5C9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57" name="1154 Conector recto">
                <a:extLst>
                  <a:ext uri="{FF2B5EF4-FFF2-40B4-BE49-F238E27FC236}">
                    <a16:creationId xmlns:a16="http://schemas.microsoft.com/office/drawing/2014/main" id="{8EC7090F-CBAF-A91E-F20D-C22714D194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58" name="1155 Conector recto">
                <a:extLst>
                  <a:ext uri="{FF2B5EF4-FFF2-40B4-BE49-F238E27FC236}">
                    <a16:creationId xmlns:a16="http://schemas.microsoft.com/office/drawing/2014/main" id="{B78E3B82-A09A-F323-1C1D-2B6FA8B67DE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51" name="566 Grupo">
              <a:extLst>
                <a:ext uri="{FF2B5EF4-FFF2-40B4-BE49-F238E27FC236}">
                  <a16:creationId xmlns:a16="http://schemas.microsoft.com/office/drawing/2014/main" id="{D887A945-B880-B320-B7B1-9C43675EEE0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55" name="1152 Conector recto">
                <a:extLst>
                  <a:ext uri="{FF2B5EF4-FFF2-40B4-BE49-F238E27FC236}">
                    <a16:creationId xmlns:a16="http://schemas.microsoft.com/office/drawing/2014/main" id="{E45694D8-5A88-8856-6D68-4D75CA33E9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56" name="1153 Conector recto">
                <a:extLst>
                  <a:ext uri="{FF2B5EF4-FFF2-40B4-BE49-F238E27FC236}">
                    <a16:creationId xmlns:a16="http://schemas.microsoft.com/office/drawing/2014/main" id="{9286D03F-330A-DE31-36BC-E217FD99D57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52" name="569 Grupo">
              <a:extLst>
                <a:ext uri="{FF2B5EF4-FFF2-40B4-BE49-F238E27FC236}">
                  <a16:creationId xmlns:a16="http://schemas.microsoft.com/office/drawing/2014/main" id="{9CA3AF78-E266-8FD0-D6AA-DE7FBB82E55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53" name="1150 Conector recto">
                <a:extLst>
                  <a:ext uri="{FF2B5EF4-FFF2-40B4-BE49-F238E27FC236}">
                    <a16:creationId xmlns:a16="http://schemas.microsoft.com/office/drawing/2014/main" id="{AC54DDF0-32E4-FF2D-776B-007B1EB0EE4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54" name="1151 Conector recto">
                <a:extLst>
                  <a:ext uri="{FF2B5EF4-FFF2-40B4-BE49-F238E27FC236}">
                    <a16:creationId xmlns:a16="http://schemas.microsoft.com/office/drawing/2014/main" id="{1FFB0322-2245-82E1-8D0B-585E39FFBFA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110" name="586 Grupo">
            <a:extLst>
              <a:ext uri="{FF2B5EF4-FFF2-40B4-BE49-F238E27FC236}">
                <a16:creationId xmlns:a16="http://schemas.microsoft.com/office/drawing/2014/main" id="{143AC69E-9D4B-E127-7E04-FB7D2F6AE3F1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527137" name="562 Grupo">
              <a:extLst>
                <a:ext uri="{FF2B5EF4-FFF2-40B4-BE49-F238E27FC236}">
                  <a16:creationId xmlns:a16="http://schemas.microsoft.com/office/drawing/2014/main" id="{42CC8AB6-ABF7-B266-7BBA-8FED622D48F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47" name="1144 Conector recto">
                <a:extLst>
                  <a:ext uri="{FF2B5EF4-FFF2-40B4-BE49-F238E27FC236}">
                    <a16:creationId xmlns:a16="http://schemas.microsoft.com/office/drawing/2014/main" id="{E6F42A98-5D6E-A917-B4F2-697D63C489F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48" name="1145 Conector recto">
                <a:extLst>
                  <a:ext uri="{FF2B5EF4-FFF2-40B4-BE49-F238E27FC236}">
                    <a16:creationId xmlns:a16="http://schemas.microsoft.com/office/drawing/2014/main" id="{E74F3037-B865-CDB9-DBD4-A03D9AA2888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38" name="563 Grupo">
              <a:extLst>
                <a:ext uri="{FF2B5EF4-FFF2-40B4-BE49-F238E27FC236}">
                  <a16:creationId xmlns:a16="http://schemas.microsoft.com/office/drawing/2014/main" id="{261B318A-7A01-BF89-E835-C9B0CE5666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45" name="1142 Conector recto">
                <a:extLst>
                  <a:ext uri="{FF2B5EF4-FFF2-40B4-BE49-F238E27FC236}">
                    <a16:creationId xmlns:a16="http://schemas.microsoft.com/office/drawing/2014/main" id="{E92FBAA7-AE31-B70A-4DE8-927A317A51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46" name="1143 Conector recto">
                <a:extLst>
                  <a:ext uri="{FF2B5EF4-FFF2-40B4-BE49-F238E27FC236}">
                    <a16:creationId xmlns:a16="http://schemas.microsoft.com/office/drawing/2014/main" id="{669A96F1-714C-B213-DA9F-80DF280E403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39" name="566 Grupo">
              <a:extLst>
                <a:ext uri="{FF2B5EF4-FFF2-40B4-BE49-F238E27FC236}">
                  <a16:creationId xmlns:a16="http://schemas.microsoft.com/office/drawing/2014/main" id="{1523DFD6-56A5-FF12-9D02-A0FB1E24A8B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43" name="1140 Conector recto">
                <a:extLst>
                  <a:ext uri="{FF2B5EF4-FFF2-40B4-BE49-F238E27FC236}">
                    <a16:creationId xmlns:a16="http://schemas.microsoft.com/office/drawing/2014/main" id="{AF8D4FBE-B72E-39BD-1A23-1ACB12CFEFB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44" name="1141 Conector recto">
                <a:extLst>
                  <a:ext uri="{FF2B5EF4-FFF2-40B4-BE49-F238E27FC236}">
                    <a16:creationId xmlns:a16="http://schemas.microsoft.com/office/drawing/2014/main" id="{836AE7EE-EC9C-2F9C-4E61-0289F62310B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40" name="569 Grupo">
              <a:extLst>
                <a:ext uri="{FF2B5EF4-FFF2-40B4-BE49-F238E27FC236}">
                  <a16:creationId xmlns:a16="http://schemas.microsoft.com/office/drawing/2014/main" id="{DB6C3425-D5EF-C4A8-5C02-C9B5C72D3E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41" name="1138 Conector recto">
                <a:extLst>
                  <a:ext uri="{FF2B5EF4-FFF2-40B4-BE49-F238E27FC236}">
                    <a16:creationId xmlns:a16="http://schemas.microsoft.com/office/drawing/2014/main" id="{DCC419E5-3D26-B0AC-9CC4-D1179F4C109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42" name="1139 Conector recto">
                <a:extLst>
                  <a:ext uri="{FF2B5EF4-FFF2-40B4-BE49-F238E27FC236}">
                    <a16:creationId xmlns:a16="http://schemas.microsoft.com/office/drawing/2014/main" id="{773AEB04-DE00-6DEC-1008-4FF4595D236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111" name="599 Grupo">
            <a:extLst>
              <a:ext uri="{FF2B5EF4-FFF2-40B4-BE49-F238E27FC236}">
                <a16:creationId xmlns:a16="http://schemas.microsoft.com/office/drawing/2014/main" id="{7551FCB8-36C3-BE10-F325-10A67D4FBD1C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527125" name="562 Grupo">
              <a:extLst>
                <a:ext uri="{FF2B5EF4-FFF2-40B4-BE49-F238E27FC236}">
                  <a16:creationId xmlns:a16="http://schemas.microsoft.com/office/drawing/2014/main" id="{00F60E7B-A026-1FA4-7468-9D67D720286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35" name="1132 Conector recto">
                <a:extLst>
                  <a:ext uri="{FF2B5EF4-FFF2-40B4-BE49-F238E27FC236}">
                    <a16:creationId xmlns:a16="http://schemas.microsoft.com/office/drawing/2014/main" id="{BF1C5369-D2EB-2AB8-A41E-8539E63B6C8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36" name="1133 Conector recto">
                <a:extLst>
                  <a:ext uri="{FF2B5EF4-FFF2-40B4-BE49-F238E27FC236}">
                    <a16:creationId xmlns:a16="http://schemas.microsoft.com/office/drawing/2014/main" id="{CC721307-E888-A808-F4B6-7E21C8C90A7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26" name="563 Grupo">
              <a:extLst>
                <a:ext uri="{FF2B5EF4-FFF2-40B4-BE49-F238E27FC236}">
                  <a16:creationId xmlns:a16="http://schemas.microsoft.com/office/drawing/2014/main" id="{1CF34EB8-BB81-8988-FB55-1EB7A7D1166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33" name="1130 Conector recto">
                <a:extLst>
                  <a:ext uri="{FF2B5EF4-FFF2-40B4-BE49-F238E27FC236}">
                    <a16:creationId xmlns:a16="http://schemas.microsoft.com/office/drawing/2014/main" id="{2103445D-317C-316E-FA68-AA4A1F7147A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34" name="1131 Conector recto">
                <a:extLst>
                  <a:ext uri="{FF2B5EF4-FFF2-40B4-BE49-F238E27FC236}">
                    <a16:creationId xmlns:a16="http://schemas.microsoft.com/office/drawing/2014/main" id="{F1125160-D103-3572-A431-CFF8B7062E7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27" name="566 Grupo">
              <a:extLst>
                <a:ext uri="{FF2B5EF4-FFF2-40B4-BE49-F238E27FC236}">
                  <a16:creationId xmlns:a16="http://schemas.microsoft.com/office/drawing/2014/main" id="{C7C2DB16-AA4F-F093-520D-E7C6D4C35E5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31" name="1128 Conector recto">
                <a:extLst>
                  <a:ext uri="{FF2B5EF4-FFF2-40B4-BE49-F238E27FC236}">
                    <a16:creationId xmlns:a16="http://schemas.microsoft.com/office/drawing/2014/main" id="{686667A7-1C33-C5AE-9179-96278A5032F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32" name="1129 Conector recto">
                <a:extLst>
                  <a:ext uri="{FF2B5EF4-FFF2-40B4-BE49-F238E27FC236}">
                    <a16:creationId xmlns:a16="http://schemas.microsoft.com/office/drawing/2014/main" id="{3FB41222-7E32-9601-C66F-3182BD523C3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28" name="569 Grupo">
              <a:extLst>
                <a:ext uri="{FF2B5EF4-FFF2-40B4-BE49-F238E27FC236}">
                  <a16:creationId xmlns:a16="http://schemas.microsoft.com/office/drawing/2014/main" id="{A5F522C5-2B43-BAC4-C53B-D4C741708C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29" name="1126 Conector recto">
                <a:extLst>
                  <a:ext uri="{FF2B5EF4-FFF2-40B4-BE49-F238E27FC236}">
                    <a16:creationId xmlns:a16="http://schemas.microsoft.com/office/drawing/2014/main" id="{29A46CED-AA12-8A14-BDE5-1DDE7D66F35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30" name="1127 Conector recto">
                <a:extLst>
                  <a:ext uri="{FF2B5EF4-FFF2-40B4-BE49-F238E27FC236}">
                    <a16:creationId xmlns:a16="http://schemas.microsoft.com/office/drawing/2014/main" id="{3D4403F0-339B-91CE-EC39-7F0EAA6E6AF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112" name="612 Grupo">
            <a:extLst>
              <a:ext uri="{FF2B5EF4-FFF2-40B4-BE49-F238E27FC236}">
                <a16:creationId xmlns:a16="http://schemas.microsoft.com/office/drawing/2014/main" id="{9E8BC29B-5D82-B778-B30B-361859423A9F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527113" name="562 Grupo">
              <a:extLst>
                <a:ext uri="{FF2B5EF4-FFF2-40B4-BE49-F238E27FC236}">
                  <a16:creationId xmlns:a16="http://schemas.microsoft.com/office/drawing/2014/main" id="{232F8261-C810-653C-4172-03C128644E6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23" name="1120 Conector recto">
                <a:extLst>
                  <a:ext uri="{FF2B5EF4-FFF2-40B4-BE49-F238E27FC236}">
                    <a16:creationId xmlns:a16="http://schemas.microsoft.com/office/drawing/2014/main" id="{A30BA00A-F739-C499-5451-36D2EBFB5D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24" name="1121 Conector recto">
                <a:extLst>
                  <a:ext uri="{FF2B5EF4-FFF2-40B4-BE49-F238E27FC236}">
                    <a16:creationId xmlns:a16="http://schemas.microsoft.com/office/drawing/2014/main" id="{1677812F-A47A-9050-6E61-54F2EA9AE77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14" name="563 Grupo">
              <a:extLst>
                <a:ext uri="{FF2B5EF4-FFF2-40B4-BE49-F238E27FC236}">
                  <a16:creationId xmlns:a16="http://schemas.microsoft.com/office/drawing/2014/main" id="{F96D9C0A-5E4B-B829-5FB4-1F8688B24D3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21" name="1118 Conector recto">
                <a:extLst>
                  <a:ext uri="{FF2B5EF4-FFF2-40B4-BE49-F238E27FC236}">
                    <a16:creationId xmlns:a16="http://schemas.microsoft.com/office/drawing/2014/main" id="{797E7168-EE70-50A0-8B46-3ABFED43522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22" name="1119 Conector recto">
                <a:extLst>
                  <a:ext uri="{FF2B5EF4-FFF2-40B4-BE49-F238E27FC236}">
                    <a16:creationId xmlns:a16="http://schemas.microsoft.com/office/drawing/2014/main" id="{0D9819BB-5398-F4D1-4695-916E79D06E2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15" name="566 Grupo">
              <a:extLst>
                <a:ext uri="{FF2B5EF4-FFF2-40B4-BE49-F238E27FC236}">
                  <a16:creationId xmlns:a16="http://schemas.microsoft.com/office/drawing/2014/main" id="{221206CE-FE09-05CF-36AF-B809329C459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19" name="1116 Conector recto">
                <a:extLst>
                  <a:ext uri="{FF2B5EF4-FFF2-40B4-BE49-F238E27FC236}">
                    <a16:creationId xmlns:a16="http://schemas.microsoft.com/office/drawing/2014/main" id="{D86F3D44-1FD9-C2B9-4E07-CD979B725A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20" name="1117 Conector recto">
                <a:extLst>
                  <a:ext uri="{FF2B5EF4-FFF2-40B4-BE49-F238E27FC236}">
                    <a16:creationId xmlns:a16="http://schemas.microsoft.com/office/drawing/2014/main" id="{971535E8-DD04-DA8E-B784-F6D5B02575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116" name="569 Grupo">
              <a:extLst>
                <a:ext uri="{FF2B5EF4-FFF2-40B4-BE49-F238E27FC236}">
                  <a16:creationId xmlns:a16="http://schemas.microsoft.com/office/drawing/2014/main" id="{B42E7D4E-21D2-6208-6B35-0F7ABA68370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117" name="1114 Conector recto">
                <a:extLst>
                  <a:ext uri="{FF2B5EF4-FFF2-40B4-BE49-F238E27FC236}">
                    <a16:creationId xmlns:a16="http://schemas.microsoft.com/office/drawing/2014/main" id="{C4BD3DC6-359B-5AED-AEA7-897C8A254F7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118" name="1115 Conector recto">
                <a:extLst>
                  <a:ext uri="{FF2B5EF4-FFF2-40B4-BE49-F238E27FC236}">
                    <a16:creationId xmlns:a16="http://schemas.microsoft.com/office/drawing/2014/main" id="{954A54A7-DC63-0446-A7F3-7C1B0B6F6BA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4</xdr:col>
      <xdr:colOff>137160</xdr:colOff>
      <xdr:row>2</xdr:row>
      <xdr:rowOff>76200</xdr:rowOff>
    </xdr:from>
    <xdr:to>
      <xdr:col>4</xdr:col>
      <xdr:colOff>701040</xdr:colOff>
      <xdr:row>2</xdr:row>
      <xdr:rowOff>609600</xdr:rowOff>
    </xdr:to>
    <xdr:grpSp>
      <xdr:nvGrpSpPr>
        <xdr:cNvPr id="526855" name="1187 Grupo">
          <a:extLst>
            <a:ext uri="{FF2B5EF4-FFF2-40B4-BE49-F238E27FC236}">
              <a16:creationId xmlns:a16="http://schemas.microsoft.com/office/drawing/2014/main" id="{0D6036A8-2E87-DBB7-E250-64AAEFFEBB45}"/>
            </a:ext>
          </a:extLst>
        </xdr:cNvPr>
        <xdr:cNvGrpSpPr>
          <a:grpSpLocks/>
        </xdr:cNvGrpSpPr>
      </xdr:nvGrpSpPr>
      <xdr:grpSpPr bwMode="auto">
        <a:xfrm>
          <a:off x="5544902" y="1206910"/>
          <a:ext cx="563880" cy="533400"/>
          <a:chOff x="12578073" y="988919"/>
          <a:chExt cx="9678677" cy="8510681"/>
        </a:xfrm>
      </xdr:grpSpPr>
      <xdr:grpSp>
        <xdr:nvGrpSpPr>
          <xdr:cNvPr id="527024" name="629 Grupo">
            <a:extLst>
              <a:ext uri="{FF2B5EF4-FFF2-40B4-BE49-F238E27FC236}">
                <a16:creationId xmlns:a16="http://schemas.microsoft.com/office/drawing/2014/main" id="{373AD956-266E-967B-7E65-AECE7F80172B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7090" name="410 Grupo">
              <a:extLst>
                <a:ext uri="{FF2B5EF4-FFF2-40B4-BE49-F238E27FC236}">
                  <a16:creationId xmlns:a16="http://schemas.microsoft.com/office/drawing/2014/main" id="{CA69B7B5-A56B-F2B4-493C-F6FF687FA4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7095" name="Group 1078">
                <a:extLst>
                  <a:ext uri="{FF2B5EF4-FFF2-40B4-BE49-F238E27FC236}">
                    <a16:creationId xmlns:a16="http://schemas.microsoft.com/office/drawing/2014/main" id="{82492E09-5792-5248-E12B-F7FE60518C9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7097" name="Rectangle 1079">
                  <a:extLst>
                    <a:ext uri="{FF2B5EF4-FFF2-40B4-BE49-F238E27FC236}">
                      <a16:creationId xmlns:a16="http://schemas.microsoft.com/office/drawing/2014/main" id="{A20FE0FE-9B41-C6E5-9AB7-EB0D0558F3A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98" name="Rectangle 1080">
                  <a:extLst>
                    <a:ext uri="{FF2B5EF4-FFF2-40B4-BE49-F238E27FC236}">
                      <a16:creationId xmlns:a16="http://schemas.microsoft.com/office/drawing/2014/main" id="{689F3754-D2B1-3A68-EC43-CD601AA7FF0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99" name="Rectangle 1081">
                  <a:extLst>
                    <a:ext uri="{FF2B5EF4-FFF2-40B4-BE49-F238E27FC236}">
                      <a16:creationId xmlns:a16="http://schemas.microsoft.com/office/drawing/2014/main" id="{629D4945-C4E3-96C0-7DE0-CD1A137B9EA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100" name="Rectangle 1082">
                  <a:extLst>
                    <a:ext uri="{FF2B5EF4-FFF2-40B4-BE49-F238E27FC236}">
                      <a16:creationId xmlns:a16="http://schemas.microsoft.com/office/drawing/2014/main" id="{89D33874-4D3D-CA18-D4C7-120C3F41DFB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101" name="Rectangle 1083">
                  <a:extLst>
                    <a:ext uri="{FF2B5EF4-FFF2-40B4-BE49-F238E27FC236}">
                      <a16:creationId xmlns:a16="http://schemas.microsoft.com/office/drawing/2014/main" id="{57DD690A-7314-81CF-9501-6B174D7DA7D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102" name="Rectangle 1086">
                  <a:extLst>
                    <a:ext uri="{FF2B5EF4-FFF2-40B4-BE49-F238E27FC236}">
                      <a16:creationId xmlns:a16="http://schemas.microsoft.com/office/drawing/2014/main" id="{FD3DD485-ED79-B8F9-084E-B08D90E2BC0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103" name="Rectangle 1087">
                  <a:extLst>
                    <a:ext uri="{FF2B5EF4-FFF2-40B4-BE49-F238E27FC236}">
                      <a16:creationId xmlns:a16="http://schemas.microsoft.com/office/drawing/2014/main" id="{1E407FBB-5544-1F9E-FDB5-4CD76EB02BE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104" name="Rectangle 1088">
                  <a:extLst>
                    <a:ext uri="{FF2B5EF4-FFF2-40B4-BE49-F238E27FC236}">
                      <a16:creationId xmlns:a16="http://schemas.microsoft.com/office/drawing/2014/main" id="{A96D3A94-516A-B4B4-B4B0-4AC8DD84066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105" name="Rectangle 1089">
                  <a:extLst>
                    <a:ext uri="{FF2B5EF4-FFF2-40B4-BE49-F238E27FC236}">
                      <a16:creationId xmlns:a16="http://schemas.microsoft.com/office/drawing/2014/main" id="{898A62CC-0A78-0564-FBDA-BB01DC9D165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106" name="Rectangle 1093">
                  <a:extLst>
                    <a:ext uri="{FF2B5EF4-FFF2-40B4-BE49-F238E27FC236}">
                      <a16:creationId xmlns:a16="http://schemas.microsoft.com/office/drawing/2014/main" id="{22851D63-1987-5E6C-ACCD-962E858ABF6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7096" name="Rectangle 1087">
                <a:extLst>
                  <a:ext uri="{FF2B5EF4-FFF2-40B4-BE49-F238E27FC236}">
                    <a16:creationId xmlns:a16="http://schemas.microsoft.com/office/drawing/2014/main" id="{0942DC85-67D4-20D8-0E77-AD1DB2AD1AF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7091" name="Rectangle 1082">
              <a:extLst>
                <a:ext uri="{FF2B5EF4-FFF2-40B4-BE49-F238E27FC236}">
                  <a16:creationId xmlns:a16="http://schemas.microsoft.com/office/drawing/2014/main" id="{50D4ED21-5A3F-23BD-65FF-939374A1FC0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92" name="Rectangle 1082">
              <a:extLst>
                <a:ext uri="{FF2B5EF4-FFF2-40B4-BE49-F238E27FC236}">
                  <a16:creationId xmlns:a16="http://schemas.microsoft.com/office/drawing/2014/main" id="{843E2A84-CB2C-2040-D472-E72120B2E3AC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93" name="Rectangle 1082">
              <a:extLst>
                <a:ext uri="{FF2B5EF4-FFF2-40B4-BE49-F238E27FC236}">
                  <a16:creationId xmlns:a16="http://schemas.microsoft.com/office/drawing/2014/main" id="{95EA014B-9CD8-4CAB-0C4A-FDBA828DA3CB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94" name="Rectangle 1082">
              <a:extLst>
                <a:ext uri="{FF2B5EF4-FFF2-40B4-BE49-F238E27FC236}">
                  <a16:creationId xmlns:a16="http://schemas.microsoft.com/office/drawing/2014/main" id="{A1C4FB7A-04A1-C49D-50FA-C578935F8C85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7025" name="572 Grupo">
            <a:extLst>
              <a:ext uri="{FF2B5EF4-FFF2-40B4-BE49-F238E27FC236}">
                <a16:creationId xmlns:a16="http://schemas.microsoft.com/office/drawing/2014/main" id="{BEADED73-2C5D-6C2C-8C02-2BB0560A3C56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7078" name="562 Grupo">
              <a:extLst>
                <a:ext uri="{FF2B5EF4-FFF2-40B4-BE49-F238E27FC236}">
                  <a16:creationId xmlns:a16="http://schemas.microsoft.com/office/drawing/2014/main" id="{69771078-D2F6-6B8F-DC91-6AB5BD95FF4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88" name="1252 Conector recto">
                <a:extLst>
                  <a:ext uri="{FF2B5EF4-FFF2-40B4-BE49-F238E27FC236}">
                    <a16:creationId xmlns:a16="http://schemas.microsoft.com/office/drawing/2014/main" id="{B75521A7-E79B-F6A4-C688-27EBFC4693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89" name="1253 Conector recto">
                <a:extLst>
                  <a:ext uri="{FF2B5EF4-FFF2-40B4-BE49-F238E27FC236}">
                    <a16:creationId xmlns:a16="http://schemas.microsoft.com/office/drawing/2014/main" id="{A01D58FF-BDF5-D022-2EB6-9D8F1807BBC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79" name="563 Grupo">
              <a:extLst>
                <a:ext uri="{FF2B5EF4-FFF2-40B4-BE49-F238E27FC236}">
                  <a16:creationId xmlns:a16="http://schemas.microsoft.com/office/drawing/2014/main" id="{20C4D936-8D86-C23C-B66F-C6B24012DA7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86" name="1250 Conector recto">
                <a:extLst>
                  <a:ext uri="{FF2B5EF4-FFF2-40B4-BE49-F238E27FC236}">
                    <a16:creationId xmlns:a16="http://schemas.microsoft.com/office/drawing/2014/main" id="{6D5E7351-3A19-7BFA-98F6-0EF1C53153D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87" name="1251 Conector recto">
                <a:extLst>
                  <a:ext uri="{FF2B5EF4-FFF2-40B4-BE49-F238E27FC236}">
                    <a16:creationId xmlns:a16="http://schemas.microsoft.com/office/drawing/2014/main" id="{F6715F45-53F8-E440-7BDD-6AD32CE282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80" name="566 Grupo">
              <a:extLst>
                <a:ext uri="{FF2B5EF4-FFF2-40B4-BE49-F238E27FC236}">
                  <a16:creationId xmlns:a16="http://schemas.microsoft.com/office/drawing/2014/main" id="{6C6A8665-0CD6-1BD7-79A3-E916854169E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84" name="1248 Conector recto">
                <a:extLst>
                  <a:ext uri="{FF2B5EF4-FFF2-40B4-BE49-F238E27FC236}">
                    <a16:creationId xmlns:a16="http://schemas.microsoft.com/office/drawing/2014/main" id="{C10238C5-3CD0-DA96-5DDD-A11E28AD3F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85" name="1249 Conector recto">
                <a:extLst>
                  <a:ext uri="{FF2B5EF4-FFF2-40B4-BE49-F238E27FC236}">
                    <a16:creationId xmlns:a16="http://schemas.microsoft.com/office/drawing/2014/main" id="{7B7F2045-08DE-1D51-B707-C7016237CD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81" name="569 Grupo">
              <a:extLst>
                <a:ext uri="{FF2B5EF4-FFF2-40B4-BE49-F238E27FC236}">
                  <a16:creationId xmlns:a16="http://schemas.microsoft.com/office/drawing/2014/main" id="{F0944337-93D1-065B-B31D-0C127E9CF7C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82" name="1246 Conector recto">
                <a:extLst>
                  <a:ext uri="{FF2B5EF4-FFF2-40B4-BE49-F238E27FC236}">
                    <a16:creationId xmlns:a16="http://schemas.microsoft.com/office/drawing/2014/main" id="{EDA639AD-45E6-B625-D9D3-E5BFBB0EB5C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83" name="1247 Conector recto">
                <a:extLst>
                  <a:ext uri="{FF2B5EF4-FFF2-40B4-BE49-F238E27FC236}">
                    <a16:creationId xmlns:a16="http://schemas.microsoft.com/office/drawing/2014/main" id="{C2B4EA6E-9A89-C15D-EB40-94567FB4B8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026" name="573 Grupo">
            <a:extLst>
              <a:ext uri="{FF2B5EF4-FFF2-40B4-BE49-F238E27FC236}">
                <a16:creationId xmlns:a16="http://schemas.microsoft.com/office/drawing/2014/main" id="{40C7B4F3-5FA2-5B5C-E64B-CAD7B86C574C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7066" name="562 Grupo">
              <a:extLst>
                <a:ext uri="{FF2B5EF4-FFF2-40B4-BE49-F238E27FC236}">
                  <a16:creationId xmlns:a16="http://schemas.microsoft.com/office/drawing/2014/main" id="{F1E5265A-057C-7C8D-C27E-1839410F30A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76" name="1240 Conector recto">
                <a:extLst>
                  <a:ext uri="{FF2B5EF4-FFF2-40B4-BE49-F238E27FC236}">
                    <a16:creationId xmlns:a16="http://schemas.microsoft.com/office/drawing/2014/main" id="{68930F5A-3C79-5FB7-A854-B9303B69ACD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77" name="1241 Conector recto">
                <a:extLst>
                  <a:ext uri="{FF2B5EF4-FFF2-40B4-BE49-F238E27FC236}">
                    <a16:creationId xmlns:a16="http://schemas.microsoft.com/office/drawing/2014/main" id="{F59533BB-61EB-A412-9320-5EE0A9FA53A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67" name="563 Grupo">
              <a:extLst>
                <a:ext uri="{FF2B5EF4-FFF2-40B4-BE49-F238E27FC236}">
                  <a16:creationId xmlns:a16="http://schemas.microsoft.com/office/drawing/2014/main" id="{74A66965-CC87-470F-AB75-7F807B4F96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74" name="1238 Conector recto">
                <a:extLst>
                  <a:ext uri="{FF2B5EF4-FFF2-40B4-BE49-F238E27FC236}">
                    <a16:creationId xmlns:a16="http://schemas.microsoft.com/office/drawing/2014/main" id="{BFEE36FA-4686-AD19-90A5-612975BD950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75" name="1239 Conector recto">
                <a:extLst>
                  <a:ext uri="{FF2B5EF4-FFF2-40B4-BE49-F238E27FC236}">
                    <a16:creationId xmlns:a16="http://schemas.microsoft.com/office/drawing/2014/main" id="{F437CD96-EA80-3096-4336-51A76E01C4D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68" name="566 Grupo">
              <a:extLst>
                <a:ext uri="{FF2B5EF4-FFF2-40B4-BE49-F238E27FC236}">
                  <a16:creationId xmlns:a16="http://schemas.microsoft.com/office/drawing/2014/main" id="{AD03FBA3-13C0-B579-3E3C-4076CEED8D6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72" name="1236 Conector recto">
                <a:extLst>
                  <a:ext uri="{FF2B5EF4-FFF2-40B4-BE49-F238E27FC236}">
                    <a16:creationId xmlns:a16="http://schemas.microsoft.com/office/drawing/2014/main" id="{F62C37CF-8159-861B-1BB1-331CEDF6FB9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73" name="1237 Conector recto">
                <a:extLst>
                  <a:ext uri="{FF2B5EF4-FFF2-40B4-BE49-F238E27FC236}">
                    <a16:creationId xmlns:a16="http://schemas.microsoft.com/office/drawing/2014/main" id="{E60EBBC3-3FFC-AE2A-E6BC-451553BF091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69" name="569 Grupo">
              <a:extLst>
                <a:ext uri="{FF2B5EF4-FFF2-40B4-BE49-F238E27FC236}">
                  <a16:creationId xmlns:a16="http://schemas.microsoft.com/office/drawing/2014/main" id="{AC24F8DA-8231-8B81-843E-0B4DA8F51A7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70" name="1234 Conector recto">
                <a:extLst>
                  <a:ext uri="{FF2B5EF4-FFF2-40B4-BE49-F238E27FC236}">
                    <a16:creationId xmlns:a16="http://schemas.microsoft.com/office/drawing/2014/main" id="{5AB2B68E-E5C0-FCF9-946C-1205D6B87A4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71" name="1235 Conector recto">
                <a:extLst>
                  <a:ext uri="{FF2B5EF4-FFF2-40B4-BE49-F238E27FC236}">
                    <a16:creationId xmlns:a16="http://schemas.microsoft.com/office/drawing/2014/main" id="{D33110E4-3B26-DC8C-8032-69FDA27BC3D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027" name="586 Grupo">
            <a:extLst>
              <a:ext uri="{FF2B5EF4-FFF2-40B4-BE49-F238E27FC236}">
                <a16:creationId xmlns:a16="http://schemas.microsoft.com/office/drawing/2014/main" id="{27DA65B2-73D7-73D0-4B66-1FB90FC36202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7054" name="562 Grupo">
              <a:extLst>
                <a:ext uri="{FF2B5EF4-FFF2-40B4-BE49-F238E27FC236}">
                  <a16:creationId xmlns:a16="http://schemas.microsoft.com/office/drawing/2014/main" id="{165BB43F-EE17-6E22-86B9-7CF9E7E23B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64" name="1228 Conector recto">
                <a:extLst>
                  <a:ext uri="{FF2B5EF4-FFF2-40B4-BE49-F238E27FC236}">
                    <a16:creationId xmlns:a16="http://schemas.microsoft.com/office/drawing/2014/main" id="{A986146D-210A-A67B-D2C0-22B631A39DC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65" name="1229 Conector recto">
                <a:extLst>
                  <a:ext uri="{FF2B5EF4-FFF2-40B4-BE49-F238E27FC236}">
                    <a16:creationId xmlns:a16="http://schemas.microsoft.com/office/drawing/2014/main" id="{0E50C991-6B52-FBB1-BB0D-4438987935A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55" name="563 Grupo">
              <a:extLst>
                <a:ext uri="{FF2B5EF4-FFF2-40B4-BE49-F238E27FC236}">
                  <a16:creationId xmlns:a16="http://schemas.microsoft.com/office/drawing/2014/main" id="{3B6C36E7-3067-8543-A804-E1BFB1151A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62" name="1226 Conector recto">
                <a:extLst>
                  <a:ext uri="{FF2B5EF4-FFF2-40B4-BE49-F238E27FC236}">
                    <a16:creationId xmlns:a16="http://schemas.microsoft.com/office/drawing/2014/main" id="{793569A0-A881-BAAB-7ADE-88DDE46D512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63" name="1227 Conector recto">
                <a:extLst>
                  <a:ext uri="{FF2B5EF4-FFF2-40B4-BE49-F238E27FC236}">
                    <a16:creationId xmlns:a16="http://schemas.microsoft.com/office/drawing/2014/main" id="{5D34CAC6-B32A-D618-7246-596B00F33B0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56" name="566 Grupo">
              <a:extLst>
                <a:ext uri="{FF2B5EF4-FFF2-40B4-BE49-F238E27FC236}">
                  <a16:creationId xmlns:a16="http://schemas.microsoft.com/office/drawing/2014/main" id="{E271CD5B-9CC7-674C-6A2B-77782276C0A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60" name="1224 Conector recto">
                <a:extLst>
                  <a:ext uri="{FF2B5EF4-FFF2-40B4-BE49-F238E27FC236}">
                    <a16:creationId xmlns:a16="http://schemas.microsoft.com/office/drawing/2014/main" id="{D7739EDB-5E30-7381-24C4-9C3E1342FE5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61" name="1225 Conector recto">
                <a:extLst>
                  <a:ext uri="{FF2B5EF4-FFF2-40B4-BE49-F238E27FC236}">
                    <a16:creationId xmlns:a16="http://schemas.microsoft.com/office/drawing/2014/main" id="{7CC9AC0D-D0E1-660C-CC29-C775521AC7D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57" name="569 Grupo">
              <a:extLst>
                <a:ext uri="{FF2B5EF4-FFF2-40B4-BE49-F238E27FC236}">
                  <a16:creationId xmlns:a16="http://schemas.microsoft.com/office/drawing/2014/main" id="{B8534D43-71D9-58F1-1A4B-D561AC3331F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58" name="1222 Conector recto">
                <a:extLst>
                  <a:ext uri="{FF2B5EF4-FFF2-40B4-BE49-F238E27FC236}">
                    <a16:creationId xmlns:a16="http://schemas.microsoft.com/office/drawing/2014/main" id="{1E535889-7C3E-492C-85BB-B1C496BCA80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59" name="1223 Conector recto">
                <a:extLst>
                  <a:ext uri="{FF2B5EF4-FFF2-40B4-BE49-F238E27FC236}">
                    <a16:creationId xmlns:a16="http://schemas.microsoft.com/office/drawing/2014/main" id="{C601DB43-8E49-ED52-E7B6-A78700576EF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028" name="599 Grupo">
            <a:extLst>
              <a:ext uri="{FF2B5EF4-FFF2-40B4-BE49-F238E27FC236}">
                <a16:creationId xmlns:a16="http://schemas.microsoft.com/office/drawing/2014/main" id="{CC69C6C5-5AB3-7C0F-8A52-F44D96E8552A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7042" name="562 Grupo">
              <a:extLst>
                <a:ext uri="{FF2B5EF4-FFF2-40B4-BE49-F238E27FC236}">
                  <a16:creationId xmlns:a16="http://schemas.microsoft.com/office/drawing/2014/main" id="{49830AB1-D473-DBB7-1457-84DCCE8D7DD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52" name="1216 Conector recto">
                <a:extLst>
                  <a:ext uri="{FF2B5EF4-FFF2-40B4-BE49-F238E27FC236}">
                    <a16:creationId xmlns:a16="http://schemas.microsoft.com/office/drawing/2014/main" id="{BAEE3D95-EB16-A9CF-CB3C-6EA5E3FC45F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53" name="1217 Conector recto">
                <a:extLst>
                  <a:ext uri="{FF2B5EF4-FFF2-40B4-BE49-F238E27FC236}">
                    <a16:creationId xmlns:a16="http://schemas.microsoft.com/office/drawing/2014/main" id="{A8E6F26D-AF2C-3451-2559-F5EDF99DBBF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43" name="563 Grupo">
              <a:extLst>
                <a:ext uri="{FF2B5EF4-FFF2-40B4-BE49-F238E27FC236}">
                  <a16:creationId xmlns:a16="http://schemas.microsoft.com/office/drawing/2014/main" id="{DA87273B-52CA-A80B-44AB-84AED6C4C6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50" name="1214 Conector recto">
                <a:extLst>
                  <a:ext uri="{FF2B5EF4-FFF2-40B4-BE49-F238E27FC236}">
                    <a16:creationId xmlns:a16="http://schemas.microsoft.com/office/drawing/2014/main" id="{FA749CEB-0E6E-17D6-0BD7-B3EE6B35A6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51" name="1215 Conector recto">
                <a:extLst>
                  <a:ext uri="{FF2B5EF4-FFF2-40B4-BE49-F238E27FC236}">
                    <a16:creationId xmlns:a16="http://schemas.microsoft.com/office/drawing/2014/main" id="{FEE92682-E399-1FAE-71A9-5A35B9F44A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44" name="566 Grupo">
              <a:extLst>
                <a:ext uri="{FF2B5EF4-FFF2-40B4-BE49-F238E27FC236}">
                  <a16:creationId xmlns:a16="http://schemas.microsoft.com/office/drawing/2014/main" id="{190576EC-F448-6998-ADA5-07550C6E37E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48" name="1212 Conector recto">
                <a:extLst>
                  <a:ext uri="{FF2B5EF4-FFF2-40B4-BE49-F238E27FC236}">
                    <a16:creationId xmlns:a16="http://schemas.microsoft.com/office/drawing/2014/main" id="{292EA6E9-E99A-04C3-5E36-C3A4128C51A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49" name="1213 Conector recto">
                <a:extLst>
                  <a:ext uri="{FF2B5EF4-FFF2-40B4-BE49-F238E27FC236}">
                    <a16:creationId xmlns:a16="http://schemas.microsoft.com/office/drawing/2014/main" id="{20199A14-FFAA-067B-D189-67F03185F38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45" name="569 Grupo">
              <a:extLst>
                <a:ext uri="{FF2B5EF4-FFF2-40B4-BE49-F238E27FC236}">
                  <a16:creationId xmlns:a16="http://schemas.microsoft.com/office/drawing/2014/main" id="{D4783A69-63A5-FA23-18A4-79CFC65134F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46" name="1210 Conector recto">
                <a:extLst>
                  <a:ext uri="{FF2B5EF4-FFF2-40B4-BE49-F238E27FC236}">
                    <a16:creationId xmlns:a16="http://schemas.microsoft.com/office/drawing/2014/main" id="{921900AB-5806-5B0B-5E9D-96008E6635E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47" name="1211 Conector recto">
                <a:extLst>
                  <a:ext uri="{FF2B5EF4-FFF2-40B4-BE49-F238E27FC236}">
                    <a16:creationId xmlns:a16="http://schemas.microsoft.com/office/drawing/2014/main" id="{8B3C13E3-5AF9-D56B-89A7-263DC77000B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7029" name="612 Grupo">
            <a:extLst>
              <a:ext uri="{FF2B5EF4-FFF2-40B4-BE49-F238E27FC236}">
                <a16:creationId xmlns:a16="http://schemas.microsoft.com/office/drawing/2014/main" id="{729E1361-0370-9B5F-7698-C38011967CEB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7030" name="562 Grupo">
              <a:extLst>
                <a:ext uri="{FF2B5EF4-FFF2-40B4-BE49-F238E27FC236}">
                  <a16:creationId xmlns:a16="http://schemas.microsoft.com/office/drawing/2014/main" id="{A9F2776D-EE70-9575-09F0-916906A7F1F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40" name="1204 Conector recto">
                <a:extLst>
                  <a:ext uri="{FF2B5EF4-FFF2-40B4-BE49-F238E27FC236}">
                    <a16:creationId xmlns:a16="http://schemas.microsoft.com/office/drawing/2014/main" id="{B18B8844-62F3-3138-B9C9-D99DB738E5E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41" name="1205 Conector recto">
                <a:extLst>
                  <a:ext uri="{FF2B5EF4-FFF2-40B4-BE49-F238E27FC236}">
                    <a16:creationId xmlns:a16="http://schemas.microsoft.com/office/drawing/2014/main" id="{CBF4C70A-2B15-7713-5516-A04DE3AB914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31" name="563 Grupo">
              <a:extLst>
                <a:ext uri="{FF2B5EF4-FFF2-40B4-BE49-F238E27FC236}">
                  <a16:creationId xmlns:a16="http://schemas.microsoft.com/office/drawing/2014/main" id="{C068BEB6-E586-1591-B966-C4F37811CBA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38" name="1202 Conector recto">
                <a:extLst>
                  <a:ext uri="{FF2B5EF4-FFF2-40B4-BE49-F238E27FC236}">
                    <a16:creationId xmlns:a16="http://schemas.microsoft.com/office/drawing/2014/main" id="{290F9A04-B7C9-A282-7C7F-4EA43C86C80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39" name="1203 Conector recto">
                <a:extLst>
                  <a:ext uri="{FF2B5EF4-FFF2-40B4-BE49-F238E27FC236}">
                    <a16:creationId xmlns:a16="http://schemas.microsoft.com/office/drawing/2014/main" id="{0C4C7526-A27C-8B19-A781-4598E0AF4EB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32" name="566 Grupo">
              <a:extLst>
                <a:ext uri="{FF2B5EF4-FFF2-40B4-BE49-F238E27FC236}">
                  <a16:creationId xmlns:a16="http://schemas.microsoft.com/office/drawing/2014/main" id="{08E3E1D3-6342-6774-0666-FCFD4702B67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36" name="1200 Conector recto">
                <a:extLst>
                  <a:ext uri="{FF2B5EF4-FFF2-40B4-BE49-F238E27FC236}">
                    <a16:creationId xmlns:a16="http://schemas.microsoft.com/office/drawing/2014/main" id="{AD7220A8-6BBB-8298-9D0D-C1E30CCA7E9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37" name="1201 Conector recto">
                <a:extLst>
                  <a:ext uri="{FF2B5EF4-FFF2-40B4-BE49-F238E27FC236}">
                    <a16:creationId xmlns:a16="http://schemas.microsoft.com/office/drawing/2014/main" id="{1E0CE3FF-CB4A-DB07-03D9-29957326382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7033" name="569 Grupo">
              <a:extLst>
                <a:ext uri="{FF2B5EF4-FFF2-40B4-BE49-F238E27FC236}">
                  <a16:creationId xmlns:a16="http://schemas.microsoft.com/office/drawing/2014/main" id="{6EFFDE98-85AD-CD39-2ABB-A335DA361AB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34" name="1198 Conector recto">
                <a:extLst>
                  <a:ext uri="{FF2B5EF4-FFF2-40B4-BE49-F238E27FC236}">
                    <a16:creationId xmlns:a16="http://schemas.microsoft.com/office/drawing/2014/main" id="{3D960949-0A50-69A9-4EE3-7B7C0BA7F1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35" name="1199 Conector recto">
                <a:extLst>
                  <a:ext uri="{FF2B5EF4-FFF2-40B4-BE49-F238E27FC236}">
                    <a16:creationId xmlns:a16="http://schemas.microsoft.com/office/drawing/2014/main" id="{8D8FFB00-9F2E-1A90-2786-F39BD3C8BE4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10</xdr:col>
      <xdr:colOff>137160</xdr:colOff>
      <xdr:row>2</xdr:row>
      <xdr:rowOff>76200</xdr:rowOff>
    </xdr:from>
    <xdr:to>
      <xdr:col>10</xdr:col>
      <xdr:colOff>701040</xdr:colOff>
      <xdr:row>2</xdr:row>
      <xdr:rowOff>609600</xdr:rowOff>
    </xdr:to>
    <xdr:grpSp>
      <xdr:nvGrpSpPr>
        <xdr:cNvPr id="526856" name="1187 Grupo">
          <a:extLst>
            <a:ext uri="{FF2B5EF4-FFF2-40B4-BE49-F238E27FC236}">
              <a16:creationId xmlns:a16="http://schemas.microsoft.com/office/drawing/2014/main" id="{D0BE9B47-F040-AFBA-6BC9-B8384446B934}"/>
            </a:ext>
          </a:extLst>
        </xdr:cNvPr>
        <xdr:cNvGrpSpPr>
          <a:grpSpLocks/>
        </xdr:cNvGrpSpPr>
      </xdr:nvGrpSpPr>
      <xdr:grpSpPr bwMode="auto">
        <a:xfrm>
          <a:off x="10030870" y="1206910"/>
          <a:ext cx="563880" cy="533400"/>
          <a:chOff x="12578073" y="988919"/>
          <a:chExt cx="9678677" cy="8510681"/>
        </a:xfrm>
      </xdr:grpSpPr>
      <xdr:grpSp>
        <xdr:nvGrpSpPr>
          <xdr:cNvPr id="526941" name="629 Grupo">
            <a:extLst>
              <a:ext uri="{FF2B5EF4-FFF2-40B4-BE49-F238E27FC236}">
                <a16:creationId xmlns:a16="http://schemas.microsoft.com/office/drawing/2014/main" id="{AF71EDC0-BCBB-BB4E-992E-E39A4A48095E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7007" name="410 Grupo">
              <a:extLst>
                <a:ext uri="{FF2B5EF4-FFF2-40B4-BE49-F238E27FC236}">
                  <a16:creationId xmlns:a16="http://schemas.microsoft.com/office/drawing/2014/main" id="{2C869F16-C60D-3A21-7D2E-94537F8050C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7012" name="Group 1078">
                <a:extLst>
                  <a:ext uri="{FF2B5EF4-FFF2-40B4-BE49-F238E27FC236}">
                    <a16:creationId xmlns:a16="http://schemas.microsoft.com/office/drawing/2014/main" id="{F82D7E55-BD8E-2912-98BB-F10A61EE1A6C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7014" name="Rectangle 1079">
                  <a:extLst>
                    <a:ext uri="{FF2B5EF4-FFF2-40B4-BE49-F238E27FC236}">
                      <a16:creationId xmlns:a16="http://schemas.microsoft.com/office/drawing/2014/main" id="{F38F8FA9-3531-BE34-D569-E4813876F89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5" name="Rectangle 1080">
                  <a:extLst>
                    <a:ext uri="{FF2B5EF4-FFF2-40B4-BE49-F238E27FC236}">
                      <a16:creationId xmlns:a16="http://schemas.microsoft.com/office/drawing/2014/main" id="{0524A180-4B67-0E39-F2FA-2B716297A71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6" name="Rectangle 1081">
                  <a:extLst>
                    <a:ext uri="{FF2B5EF4-FFF2-40B4-BE49-F238E27FC236}">
                      <a16:creationId xmlns:a16="http://schemas.microsoft.com/office/drawing/2014/main" id="{79D0A6E5-31F0-D09E-CF09-B4634AD5868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7" name="Rectangle 1082">
                  <a:extLst>
                    <a:ext uri="{FF2B5EF4-FFF2-40B4-BE49-F238E27FC236}">
                      <a16:creationId xmlns:a16="http://schemas.microsoft.com/office/drawing/2014/main" id="{A017444B-34B9-12FE-B188-7756B03EF81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8" name="Rectangle 1083">
                  <a:extLst>
                    <a:ext uri="{FF2B5EF4-FFF2-40B4-BE49-F238E27FC236}">
                      <a16:creationId xmlns:a16="http://schemas.microsoft.com/office/drawing/2014/main" id="{CF113209-3245-534C-059C-401F465517A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7019" name="Rectangle 1086">
                  <a:extLst>
                    <a:ext uri="{FF2B5EF4-FFF2-40B4-BE49-F238E27FC236}">
                      <a16:creationId xmlns:a16="http://schemas.microsoft.com/office/drawing/2014/main" id="{F044B393-D152-3840-46DF-67F7CF53756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020" name="Rectangle 1087">
                  <a:extLst>
                    <a:ext uri="{FF2B5EF4-FFF2-40B4-BE49-F238E27FC236}">
                      <a16:creationId xmlns:a16="http://schemas.microsoft.com/office/drawing/2014/main" id="{6B301057-0895-F5A2-9DFE-3473658F40A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021" name="Rectangle 1088">
                  <a:extLst>
                    <a:ext uri="{FF2B5EF4-FFF2-40B4-BE49-F238E27FC236}">
                      <a16:creationId xmlns:a16="http://schemas.microsoft.com/office/drawing/2014/main" id="{822A9FEF-15C8-C571-8E5A-8B588C756FA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022" name="Rectangle 1089">
                  <a:extLst>
                    <a:ext uri="{FF2B5EF4-FFF2-40B4-BE49-F238E27FC236}">
                      <a16:creationId xmlns:a16="http://schemas.microsoft.com/office/drawing/2014/main" id="{63E0B4FE-06B2-2ACE-5205-1EDC7E4644B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7023" name="Rectangle 1093">
                  <a:extLst>
                    <a:ext uri="{FF2B5EF4-FFF2-40B4-BE49-F238E27FC236}">
                      <a16:creationId xmlns:a16="http://schemas.microsoft.com/office/drawing/2014/main" id="{F887730E-437C-46F8-9E57-BBA1DC6B94F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7013" name="Rectangle 1087">
                <a:extLst>
                  <a:ext uri="{FF2B5EF4-FFF2-40B4-BE49-F238E27FC236}">
                    <a16:creationId xmlns:a16="http://schemas.microsoft.com/office/drawing/2014/main" id="{01ACFF2C-9D5A-BC0B-C27D-B088D8D583F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7008" name="Rectangle 1082">
              <a:extLst>
                <a:ext uri="{FF2B5EF4-FFF2-40B4-BE49-F238E27FC236}">
                  <a16:creationId xmlns:a16="http://schemas.microsoft.com/office/drawing/2014/main" id="{B0DCDA13-7C84-3DC8-0C67-B53101CE9EB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09" name="Rectangle 1082">
              <a:extLst>
                <a:ext uri="{FF2B5EF4-FFF2-40B4-BE49-F238E27FC236}">
                  <a16:creationId xmlns:a16="http://schemas.microsoft.com/office/drawing/2014/main" id="{7ACA7595-E68F-3503-7391-F7AF4212777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10" name="Rectangle 1082">
              <a:extLst>
                <a:ext uri="{FF2B5EF4-FFF2-40B4-BE49-F238E27FC236}">
                  <a16:creationId xmlns:a16="http://schemas.microsoft.com/office/drawing/2014/main" id="{061485A0-B464-16FE-917E-696360A4345E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7011" name="Rectangle 1082">
              <a:extLst>
                <a:ext uri="{FF2B5EF4-FFF2-40B4-BE49-F238E27FC236}">
                  <a16:creationId xmlns:a16="http://schemas.microsoft.com/office/drawing/2014/main" id="{FB1F49CB-7E96-CD43-F028-2CB30B430745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6942" name="572 Grupo">
            <a:extLst>
              <a:ext uri="{FF2B5EF4-FFF2-40B4-BE49-F238E27FC236}">
                <a16:creationId xmlns:a16="http://schemas.microsoft.com/office/drawing/2014/main" id="{23F1AAFB-5EA6-87E9-5AC3-0469D1D2930C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6995" name="562 Grupo">
              <a:extLst>
                <a:ext uri="{FF2B5EF4-FFF2-40B4-BE49-F238E27FC236}">
                  <a16:creationId xmlns:a16="http://schemas.microsoft.com/office/drawing/2014/main" id="{291265AF-30C3-505F-4FC1-C1D757C62AE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05" name="1252 Conector recto">
                <a:extLst>
                  <a:ext uri="{FF2B5EF4-FFF2-40B4-BE49-F238E27FC236}">
                    <a16:creationId xmlns:a16="http://schemas.microsoft.com/office/drawing/2014/main" id="{C0E86CCE-3445-18DC-F5BE-DC787C62D26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06" name="1253 Conector recto">
                <a:extLst>
                  <a:ext uri="{FF2B5EF4-FFF2-40B4-BE49-F238E27FC236}">
                    <a16:creationId xmlns:a16="http://schemas.microsoft.com/office/drawing/2014/main" id="{12E26735-4E87-EF0B-92FE-B3B1CAD1A5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96" name="563 Grupo">
              <a:extLst>
                <a:ext uri="{FF2B5EF4-FFF2-40B4-BE49-F238E27FC236}">
                  <a16:creationId xmlns:a16="http://schemas.microsoft.com/office/drawing/2014/main" id="{6A0F7B27-466E-93D4-3904-8F1DE57B538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03" name="1250 Conector recto">
                <a:extLst>
                  <a:ext uri="{FF2B5EF4-FFF2-40B4-BE49-F238E27FC236}">
                    <a16:creationId xmlns:a16="http://schemas.microsoft.com/office/drawing/2014/main" id="{B392E67C-169E-CB93-3DCF-AA8788BD6EB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04" name="1251 Conector recto">
                <a:extLst>
                  <a:ext uri="{FF2B5EF4-FFF2-40B4-BE49-F238E27FC236}">
                    <a16:creationId xmlns:a16="http://schemas.microsoft.com/office/drawing/2014/main" id="{94E8B2A2-6DAB-35F5-F978-1AD32EC94A5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97" name="566 Grupo">
              <a:extLst>
                <a:ext uri="{FF2B5EF4-FFF2-40B4-BE49-F238E27FC236}">
                  <a16:creationId xmlns:a16="http://schemas.microsoft.com/office/drawing/2014/main" id="{EFD89CC4-C3F3-AADA-C74C-C28F024C299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7001" name="1248 Conector recto">
                <a:extLst>
                  <a:ext uri="{FF2B5EF4-FFF2-40B4-BE49-F238E27FC236}">
                    <a16:creationId xmlns:a16="http://schemas.microsoft.com/office/drawing/2014/main" id="{9DADB7DB-0DE0-B904-6208-5AEDE4481A5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02" name="1249 Conector recto">
                <a:extLst>
                  <a:ext uri="{FF2B5EF4-FFF2-40B4-BE49-F238E27FC236}">
                    <a16:creationId xmlns:a16="http://schemas.microsoft.com/office/drawing/2014/main" id="{44441146-E75E-0F65-F4EE-4B1CEE58005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98" name="569 Grupo">
              <a:extLst>
                <a:ext uri="{FF2B5EF4-FFF2-40B4-BE49-F238E27FC236}">
                  <a16:creationId xmlns:a16="http://schemas.microsoft.com/office/drawing/2014/main" id="{A75B6F75-BBB5-8AFA-798F-96813DFCB3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99" name="1246 Conector recto">
                <a:extLst>
                  <a:ext uri="{FF2B5EF4-FFF2-40B4-BE49-F238E27FC236}">
                    <a16:creationId xmlns:a16="http://schemas.microsoft.com/office/drawing/2014/main" id="{783DD9D5-0564-C412-2E41-8A16D4C2B0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7000" name="1247 Conector recto">
                <a:extLst>
                  <a:ext uri="{FF2B5EF4-FFF2-40B4-BE49-F238E27FC236}">
                    <a16:creationId xmlns:a16="http://schemas.microsoft.com/office/drawing/2014/main" id="{FD5E608F-89F1-70D3-CBF7-A6B9311F206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943" name="573 Grupo">
            <a:extLst>
              <a:ext uri="{FF2B5EF4-FFF2-40B4-BE49-F238E27FC236}">
                <a16:creationId xmlns:a16="http://schemas.microsoft.com/office/drawing/2014/main" id="{543217B4-F25C-AEF9-7390-BC13099A1828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6983" name="562 Grupo">
              <a:extLst>
                <a:ext uri="{FF2B5EF4-FFF2-40B4-BE49-F238E27FC236}">
                  <a16:creationId xmlns:a16="http://schemas.microsoft.com/office/drawing/2014/main" id="{DE386645-A031-7288-56B2-D8C6CE1E2C8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93" name="1240 Conector recto">
                <a:extLst>
                  <a:ext uri="{FF2B5EF4-FFF2-40B4-BE49-F238E27FC236}">
                    <a16:creationId xmlns:a16="http://schemas.microsoft.com/office/drawing/2014/main" id="{62CE0810-A5BB-4673-5888-FFD1A20AA6D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94" name="1241 Conector recto">
                <a:extLst>
                  <a:ext uri="{FF2B5EF4-FFF2-40B4-BE49-F238E27FC236}">
                    <a16:creationId xmlns:a16="http://schemas.microsoft.com/office/drawing/2014/main" id="{05215008-A534-DC54-4F75-541F205EE0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84" name="563 Grupo">
              <a:extLst>
                <a:ext uri="{FF2B5EF4-FFF2-40B4-BE49-F238E27FC236}">
                  <a16:creationId xmlns:a16="http://schemas.microsoft.com/office/drawing/2014/main" id="{34040CB3-E9B8-6F5B-C696-9A136707128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91" name="1238 Conector recto">
                <a:extLst>
                  <a:ext uri="{FF2B5EF4-FFF2-40B4-BE49-F238E27FC236}">
                    <a16:creationId xmlns:a16="http://schemas.microsoft.com/office/drawing/2014/main" id="{BE688929-D858-8062-D9B0-FAC47FF0635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92" name="1239 Conector recto">
                <a:extLst>
                  <a:ext uri="{FF2B5EF4-FFF2-40B4-BE49-F238E27FC236}">
                    <a16:creationId xmlns:a16="http://schemas.microsoft.com/office/drawing/2014/main" id="{611467A9-7DA7-8AF1-D642-A7D7EC5AE24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85" name="566 Grupo">
              <a:extLst>
                <a:ext uri="{FF2B5EF4-FFF2-40B4-BE49-F238E27FC236}">
                  <a16:creationId xmlns:a16="http://schemas.microsoft.com/office/drawing/2014/main" id="{C3DF1F1F-F679-1DB4-9BAD-A1608E80F8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89" name="1236 Conector recto">
                <a:extLst>
                  <a:ext uri="{FF2B5EF4-FFF2-40B4-BE49-F238E27FC236}">
                    <a16:creationId xmlns:a16="http://schemas.microsoft.com/office/drawing/2014/main" id="{BF9F85CD-0CA7-38CF-8091-6AAAD45965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90" name="1237 Conector recto">
                <a:extLst>
                  <a:ext uri="{FF2B5EF4-FFF2-40B4-BE49-F238E27FC236}">
                    <a16:creationId xmlns:a16="http://schemas.microsoft.com/office/drawing/2014/main" id="{63C028E7-1B41-363D-7953-4C81562EDF8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86" name="569 Grupo">
              <a:extLst>
                <a:ext uri="{FF2B5EF4-FFF2-40B4-BE49-F238E27FC236}">
                  <a16:creationId xmlns:a16="http://schemas.microsoft.com/office/drawing/2014/main" id="{884012D4-14DA-AD39-8249-9AA38EA244C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87" name="1234 Conector recto">
                <a:extLst>
                  <a:ext uri="{FF2B5EF4-FFF2-40B4-BE49-F238E27FC236}">
                    <a16:creationId xmlns:a16="http://schemas.microsoft.com/office/drawing/2014/main" id="{89B2E3FB-BA6E-487F-AA1E-ED4924BA11C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88" name="1235 Conector recto">
                <a:extLst>
                  <a:ext uri="{FF2B5EF4-FFF2-40B4-BE49-F238E27FC236}">
                    <a16:creationId xmlns:a16="http://schemas.microsoft.com/office/drawing/2014/main" id="{7BAE9190-3780-F830-E321-D35CE6A24A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944" name="586 Grupo">
            <a:extLst>
              <a:ext uri="{FF2B5EF4-FFF2-40B4-BE49-F238E27FC236}">
                <a16:creationId xmlns:a16="http://schemas.microsoft.com/office/drawing/2014/main" id="{B5F1C325-9CCD-8178-A5AA-D33C3B4A6632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6971" name="562 Grupo">
              <a:extLst>
                <a:ext uri="{FF2B5EF4-FFF2-40B4-BE49-F238E27FC236}">
                  <a16:creationId xmlns:a16="http://schemas.microsoft.com/office/drawing/2014/main" id="{3F354CD4-A372-6E1B-F5C6-FD7E85C59BC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81" name="1228 Conector recto">
                <a:extLst>
                  <a:ext uri="{FF2B5EF4-FFF2-40B4-BE49-F238E27FC236}">
                    <a16:creationId xmlns:a16="http://schemas.microsoft.com/office/drawing/2014/main" id="{225763B4-2969-6322-4CC7-9CC66503948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82" name="1229 Conector recto">
                <a:extLst>
                  <a:ext uri="{FF2B5EF4-FFF2-40B4-BE49-F238E27FC236}">
                    <a16:creationId xmlns:a16="http://schemas.microsoft.com/office/drawing/2014/main" id="{25B109C4-7762-960E-6064-3C0751B4E1D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72" name="563 Grupo">
              <a:extLst>
                <a:ext uri="{FF2B5EF4-FFF2-40B4-BE49-F238E27FC236}">
                  <a16:creationId xmlns:a16="http://schemas.microsoft.com/office/drawing/2014/main" id="{74B1CF37-CDE3-575A-7D9D-C2A435FCAD9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79" name="1226 Conector recto">
                <a:extLst>
                  <a:ext uri="{FF2B5EF4-FFF2-40B4-BE49-F238E27FC236}">
                    <a16:creationId xmlns:a16="http://schemas.microsoft.com/office/drawing/2014/main" id="{ECD2ECD2-896B-F382-CBAD-917AEC9B4D5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80" name="1227 Conector recto">
                <a:extLst>
                  <a:ext uri="{FF2B5EF4-FFF2-40B4-BE49-F238E27FC236}">
                    <a16:creationId xmlns:a16="http://schemas.microsoft.com/office/drawing/2014/main" id="{4EA668D3-9C66-6B53-C967-F128E3A9A9A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73" name="566 Grupo">
              <a:extLst>
                <a:ext uri="{FF2B5EF4-FFF2-40B4-BE49-F238E27FC236}">
                  <a16:creationId xmlns:a16="http://schemas.microsoft.com/office/drawing/2014/main" id="{0DB0D2F8-E919-C8E7-30E0-0DD8C70EC5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77" name="1224 Conector recto">
                <a:extLst>
                  <a:ext uri="{FF2B5EF4-FFF2-40B4-BE49-F238E27FC236}">
                    <a16:creationId xmlns:a16="http://schemas.microsoft.com/office/drawing/2014/main" id="{30ECD950-5D92-2078-77C1-8FF608D62B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78" name="1225 Conector recto">
                <a:extLst>
                  <a:ext uri="{FF2B5EF4-FFF2-40B4-BE49-F238E27FC236}">
                    <a16:creationId xmlns:a16="http://schemas.microsoft.com/office/drawing/2014/main" id="{FA3776DE-EB3F-E333-A367-F15887EC586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74" name="569 Grupo">
              <a:extLst>
                <a:ext uri="{FF2B5EF4-FFF2-40B4-BE49-F238E27FC236}">
                  <a16:creationId xmlns:a16="http://schemas.microsoft.com/office/drawing/2014/main" id="{31D8D40E-06A3-A65D-78EB-9C269AB5E0B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75" name="1222 Conector recto">
                <a:extLst>
                  <a:ext uri="{FF2B5EF4-FFF2-40B4-BE49-F238E27FC236}">
                    <a16:creationId xmlns:a16="http://schemas.microsoft.com/office/drawing/2014/main" id="{54DD954B-BA7E-3124-D8C2-CEAE5769691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76" name="1223 Conector recto">
                <a:extLst>
                  <a:ext uri="{FF2B5EF4-FFF2-40B4-BE49-F238E27FC236}">
                    <a16:creationId xmlns:a16="http://schemas.microsoft.com/office/drawing/2014/main" id="{7685F742-20BE-458F-5081-1493505955C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945" name="599 Grupo">
            <a:extLst>
              <a:ext uri="{FF2B5EF4-FFF2-40B4-BE49-F238E27FC236}">
                <a16:creationId xmlns:a16="http://schemas.microsoft.com/office/drawing/2014/main" id="{E0B5F12C-5804-93C5-F6F1-FEF16F321432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6959" name="562 Grupo">
              <a:extLst>
                <a:ext uri="{FF2B5EF4-FFF2-40B4-BE49-F238E27FC236}">
                  <a16:creationId xmlns:a16="http://schemas.microsoft.com/office/drawing/2014/main" id="{3E47A65E-1789-5754-59D0-5856FBD777B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69" name="1216 Conector recto">
                <a:extLst>
                  <a:ext uri="{FF2B5EF4-FFF2-40B4-BE49-F238E27FC236}">
                    <a16:creationId xmlns:a16="http://schemas.microsoft.com/office/drawing/2014/main" id="{86A198B9-95A9-384F-4F80-B777220021C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70" name="1217 Conector recto">
                <a:extLst>
                  <a:ext uri="{FF2B5EF4-FFF2-40B4-BE49-F238E27FC236}">
                    <a16:creationId xmlns:a16="http://schemas.microsoft.com/office/drawing/2014/main" id="{3EED434A-71A5-2345-DF6C-F7DEF43B04F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60" name="563 Grupo">
              <a:extLst>
                <a:ext uri="{FF2B5EF4-FFF2-40B4-BE49-F238E27FC236}">
                  <a16:creationId xmlns:a16="http://schemas.microsoft.com/office/drawing/2014/main" id="{0F30D73F-EE35-79CB-FEE1-0671D5DF9B1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67" name="1214 Conector recto">
                <a:extLst>
                  <a:ext uri="{FF2B5EF4-FFF2-40B4-BE49-F238E27FC236}">
                    <a16:creationId xmlns:a16="http://schemas.microsoft.com/office/drawing/2014/main" id="{5DF3E563-B27D-138D-40B7-091B6ACE36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68" name="1215 Conector recto">
                <a:extLst>
                  <a:ext uri="{FF2B5EF4-FFF2-40B4-BE49-F238E27FC236}">
                    <a16:creationId xmlns:a16="http://schemas.microsoft.com/office/drawing/2014/main" id="{B1488128-54E8-A58C-07B8-91EBED4A78E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61" name="566 Grupo">
              <a:extLst>
                <a:ext uri="{FF2B5EF4-FFF2-40B4-BE49-F238E27FC236}">
                  <a16:creationId xmlns:a16="http://schemas.microsoft.com/office/drawing/2014/main" id="{108B15DF-70A6-4910-B208-5B7A05021F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65" name="1212 Conector recto">
                <a:extLst>
                  <a:ext uri="{FF2B5EF4-FFF2-40B4-BE49-F238E27FC236}">
                    <a16:creationId xmlns:a16="http://schemas.microsoft.com/office/drawing/2014/main" id="{9F210774-1639-6A21-C4EF-5B31DE1764B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66" name="1213 Conector recto">
                <a:extLst>
                  <a:ext uri="{FF2B5EF4-FFF2-40B4-BE49-F238E27FC236}">
                    <a16:creationId xmlns:a16="http://schemas.microsoft.com/office/drawing/2014/main" id="{BC545BED-6EA9-A553-858F-5D9957DAEFE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62" name="569 Grupo">
              <a:extLst>
                <a:ext uri="{FF2B5EF4-FFF2-40B4-BE49-F238E27FC236}">
                  <a16:creationId xmlns:a16="http://schemas.microsoft.com/office/drawing/2014/main" id="{73BFFC9D-79A9-743C-BBA3-DF3F2463A7A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63" name="1210 Conector recto">
                <a:extLst>
                  <a:ext uri="{FF2B5EF4-FFF2-40B4-BE49-F238E27FC236}">
                    <a16:creationId xmlns:a16="http://schemas.microsoft.com/office/drawing/2014/main" id="{DC5830DC-0384-149D-811B-4156BC7B450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64" name="1211 Conector recto">
                <a:extLst>
                  <a:ext uri="{FF2B5EF4-FFF2-40B4-BE49-F238E27FC236}">
                    <a16:creationId xmlns:a16="http://schemas.microsoft.com/office/drawing/2014/main" id="{76D727E7-E112-BD36-96A5-1D58E7BC28A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946" name="612 Grupo">
            <a:extLst>
              <a:ext uri="{FF2B5EF4-FFF2-40B4-BE49-F238E27FC236}">
                <a16:creationId xmlns:a16="http://schemas.microsoft.com/office/drawing/2014/main" id="{F2C85D4B-54F5-AB25-B905-BD647549616D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6947" name="562 Grupo">
              <a:extLst>
                <a:ext uri="{FF2B5EF4-FFF2-40B4-BE49-F238E27FC236}">
                  <a16:creationId xmlns:a16="http://schemas.microsoft.com/office/drawing/2014/main" id="{B0C6EF40-D81B-0592-BD65-1420C0CCB2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57" name="1204 Conector recto">
                <a:extLst>
                  <a:ext uri="{FF2B5EF4-FFF2-40B4-BE49-F238E27FC236}">
                    <a16:creationId xmlns:a16="http://schemas.microsoft.com/office/drawing/2014/main" id="{C3022EA2-3D3C-1E0F-15E8-A1DB98F3555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58" name="1205 Conector recto">
                <a:extLst>
                  <a:ext uri="{FF2B5EF4-FFF2-40B4-BE49-F238E27FC236}">
                    <a16:creationId xmlns:a16="http://schemas.microsoft.com/office/drawing/2014/main" id="{86D5DCA6-CF74-D3FC-A13D-C952EA035C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48" name="563 Grupo">
              <a:extLst>
                <a:ext uri="{FF2B5EF4-FFF2-40B4-BE49-F238E27FC236}">
                  <a16:creationId xmlns:a16="http://schemas.microsoft.com/office/drawing/2014/main" id="{DFC9D737-ACBD-4921-3908-4C677F0AEEB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55" name="1202 Conector recto">
                <a:extLst>
                  <a:ext uri="{FF2B5EF4-FFF2-40B4-BE49-F238E27FC236}">
                    <a16:creationId xmlns:a16="http://schemas.microsoft.com/office/drawing/2014/main" id="{8D2B53DD-9239-BE0E-B129-F021B43BA31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56" name="1203 Conector recto">
                <a:extLst>
                  <a:ext uri="{FF2B5EF4-FFF2-40B4-BE49-F238E27FC236}">
                    <a16:creationId xmlns:a16="http://schemas.microsoft.com/office/drawing/2014/main" id="{7EDBA4A7-C373-6A0D-8960-83E98DF698E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49" name="566 Grupo">
              <a:extLst>
                <a:ext uri="{FF2B5EF4-FFF2-40B4-BE49-F238E27FC236}">
                  <a16:creationId xmlns:a16="http://schemas.microsoft.com/office/drawing/2014/main" id="{FB3B12CF-E538-6759-B7C5-D2BBC8228CA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53" name="1200 Conector recto">
                <a:extLst>
                  <a:ext uri="{FF2B5EF4-FFF2-40B4-BE49-F238E27FC236}">
                    <a16:creationId xmlns:a16="http://schemas.microsoft.com/office/drawing/2014/main" id="{1905BAAD-E839-8865-40F8-2DA962EAC0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54" name="1201 Conector recto">
                <a:extLst>
                  <a:ext uri="{FF2B5EF4-FFF2-40B4-BE49-F238E27FC236}">
                    <a16:creationId xmlns:a16="http://schemas.microsoft.com/office/drawing/2014/main" id="{38AA98E9-7AF4-3F3E-37B4-4D51851A9F1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50" name="569 Grupo">
              <a:extLst>
                <a:ext uri="{FF2B5EF4-FFF2-40B4-BE49-F238E27FC236}">
                  <a16:creationId xmlns:a16="http://schemas.microsoft.com/office/drawing/2014/main" id="{C80E9203-22FA-B08D-827B-B3DF25D3E6C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51" name="1198 Conector recto">
                <a:extLst>
                  <a:ext uri="{FF2B5EF4-FFF2-40B4-BE49-F238E27FC236}">
                    <a16:creationId xmlns:a16="http://schemas.microsoft.com/office/drawing/2014/main" id="{C768B143-39FF-5C26-25B8-E07DCA9359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52" name="1199 Conector recto">
                <a:extLst>
                  <a:ext uri="{FF2B5EF4-FFF2-40B4-BE49-F238E27FC236}">
                    <a16:creationId xmlns:a16="http://schemas.microsoft.com/office/drawing/2014/main" id="{F363B0E4-64CD-AD92-B0FD-DCB71D908E1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11</xdr:col>
      <xdr:colOff>137160</xdr:colOff>
      <xdr:row>2</xdr:row>
      <xdr:rowOff>76200</xdr:rowOff>
    </xdr:from>
    <xdr:to>
      <xdr:col>11</xdr:col>
      <xdr:colOff>701040</xdr:colOff>
      <xdr:row>2</xdr:row>
      <xdr:rowOff>609600</xdr:rowOff>
    </xdr:to>
    <xdr:grpSp>
      <xdr:nvGrpSpPr>
        <xdr:cNvPr id="526857" name="1187 Grupo">
          <a:extLst>
            <a:ext uri="{FF2B5EF4-FFF2-40B4-BE49-F238E27FC236}">
              <a16:creationId xmlns:a16="http://schemas.microsoft.com/office/drawing/2014/main" id="{46CB9E35-51F1-639D-5144-5E131E2B7A05}"/>
            </a:ext>
          </a:extLst>
        </xdr:cNvPr>
        <xdr:cNvGrpSpPr>
          <a:grpSpLocks/>
        </xdr:cNvGrpSpPr>
      </xdr:nvGrpSpPr>
      <xdr:grpSpPr bwMode="auto">
        <a:xfrm>
          <a:off x="10878902" y="1206910"/>
          <a:ext cx="563880" cy="533400"/>
          <a:chOff x="12578073" y="988919"/>
          <a:chExt cx="9678677" cy="8510681"/>
        </a:xfrm>
      </xdr:grpSpPr>
      <xdr:grpSp>
        <xdr:nvGrpSpPr>
          <xdr:cNvPr id="526858" name="629 Grupo">
            <a:extLst>
              <a:ext uri="{FF2B5EF4-FFF2-40B4-BE49-F238E27FC236}">
                <a16:creationId xmlns:a16="http://schemas.microsoft.com/office/drawing/2014/main" id="{2D6C1FFD-2125-EA7E-1E33-09BD8D5FE871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26924" name="410 Grupo">
              <a:extLst>
                <a:ext uri="{FF2B5EF4-FFF2-40B4-BE49-F238E27FC236}">
                  <a16:creationId xmlns:a16="http://schemas.microsoft.com/office/drawing/2014/main" id="{9A8549E4-59D1-D7C9-43B5-A06BDBB0CC2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26929" name="Group 1078">
                <a:extLst>
                  <a:ext uri="{FF2B5EF4-FFF2-40B4-BE49-F238E27FC236}">
                    <a16:creationId xmlns:a16="http://schemas.microsoft.com/office/drawing/2014/main" id="{3AB7F48C-67FC-891C-BDF3-AB640D6BD2F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26931" name="Rectangle 1079">
                  <a:extLst>
                    <a:ext uri="{FF2B5EF4-FFF2-40B4-BE49-F238E27FC236}">
                      <a16:creationId xmlns:a16="http://schemas.microsoft.com/office/drawing/2014/main" id="{17A042A5-1EAB-50E1-5D73-34148F4B8BDD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2" name="Rectangle 1080">
                  <a:extLst>
                    <a:ext uri="{FF2B5EF4-FFF2-40B4-BE49-F238E27FC236}">
                      <a16:creationId xmlns:a16="http://schemas.microsoft.com/office/drawing/2014/main" id="{1AB02EF2-B85E-2D49-ECF2-91E34953EB9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3" name="Rectangle 1081">
                  <a:extLst>
                    <a:ext uri="{FF2B5EF4-FFF2-40B4-BE49-F238E27FC236}">
                      <a16:creationId xmlns:a16="http://schemas.microsoft.com/office/drawing/2014/main" id="{FF12D15A-8D0E-7844-BF94-30E13C61C256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4" name="Rectangle 1082">
                  <a:extLst>
                    <a:ext uri="{FF2B5EF4-FFF2-40B4-BE49-F238E27FC236}">
                      <a16:creationId xmlns:a16="http://schemas.microsoft.com/office/drawing/2014/main" id="{425201CE-2ACE-885C-AE7C-BDA9C41806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5" name="Rectangle 1083">
                  <a:extLst>
                    <a:ext uri="{FF2B5EF4-FFF2-40B4-BE49-F238E27FC236}">
                      <a16:creationId xmlns:a16="http://schemas.microsoft.com/office/drawing/2014/main" id="{17819EFF-0853-E5C4-006E-84AE88732AE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26936" name="Rectangle 1086">
                  <a:extLst>
                    <a:ext uri="{FF2B5EF4-FFF2-40B4-BE49-F238E27FC236}">
                      <a16:creationId xmlns:a16="http://schemas.microsoft.com/office/drawing/2014/main" id="{21554CF0-EF64-8DAB-1D9B-64C8DA8535F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6937" name="Rectangle 1087">
                  <a:extLst>
                    <a:ext uri="{FF2B5EF4-FFF2-40B4-BE49-F238E27FC236}">
                      <a16:creationId xmlns:a16="http://schemas.microsoft.com/office/drawing/2014/main" id="{2D946A0E-3B5B-DCC2-6C05-4D12D30FA75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6938" name="Rectangle 1088">
                  <a:extLst>
                    <a:ext uri="{FF2B5EF4-FFF2-40B4-BE49-F238E27FC236}">
                      <a16:creationId xmlns:a16="http://schemas.microsoft.com/office/drawing/2014/main" id="{0AD8A761-1536-51E5-E286-6E61DDBDA70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6939" name="Rectangle 1089">
                  <a:extLst>
                    <a:ext uri="{FF2B5EF4-FFF2-40B4-BE49-F238E27FC236}">
                      <a16:creationId xmlns:a16="http://schemas.microsoft.com/office/drawing/2014/main" id="{ABFB7AF2-5DA9-EE07-2B54-D0200854285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26940" name="Rectangle 1093">
                  <a:extLst>
                    <a:ext uri="{FF2B5EF4-FFF2-40B4-BE49-F238E27FC236}">
                      <a16:creationId xmlns:a16="http://schemas.microsoft.com/office/drawing/2014/main" id="{FF9E9BBE-930F-2B3F-49A3-21FE44A10AE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26930" name="Rectangle 1087">
                <a:extLst>
                  <a:ext uri="{FF2B5EF4-FFF2-40B4-BE49-F238E27FC236}">
                    <a16:creationId xmlns:a16="http://schemas.microsoft.com/office/drawing/2014/main" id="{5265A780-869B-51E2-81E7-FD71B615DE6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26925" name="Rectangle 1082">
              <a:extLst>
                <a:ext uri="{FF2B5EF4-FFF2-40B4-BE49-F238E27FC236}">
                  <a16:creationId xmlns:a16="http://schemas.microsoft.com/office/drawing/2014/main" id="{F7E11AF3-66B3-6799-09FD-6857027BE19A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6926" name="Rectangle 1082">
              <a:extLst>
                <a:ext uri="{FF2B5EF4-FFF2-40B4-BE49-F238E27FC236}">
                  <a16:creationId xmlns:a16="http://schemas.microsoft.com/office/drawing/2014/main" id="{921823FA-8465-183A-97BE-20D3BCDD2E93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6927" name="Rectangle 1082">
              <a:extLst>
                <a:ext uri="{FF2B5EF4-FFF2-40B4-BE49-F238E27FC236}">
                  <a16:creationId xmlns:a16="http://schemas.microsoft.com/office/drawing/2014/main" id="{6A01C906-9C21-8513-E513-E222062F79EB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26928" name="Rectangle 1082">
              <a:extLst>
                <a:ext uri="{FF2B5EF4-FFF2-40B4-BE49-F238E27FC236}">
                  <a16:creationId xmlns:a16="http://schemas.microsoft.com/office/drawing/2014/main" id="{B89A5C98-9661-16C6-2F07-781A6E8777C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26859" name="572 Grupo">
            <a:extLst>
              <a:ext uri="{FF2B5EF4-FFF2-40B4-BE49-F238E27FC236}">
                <a16:creationId xmlns:a16="http://schemas.microsoft.com/office/drawing/2014/main" id="{EAFCFB65-C899-D112-BBB0-5B762784DAB5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6912" name="562 Grupo">
              <a:extLst>
                <a:ext uri="{FF2B5EF4-FFF2-40B4-BE49-F238E27FC236}">
                  <a16:creationId xmlns:a16="http://schemas.microsoft.com/office/drawing/2014/main" id="{7EA1539C-E642-4C47-2499-11B853F2B8D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22" name="1252 Conector recto">
                <a:extLst>
                  <a:ext uri="{FF2B5EF4-FFF2-40B4-BE49-F238E27FC236}">
                    <a16:creationId xmlns:a16="http://schemas.microsoft.com/office/drawing/2014/main" id="{E64A2264-697F-B9DD-8295-828372FE3C9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23" name="1253 Conector recto">
                <a:extLst>
                  <a:ext uri="{FF2B5EF4-FFF2-40B4-BE49-F238E27FC236}">
                    <a16:creationId xmlns:a16="http://schemas.microsoft.com/office/drawing/2014/main" id="{E75D7675-630D-0E0A-AB9F-378E0CD531B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13" name="563 Grupo">
              <a:extLst>
                <a:ext uri="{FF2B5EF4-FFF2-40B4-BE49-F238E27FC236}">
                  <a16:creationId xmlns:a16="http://schemas.microsoft.com/office/drawing/2014/main" id="{9A1EDF32-5661-F62D-D202-11D98D1B9BA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20" name="1250 Conector recto">
                <a:extLst>
                  <a:ext uri="{FF2B5EF4-FFF2-40B4-BE49-F238E27FC236}">
                    <a16:creationId xmlns:a16="http://schemas.microsoft.com/office/drawing/2014/main" id="{524D4A12-9032-3932-08BC-8A718C6B523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21" name="1251 Conector recto">
                <a:extLst>
                  <a:ext uri="{FF2B5EF4-FFF2-40B4-BE49-F238E27FC236}">
                    <a16:creationId xmlns:a16="http://schemas.microsoft.com/office/drawing/2014/main" id="{0845D033-E93A-E2BF-8888-7487A6ACB0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14" name="566 Grupo">
              <a:extLst>
                <a:ext uri="{FF2B5EF4-FFF2-40B4-BE49-F238E27FC236}">
                  <a16:creationId xmlns:a16="http://schemas.microsoft.com/office/drawing/2014/main" id="{2F993FB6-F29F-E4AF-37BE-8E3A070012E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18" name="1248 Conector recto">
                <a:extLst>
                  <a:ext uri="{FF2B5EF4-FFF2-40B4-BE49-F238E27FC236}">
                    <a16:creationId xmlns:a16="http://schemas.microsoft.com/office/drawing/2014/main" id="{2869E8B9-4475-D659-0FC7-CE21FD8C95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19" name="1249 Conector recto">
                <a:extLst>
                  <a:ext uri="{FF2B5EF4-FFF2-40B4-BE49-F238E27FC236}">
                    <a16:creationId xmlns:a16="http://schemas.microsoft.com/office/drawing/2014/main" id="{1C396F74-DD31-3C99-82C0-86EC07487A9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15" name="569 Grupo">
              <a:extLst>
                <a:ext uri="{FF2B5EF4-FFF2-40B4-BE49-F238E27FC236}">
                  <a16:creationId xmlns:a16="http://schemas.microsoft.com/office/drawing/2014/main" id="{D2115331-717B-6EF8-8CAC-55D50D0DBF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16" name="1246 Conector recto">
                <a:extLst>
                  <a:ext uri="{FF2B5EF4-FFF2-40B4-BE49-F238E27FC236}">
                    <a16:creationId xmlns:a16="http://schemas.microsoft.com/office/drawing/2014/main" id="{AC1E0585-FDE8-F59D-302D-46000D59269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17" name="1247 Conector recto">
                <a:extLst>
                  <a:ext uri="{FF2B5EF4-FFF2-40B4-BE49-F238E27FC236}">
                    <a16:creationId xmlns:a16="http://schemas.microsoft.com/office/drawing/2014/main" id="{8451C452-51AB-9578-CA77-12914E0277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860" name="573 Grupo">
            <a:extLst>
              <a:ext uri="{FF2B5EF4-FFF2-40B4-BE49-F238E27FC236}">
                <a16:creationId xmlns:a16="http://schemas.microsoft.com/office/drawing/2014/main" id="{D9BFD69D-39BC-E469-988C-5F4ED57FEC3E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6900" name="562 Grupo">
              <a:extLst>
                <a:ext uri="{FF2B5EF4-FFF2-40B4-BE49-F238E27FC236}">
                  <a16:creationId xmlns:a16="http://schemas.microsoft.com/office/drawing/2014/main" id="{6AD3560E-F074-483B-48AB-AAB547812C7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10" name="1240 Conector recto">
                <a:extLst>
                  <a:ext uri="{FF2B5EF4-FFF2-40B4-BE49-F238E27FC236}">
                    <a16:creationId xmlns:a16="http://schemas.microsoft.com/office/drawing/2014/main" id="{19E25BC7-A489-1D12-2B0F-9DCFDFA6E34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11" name="1241 Conector recto">
                <a:extLst>
                  <a:ext uri="{FF2B5EF4-FFF2-40B4-BE49-F238E27FC236}">
                    <a16:creationId xmlns:a16="http://schemas.microsoft.com/office/drawing/2014/main" id="{41BA1D76-C966-5C63-1EFD-D47892DD2F1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01" name="563 Grupo">
              <a:extLst>
                <a:ext uri="{FF2B5EF4-FFF2-40B4-BE49-F238E27FC236}">
                  <a16:creationId xmlns:a16="http://schemas.microsoft.com/office/drawing/2014/main" id="{5C45C83C-A705-CD17-D2CE-9B1ED4388C0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08" name="1238 Conector recto">
                <a:extLst>
                  <a:ext uri="{FF2B5EF4-FFF2-40B4-BE49-F238E27FC236}">
                    <a16:creationId xmlns:a16="http://schemas.microsoft.com/office/drawing/2014/main" id="{BD13653B-F12B-6DD3-334B-4C3635934B9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09" name="1239 Conector recto">
                <a:extLst>
                  <a:ext uri="{FF2B5EF4-FFF2-40B4-BE49-F238E27FC236}">
                    <a16:creationId xmlns:a16="http://schemas.microsoft.com/office/drawing/2014/main" id="{2EA7BA11-1F58-0749-2080-53A20C10226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02" name="566 Grupo">
              <a:extLst>
                <a:ext uri="{FF2B5EF4-FFF2-40B4-BE49-F238E27FC236}">
                  <a16:creationId xmlns:a16="http://schemas.microsoft.com/office/drawing/2014/main" id="{B6D98774-1037-99B7-A650-FA91C998451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06" name="1236 Conector recto">
                <a:extLst>
                  <a:ext uri="{FF2B5EF4-FFF2-40B4-BE49-F238E27FC236}">
                    <a16:creationId xmlns:a16="http://schemas.microsoft.com/office/drawing/2014/main" id="{3CB5B221-B622-0647-05E4-CC4C3FE1537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07" name="1237 Conector recto">
                <a:extLst>
                  <a:ext uri="{FF2B5EF4-FFF2-40B4-BE49-F238E27FC236}">
                    <a16:creationId xmlns:a16="http://schemas.microsoft.com/office/drawing/2014/main" id="{9583943E-F07B-B5B1-5E35-79550778233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903" name="569 Grupo">
              <a:extLst>
                <a:ext uri="{FF2B5EF4-FFF2-40B4-BE49-F238E27FC236}">
                  <a16:creationId xmlns:a16="http://schemas.microsoft.com/office/drawing/2014/main" id="{B5F7CB91-9056-6262-8212-D582F6938C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904" name="1234 Conector recto">
                <a:extLst>
                  <a:ext uri="{FF2B5EF4-FFF2-40B4-BE49-F238E27FC236}">
                    <a16:creationId xmlns:a16="http://schemas.microsoft.com/office/drawing/2014/main" id="{B816D02B-E6A9-3C38-C54E-294014F19B2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905" name="1235 Conector recto">
                <a:extLst>
                  <a:ext uri="{FF2B5EF4-FFF2-40B4-BE49-F238E27FC236}">
                    <a16:creationId xmlns:a16="http://schemas.microsoft.com/office/drawing/2014/main" id="{BED9CDDB-0C55-5D14-C881-6945AD4F7BE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861" name="586 Grupo">
            <a:extLst>
              <a:ext uri="{FF2B5EF4-FFF2-40B4-BE49-F238E27FC236}">
                <a16:creationId xmlns:a16="http://schemas.microsoft.com/office/drawing/2014/main" id="{739CBCC5-6976-92BE-B1A4-2003DD0A1EA3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6888" name="562 Grupo">
              <a:extLst>
                <a:ext uri="{FF2B5EF4-FFF2-40B4-BE49-F238E27FC236}">
                  <a16:creationId xmlns:a16="http://schemas.microsoft.com/office/drawing/2014/main" id="{38A48132-BBE4-8065-357E-8B6605D1022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98" name="1228 Conector recto">
                <a:extLst>
                  <a:ext uri="{FF2B5EF4-FFF2-40B4-BE49-F238E27FC236}">
                    <a16:creationId xmlns:a16="http://schemas.microsoft.com/office/drawing/2014/main" id="{FA54ABF0-2440-0826-3A8D-8FB20AECE6F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99" name="1229 Conector recto">
                <a:extLst>
                  <a:ext uri="{FF2B5EF4-FFF2-40B4-BE49-F238E27FC236}">
                    <a16:creationId xmlns:a16="http://schemas.microsoft.com/office/drawing/2014/main" id="{D7943B44-FAE9-7575-CF7C-54AA8F09893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89" name="563 Grupo">
              <a:extLst>
                <a:ext uri="{FF2B5EF4-FFF2-40B4-BE49-F238E27FC236}">
                  <a16:creationId xmlns:a16="http://schemas.microsoft.com/office/drawing/2014/main" id="{A2DCFF8C-2967-8AC3-C189-BA080565255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96" name="1226 Conector recto">
                <a:extLst>
                  <a:ext uri="{FF2B5EF4-FFF2-40B4-BE49-F238E27FC236}">
                    <a16:creationId xmlns:a16="http://schemas.microsoft.com/office/drawing/2014/main" id="{37B59550-EAB2-1FD0-A84F-D8E10F902F1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97" name="1227 Conector recto">
                <a:extLst>
                  <a:ext uri="{FF2B5EF4-FFF2-40B4-BE49-F238E27FC236}">
                    <a16:creationId xmlns:a16="http://schemas.microsoft.com/office/drawing/2014/main" id="{0BA1C3E1-AD06-2999-EE2F-59B3658718F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90" name="566 Grupo">
              <a:extLst>
                <a:ext uri="{FF2B5EF4-FFF2-40B4-BE49-F238E27FC236}">
                  <a16:creationId xmlns:a16="http://schemas.microsoft.com/office/drawing/2014/main" id="{8CF845EA-934B-80E5-A516-BE4921520F3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94" name="1224 Conector recto">
                <a:extLst>
                  <a:ext uri="{FF2B5EF4-FFF2-40B4-BE49-F238E27FC236}">
                    <a16:creationId xmlns:a16="http://schemas.microsoft.com/office/drawing/2014/main" id="{6520A114-2687-35C0-82ED-23C70D37E4F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95" name="1225 Conector recto">
                <a:extLst>
                  <a:ext uri="{FF2B5EF4-FFF2-40B4-BE49-F238E27FC236}">
                    <a16:creationId xmlns:a16="http://schemas.microsoft.com/office/drawing/2014/main" id="{EA58253D-0CEB-D58D-82AE-236944F99DA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91" name="569 Grupo">
              <a:extLst>
                <a:ext uri="{FF2B5EF4-FFF2-40B4-BE49-F238E27FC236}">
                  <a16:creationId xmlns:a16="http://schemas.microsoft.com/office/drawing/2014/main" id="{40A3637C-3F1D-C236-1397-CF5BD0C6E82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92" name="1222 Conector recto">
                <a:extLst>
                  <a:ext uri="{FF2B5EF4-FFF2-40B4-BE49-F238E27FC236}">
                    <a16:creationId xmlns:a16="http://schemas.microsoft.com/office/drawing/2014/main" id="{C263FBEC-A171-0979-EBF1-2ABC15AAA78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93" name="1223 Conector recto">
                <a:extLst>
                  <a:ext uri="{FF2B5EF4-FFF2-40B4-BE49-F238E27FC236}">
                    <a16:creationId xmlns:a16="http://schemas.microsoft.com/office/drawing/2014/main" id="{6D969240-02BC-DC14-BC29-7AB749529EC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862" name="599 Grupo">
            <a:extLst>
              <a:ext uri="{FF2B5EF4-FFF2-40B4-BE49-F238E27FC236}">
                <a16:creationId xmlns:a16="http://schemas.microsoft.com/office/drawing/2014/main" id="{75E4B778-4BEC-E709-4AF2-60FD6696DBDA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6876" name="562 Grupo">
              <a:extLst>
                <a:ext uri="{FF2B5EF4-FFF2-40B4-BE49-F238E27FC236}">
                  <a16:creationId xmlns:a16="http://schemas.microsoft.com/office/drawing/2014/main" id="{8658A70C-78A8-4805-8139-264D6064B2C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86" name="1216 Conector recto">
                <a:extLst>
                  <a:ext uri="{FF2B5EF4-FFF2-40B4-BE49-F238E27FC236}">
                    <a16:creationId xmlns:a16="http://schemas.microsoft.com/office/drawing/2014/main" id="{A48A6012-AD15-869C-7EBD-CA4DCBC55EC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87" name="1217 Conector recto">
                <a:extLst>
                  <a:ext uri="{FF2B5EF4-FFF2-40B4-BE49-F238E27FC236}">
                    <a16:creationId xmlns:a16="http://schemas.microsoft.com/office/drawing/2014/main" id="{8CA1B226-F220-40E9-E35D-1E242BDD92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77" name="563 Grupo">
              <a:extLst>
                <a:ext uri="{FF2B5EF4-FFF2-40B4-BE49-F238E27FC236}">
                  <a16:creationId xmlns:a16="http://schemas.microsoft.com/office/drawing/2014/main" id="{F88301AA-4D0D-FDA8-85A9-3D187BCAFE9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84" name="1214 Conector recto">
                <a:extLst>
                  <a:ext uri="{FF2B5EF4-FFF2-40B4-BE49-F238E27FC236}">
                    <a16:creationId xmlns:a16="http://schemas.microsoft.com/office/drawing/2014/main" id="{B71F1E70-551B-065D-8316-86A73ABD098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85" name="1215 Conector recto">
                <a:extLst>
                  <a:ext uri="{FF2B5EF4-FFF2-40B4-BE49-F238E27FC236}">
                    <a16:creationId xmlns:a16="http://schemas.microsoft.com/office/drawing/2014/main" id="{A8C4FBA1-E491-DA56-2F0B-C98CCDBE0D0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78" name="566 Grupo">
              <a:extLst>
                <a:ext uri="{FF2B5EF4-FFF2-40B4-BE49-F238E27FC236}">
                  <a16:creationId xmlns:a16="http://schemas.microsoft.com/office/drawing/2014/main" id="{C52D7EC9-AE36-1A47-7FC6-84EA61033D3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82" name="1212 Conector recto">
                <a:extLst>
                  <a:ext uri="{FF2B5EF4-FFF2-40B4-BE49-F238E27FC236}">
                    <a16:creationId xmlns:a16="http://schemas.microsoft.com/office/drawing/2014/main" id="{03A9C7BF-8937-E003-AF13-39157453178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83" name="1213 Conector recto">
                <a:extLst>
                  <a:ext uri="{FF2B5EF4-FFF2-40B4-BE49-F238E27FC236}">
                    <a16:creationId xmlns:a16="http://schemas.microsoft.com/office/drawing/2014/main" id="{DB0ED545-9BC3-0280-536F-EB814682AAC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79" name="569 Grupo">
              <a:extLst>
                <a:ext uri="{FF2B5EF4-FFF2-40B4-BE49-F238E27FC236}">
                  <a16:creationId xmlns:a16="http://schemas.microsoft.com/office/drawing/2014/main" id="{C44F0B70-3775-CDB7-19FD-6DF42FF7EF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80" name="1210 Conector recto">
                <a:extLst>
                  <a:ext uri="{FF2B5EF4-FFF2-40B4-BE49-F238E27FC236}">
                    <a16:creationId xmlns:a16="http://schemas.microsoft.com/office/drawing/2014/main" id="{69F683BC-8D81-71FF-6629-0F843B32BCA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81" name="1211 Conector recto">
                <a:extLst>
                  <a:ext uri="{FF2B5EF4-FFF2-40B4-BE49-F238E27FC236}">
                    <a16:creationId xmlns:a16="http://schemas.microsoft.com/office/drawing/2014/main" id="{D30CCF7D-0810-BEAA-A02B-2C64967D9E4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26863" name="612 Grupo">
            <a:extLst>
              <a:ext uri="{FF2B5EF4-FFF2-40B4-BE49-F238E27FC236}">
                <a16:creationId xmlns:a16="http://schemas.microsoft.com/office/drawing/2014/main" id="{2F808633-0443-CD5C-85B1-069B859FA303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26864" name="562 Grupo">
              <a:extLst>
                <a:ext uri="{FF2B5EF4-FFF2-40B4-BE49-F238E27FC236}">
                  <a16:creationId xmlns:a16="http://schemas.microsoft.com/office/drawing/2014/main" id="{77207272-55ED-22EF-60D1-909C2658E94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74" name="1204 Conector recto">
                <a:extLst>
                  <a:ext uri="{FF2B5EF4-FFF2-40B4-BE49-F238E27FC236}">
                    <a16:creationId xmlns:a16="http://schemas.microsoft.com/office/drawing/2014/main" id="{3A37CC72-1821-B485-561C-A2C6D641C8C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75" name="1205 Conector recto">
                <a:extLst>
                  <a:ext uri="{FF2B5EF4-FFF2-40B4-BE49-F238E27FC236}">
                    <a16:creationId xmlns:a16="http://schemas.microsoft.com/office/drawing/2014/main" id="{37B219AF-612C-1D41-92B2-614B2E58034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65" name="563 Grupo">
              <a:extLst>
                <a:ext uri="{FF2B5EF4-FFF2-40B4-BE49-F238E27FC236}">
                  <a16:creationId xmlns:a16="http://schemas.microsoft.com/office/drawing/2014/main" id="{77C2E209-A33F-341C-F2A0-F7017183FEF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72" name="1202 Conector recto">
                <a:extLst>
                  <a:ext uri="{FF2B5EF4-FFF2-40B4-BE49-F238E27FC236}">
                    <a16:creationId xmlns:a16="http://schemas.microsoft.com/office/drawing/2014/main" id="{D1527CFD-3FCA-B953-C488-A1C3428990E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73" name="1203 Conector recto">
                <a:extLst>
                  <a:ext uri="{FF2B5EF4-FFF2-40B4-BE49-F238E27FC236}">
                    <a16:creationId xmlns:a16="http://schemas.microsoft.com/office/drawing/2014/main" id="{1D7DF831-B4F3-F524-C1DA-5A8736F1C9F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66" name="566 Grupo">
              <a:extLst>
                <a:ext uri="{FF2B5EF4-FFF2-40B4-BE49-F238E27FC236}">
                  <a16:creationId xmlns:a16="http://schemas.microsoft.com/office/drawing/2014/main" id="{3C78A18C-654E-9DD7-AFC6-9A901401438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70" name="1200 Conector recto">
                <a:extLst>
                  <a:ext uri="{FF2B5EF4-FFF2-40B4-BE49-F238E27FC236}">
                    <a16:creationId xmlns:a16="http://schemas.microsoft.com/office/drawing/2014/main" id="{B0756AEA-D3CD-3803-5B48-608DCF6CEA2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71" name="1201 Conector recto">
                <a:extLst>
                  <a:ext uri="{FF2B5EF4-FFF2-40B4-BE49-F238E27FC236}">
                    <a16:creationId xmlns:a16="http://schemas.microsoft.com/office/drawing/2014/main" id="{EE50B180-00A6-F5FF-3B8B-C543C9E4182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867" name="569 Grupo">
              <a:extLst>
                <a:ext uri="{FF2B5EF4-FFF2-40B4-BE49-F238E27FC236}">
                  <a16:creationId xmlns:a16="http://schemas.microsoft.com/office/drawing/2014/main" id="{50B128FE-E053-2D5A-6BC7-7059768466C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868" name="1198 Conector recto">
                <a:extLst>
                  <a:ext uri="{FF2B5EF4-FFF2-40B4-BE49-F238E27FC236}">
                    <a16:creationId xmlns:a16="http://schemas.microsoft.com/office/drawing/2014/main" id="{212F95EA-1603-7697-0D4E-79C8CF871E8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869" name="1199 Conector recto">
                <a:extLst>
                  <a:ext uri="{FF2B5EF4-FFF2-40B4-BE49-F238E27FC236}">
                    <a16:creationId xmlns:a16="http://schemas.microsoft.com/office/drawing/2014/main" id="{AAF134CA-E731-FE02-D0FD-CAA4175DA37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3</xdr:col>
      <xdr:colOff>137160</xdr:colOff>
      <xdr:row>2</xdr:row>
      <xdr:rowOff>76200</xdr:rowOff>
    </xdr:from>
    <xdr:to>
      <xdr:col>4</xdr:col>
      <xdr:colOff>0</xdr:colOff>
      <xdr:row>2</xdr:row>
      <xdr:rowOff>609600</xdr:rowOff>
    </xdr:to>
    <xdr:grpSp>
      <xdr:nvGrpSpPr>
        <xdr:cNvPr id="2" name="1187 Grupo">
          <a:extLst>
            <a:ext uri="{FF2B5EF4-FFF2-40B4-BE49-F238E27FC236}">
              <a16:creationId xmlns:a16="http://schemas.microsoft.com/office/drawing/2014/main" id="{0D9A672D-2242-4F29-A52C-41E1C3D6EA84}"/>
            </a:ext>
          </a:extLst>
        </xdr:cNvPr>
        <xdr:cNvGrpSpPr>
          <a:grpSpLocks/>
        </xdr:cNvGrpSpPr>
      </xdr:nvGrpSpPr>
      <xdr:grpSpPr bwMode="auto">
        <a:xfrm>
          <a:off x="4696870" y="1206910"/>
          <a:ext cx="710872" cy="533400"/>
          <a:chOff x="12578073" y="988919"/>
          <a:chExt cx="9678677" cy="8510681"/>
        </a:xfrm>
      </xdr:grpSpPr>
      <xdr:grpSp>
        <xdr:nvGrpSpPr>
          <xdr:cNvPr id="3" name="629 Grupo">
            <a:extLst>
              <a:ext uri="{FF2B5EF4-FFF2-40B4-BE49-F238E27FC236}">
                <a16:creationId xmlns:a16="http://schemas.microsoft.com/office/drawing/2014/main" id="{C50E42E3-E1AC-0E0E-985D-4656F879D2D6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32259" name="410 Grupo">
              <a:extLst>
                <a:ext uri="{FF2B5EF4-FFF2-40B4-BE49-F238E27FC236}">
                  <a16:creationId xmlns:a16="http://schemas.microsoft.com/office/drawing/2014/main" id="{EE47E62C-1FC2-82F1-F363-1328F1A7D3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32264" name="Group 1078">
                <a:extLst>
                  <a:ext uri="{FF2B5EF4-FFF2-40B4-BE49-F238E27FC236}">
                    <a16:creationId xmlns:a16="http://schemas.microsoft.com/office/drawing/2014/main" id="{36274ADC-D149-5529-FB62-6B08E9CCB3A8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32266" name="Rectangle 1079">
                  <a:extLst>
                    <a:ext uri="{FF2B5EF4-FFF2-40B4-BE49-F238E27FC236}">
                      <a16:creationId xmlns:a16="http://schemas.microsoft.com/office/drawing/2014/main" id="{E4721529-1082-DC25-0C62-A2C27CF1498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67" name="Rectangle 1080">
                  <a:extLst>
                    <a:ext uri="{FF2B5EF4-FFF2-40B4-BE49-F238E27FC236}">
                      <a16:creationId xmlns:a16="http://schemas.microsoft.com/office/drawing/2014/main" id="{0C670A34-A7C0-D05A-9308-8ED9F406B55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68" name="Rectangle 1081">
                  <a:extLst>
                    <a:ext uri="{FF2B5EF4-FFF2-40B4-BE49-F238E27FC236}">
                      <a16:creationId xmlns:a16="http://schemas.microsoft.com/office/drawing/2014/main" id="{58F3D8B3-8761-D3FE-A0DA-E7FAC0E807B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69" name="Rectangle 1082">
                  <a:extLst>
                    <a:ext uri="{FF2B5EF4-FFF2-40B4-BE49-F238E27FC236}">
                      <a16:creationId xmlns:a16="http://schemas.microsoft.com/office/drawing/2014/main" id="{19F30B26-67F8-23A2-585F-532BF217ED4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70" name="Rectangle 1083">
                  <a:extLst>
                    <a:ext uri="{FF2B5EF4-FFF2-40B4-BE49-F238E27FC236}">
                      <a16:creationId xmlns:a16="http://schemas.microsoft.com/office/drawing/2014/main" id="{0EE070AD-717D-6DE8-E8B7-8D3C08FAE6E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71" name="Rectangle 1086">
                  <a:extLst>
                    <a:ext uri="{FF2B5EF4-FFF2-40B4-BE49-F238E27FC236}">
                      <a16:creationId xmlns:a16="http://schemas.microsoft.com/office/drawing/2014/main" id="{F019335F-1D3C-A2E3-9BCE-A35BC759CEE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272" name="Rectangle 1087">
                  <a:extLst>
                    <a:ext uri="{FF2B5EF4-FFF2-40B4-BE49-F238E27FC236}">
                      <a16:creationId xmlns:a16="http://schemas.microsoft.com/office/drawing/2014/main" id="{1A94CCC0-3CA3-49D7-2A50-02CBF87A1AF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273" name="Rectangle 1088">
                  <a:extLst>
                    <a:ext uri="{FF2B5EF4-FFF2-40B4-BE49-F238E27FC236}">
                      <a16:creationId xmlns:a16="http://schemas.microsoft.com/office/drawing/2014/main" id="{FF5A496E-EA4B-63AE-1B2F-94EB823A354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274" name="Rectangle 1089">
                  <a:extLst>
                    <a:ext uri="{FF2B5EF4-FFF2-40B4-BE49-F238E27FC236}">
                      <a16:creationId xmlns:a16="http://schemas.microsoft.com/office/drawing/2014/main" id="{C9373801-7E1F-D894-F1D3-10EB2F5E3BD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275" name="Rectangle 1093">
                  <a:extLst>
                    <a:ext uri="{FF2B5EF4-FFF2-40B4-BE49-F238E27FC236}">
                      <a16:creationId xmlns:a16="http://schemas.microsoft.com/office/drawing/2014/main" id="{195F264A-703B-B6C4-6FD0-31D6F41C5EDF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32265" name="Rectangle 1087">
                <a:extLst>
                  <a:ext uri="{FF2B5EF4-FFF2-40B4-BE49-F238E27FC236}">
                    <a16:creationId xmlns:a16="http://schemas.microsoft.com/office/drawing/2014/main" id="{8D6434A0-DA1E-4317-36CD-983719648BB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260" name="Rectangle 1082">
              <a:extLst>
                <a:ext uri="{FF2B5EF4-FFF2-40B4-BE49-F238E27FC236}">
                  <a16:creationId xmlns:a16="http://schemas.microsoft.com/office/drawing/2014/main" id="{01AAE592-0669-B0EE-913E-2A140303FEDC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61" name="Rectangle 1082">
              <a:extLst>
                <a:ext uri="{FF2B5EF4-FFF2-40B4-BE49-F238E27FC236}">
                  <a16:creationId xmlns:a16="http://schemas.microsoft.com/office/drawing/2014/main" id="{AE0CA0D9-EA79-DE6A-C722-2CDF36AB9215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62" name="Rectangle 1082">
              <a:extLst>
                <a:ext uri="{FF2B5EF4-FFF2-40B4-BE49-F238E27FC236}">
                  <a16:creationId xmlns:a16="http://schemas.microsoft.com/office/drawing/2014/main" id="{9B9F03A3-19E1-9FB3-C854-C8324ED77B91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63" name="Rectangle 1082">
              <a:extLst>
                <a:ext uri="{FF2B5EF4-FFF2-40B4-BE49-F238E27FC236}">
                  <a16:creationId xmlns:a16="http://schemas.microsoft.com/office/drawing/2014/main" id="{68410C85-27BF-66A7-75E5-ED1D6DD1EBB3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4" name="572 Grupo">
            <a:extLst>
              <a:ext uri="{FF2B5EF4-FFF2-40B4-BE49-F238E27FC236}">
                <a16:creationId xmlns:a16="http://schemas.microsoft.com/office/drawing/2014/main" id="{F6054C26-A744-B4B3-CC5C-1E5FEFB20BC9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7" name="562 Grupo">
              <a:extLst>
                <a:ext uri="{FF2B5EF4-FFF2-40B4-BE49-F238E27FC236}">
                  <a16:creationId xmlns:a16="http://schemas.microsoft.com/office/drawing/2014/main" id="{5FCB7987-6B03-9145-A27F-14225799815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257" name="1252 Conector recto">
                <a:extLst>
                  <a:ext uri="{FF2B5EF4-FFF2-40B4-BE49-F238E27FC236}">
                    <a16:creationId xmlns:a16="http://schemas.microsoft.com/office/drawing/2014/main" id="{E232738F-4BCE-4206-D717-5059208C0FD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258" name="1253 Conector recto">
                <a:extLst>
                  <a:ext uri="{FF2B5EF4-FFF2-40B4-BE49-F238E27FC236}">
                    <a16:creationId xmlns:a16="http://schemas.microsoft.com/office/drawing/2014/main" id="{B14685FB-2337-30E7-2DDF-7D1D84F0F16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8" name="563 Grupo">
              <a:extLst>
                <a:ext uri="{FF2B5EF4-FFF2-40B4-BE49-F238E27FC236}">
                  <a16:creationId xmlns:a16="http://schemas.microsoft.com/office/drawing/2014/main" id="{F47143D3-F134-542A-8A49-65B7D606731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255" name="1250 Conector recto">
                <a:extLst>
                  <a:ext uri="{FF2B5EF4-FFF2-40B4-BE49-F238E27FC236}">
                    <a16:creationId xmlns:a16="http://schemas.microsoft.com/office/drawing/2014/main" id="{C34AB1B6-381F-1A6A-91B3-733D0EE57D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256" name="1251 Conector recto">
                <a:extLst>
                  <a:ext uri="{FF2B5EF4-FFF2-40B4-BE49-F238E27FC236}">
                    <a16:creationId xmlns:a16="http://schemas.microsoft.com/office/drawing/2014/main" id="{620A630D-8A4A-2AF6-36B4-344AF59F27B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9" name="566 Grupo">
              <a:extLst>
                <a:ext uri="{FF2B5EF4-FFF2-40B4-BE49-F238E27FC236}">
                  <a16:creationId xmlns:a16="http://schemas.microsoft.com/office/drawing/2014/main" id="{6248D89D-CDC5-2986-B4F8-9802D2C9F2E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63" name="1248 Conector recto">
                <a:extLst>
                  <a:ext uri="{FF2B5EF4-FFF2-40B4-BE49-F238E27FC236}">
                    <a16:creationId xmlns:a16="http://schemas.microsoft.com/office/drawing/2014/main" id="{44139FAE-949C-F86F-B72A-6A333E446B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254" name="1249 Conector recto">
                <a:extLst>
                  <a:ext uri="{FF2B5EF4-FFF2-40B4-BE49-F238E27FC236}">
                    <a16:creationId xmlns:a16="http://schemas.microsoft.com/office/drawing/2014/main" id="{7EA47376-ED42-F777-1705-96D1FD39690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60" name="569 Grupo">
              <a:extLst>
                <a:ext uri="{FF2B5EF4-FFF2-40B4-BE49-F238E27FC236}">
                  <a16:creationId xmlns:a16="http://schemas.microsoft.com/office/drawing/2014/main" id="{68DA4ED6-9DF9-432D-2B3B-33893F66802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61" name="1246 Conector recto">
                <a:extLst>
                  <a:ext uri="{FF2B5EF4-FFF2-40B4-BE49-F238E27FC236}">
                    <a16:creationId xmlns:a16="http://schemas.microsoft.com/office/drawing/2014/main" id="{0AEBEAEC-6A0B-A684-B784-AD6D99E01E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2" name="1247 Conector recto">
                <a:extLst>
                  <a:ext uri="{FF2B5EF4-FFF2-40B4-BE49-F238E27FC236}">
                    <a16:creationId xmlns:a16="http://schemas.microsoft.com/office/drawing/2014/main" id="{BB6685C6-C5C1-082C-4D4A-6F05D990A56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" name="573 Grupo">
            <a:extLst>
              <a:ext uri="{FF2B5EF4-FFF2-40B4-BE49-F238E27FC236}">
                <a16:creationId xmlns:a16="http://schemas.microsoft.com/office/drawing/2014/main" id="{A7A8E50D-C43A-AD0A-7CA2-BDD8BA925E25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45" name="562 Grupo">
              <a:extLst>
                <a:ext uri="{FF2B5EF4-FFF2-40B4-BE49-F238E27FC236}">
                  <a16:creationId xmlns:a16="http://schemas.microsoft.com/office/drawing/2014/main" id="{FA41C0FF-6CB2-639E-9EB8-4FBB4AFB461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5" name="1240 Conector recto">
                <a:extLst>
                  <a:ext uri="{FF2B5EF4-FFF2-40B4-BE49-F238E27FC236}">
                    <a16:creationId xmlns:a16="http://schemas.microsoft.com/office/drawing/2014/main" id="{83D0D586-7E4C-567A-C294-4E3B4CE4B7A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6" name="1241 Conector recto">
                <a:extLst>
                  <a:ext uri="{FF2B5EF4-FFF2-40B4-BE49-F238E27FC236}">
                    <a16:creationId xmlns:a16="http://schemas.microsoft.com/office/drawing/2014/main" id="{CE932828-DEBF-5BFC-8FA4-AABD2C6A7D0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6" name="563 Grupo">
              <a:extLst>
                <a:ext uri="{FF2B5EF4-FFF2-40B4-BE49-F238E27FC236}">
                  <a16:creationId xmlns:a16="http://schemas.microsoft.com/office/drawing/2014/main" id="{AD3DD5F3-BD2D-F580-C862-93A388B552E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" name="1238 Conector recto">
                <a:extLst>
                  <a:ext uri="{FF2B5EF4-FFF2-40B4-BE49-F238E27FC236}">
                    <a16:creationId xmlns:a16="http://schemas.microsoft.com/office/drawing/2014/main" id="{E5FEFD55-3FF7-D794-6F6F-7B75E297C13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4" name="1239 Conector recto">
                <a:extLst>
                  <a:ext uri="{FF2B5EF4-FFF2-40B4-BE49-F238E27FC236}">
                    <a16:creationId xmlns:a16="http://schemas.microsoft.com/office/drawing/2014/main" id="{C5572AE1-2DEF-D0DE-25E5-CC1B5B3AA2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7" name="566 Grupo">
              <a:extLst>
                <a:ext uri="{FF2B5EF4-FFF2-40B4-BE49-F238E27FC236}">
                  <a16:creationId xmlns:a16="http://schemas.microsoft.com/office/drawing/2014/main" id="{D9082267-7973-AB1B-6E00-6C4C4E3AC1F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1" name="1236 Conector recto">
                <a:extLst>
                  <a:ext uri="{FF2B5EF4-FFF2-40B4-BE49-F238E27FC236}">
                    <a16:creationId xmlns:a16="http://schemas.microsoft.com/office/drawing/2014/main" id="{90AD63CE-29BB-10AE-0A59-F598A58DDA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" name="1237 Conector recto">
                <a:extLst>
                  <a:ext uri="{FF2B5EF4-FFF2-40B4-BE49-F238E27FC236}">
                    <a16:creationId xmlns:a16="http://schemas.microsoft.com/office/drawing/2014/main" id="{7169BDD2-22D9-ADB2-4627-D4A3FF966F5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48" name="569 Grupo">
              <a:extLst>
                <a:ext uri="{FF2B5EF4-FFF2-40B4-BE49-F238E27FC236}">
                  <a16:creationId xmlns:a16="http://schemas.microsoft.com/office/drawing/2014/main" id="{A89920B6-9B5E-6F71-7C1A-3914FA7EE97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9" name="1234 Conector recto">
                <a:extLst>
                  <a:ext uri="{FF2B5EF4-FFF2-40B4-BE49-F238E27FC236}">
                    <a16:creationId xmlns:a16="http://schemas.microsoft.com/office/drawing/2014/main" id="{AC855A55-64B1-8955-A475-35F684F941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0" name="1235 Conector recto">
                <a:extLst>
                  <a:ext uri="{FF2B5EF4-FFF2-40B4-BE49-F238E27FC236}">
                    <a16:creationId xmlns:a16="http://schemas.microsoft.com/office/drawing/2014/main" id="{63D4996E-EE69-C6E0-2D4D-31EBDD4B3D6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6" name="586 Grupo">
            <a:extLst>
              <a:ext uri="{FF2B5EF4-FFF2-40B4-BE49-F238E27FC236}">
                <a16:creationId xmlns:a16="http://schemas.microsoft.com/office/drawing/2014/main" id="{CD0C8E9E-EB4A-A895-6B22-0592F739C32C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33" name="562 Grupo">
              <a:extLst>
                <a:ext uri="{FF2B5EF4-FFF2-40B4-BE49-F238E27FC236}">
                  <a16:creationId xmlns:a16="http://schemas.microsoft.com/office/drawing/2014/main" id="{FF299754-8848-29A4-9322-FCF1E9C9411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3" name="1228 Conector recto">
                <a:extLst>
                  <a:ext uri="{FF2B5EF4-FFF2-40B4-BE49-F238E27FC236}">
                    <a16:creationId xmlns:a16="http://schemas.microsoft.com/office/drawing/2014/main" id="{8736F8C7-8F11-9FE9-C5F7-A80BBF51EC6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4" name="1229 Conector recto">
                <a:extLst>
                  <a:ext uri="{FF2B5EF4-FFF2-40B4-BE49-F238E27FC236}">
                    <a16:creationId xmlns:a16="http://schemas.microsoft.com/office/drawing/2014/main" id="{106DEB95-8882-1189-484D-E50A7C0A8CB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4" name="563 Grupo">
              <a:extLst>
                <a:ext uri="{FF2B5EF4-FFF2-40B4-BE49-F238E27FC236}">
                  <a16:creationId xmlns:a16="http://schemas.microsoft.com/office/drawing/2014/main" id="{4AA20118-A1FE-CF04-5E70-1C1ABFF6500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41" name="1226 Conector recto">
                <a:extLst>
                  <a:ext uri="{FF2B5EF4-FFF2-40B4-BE49-F238E27FC236}">
                    <a16:creationId xmlns:a16="http://schemas.microsoft.com/office/drawing/2014/main" id="{875E9939-7700-2E29-CFA2-69BE670A662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2" name="1227 Conector recto">
                <a:extLst>
                  <a:ext uri="{FF2B5EF4-FFF2-40B4-BE49-F238E27FC236}">
                    <a16:creationId xmlns:a16="http://schemas.microsoft.com/office/drawing/2014/main" id="{620C2A09-74A4-0472-6029-4B5A8D7935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5" name="566 Grupo">
              <a:extLst>
                <a:ext uri="{FF2B5EF4-FFF2-40B4-BE49-F238E27FC236}">
                  <a16:creationId xmlns:a16="http://schemas.microsoft.com/office/drawing/2014/main" id="{FD772C04-F955-D5EA-3878-92645669E8F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9" name="1224 Conector recto">
                <a:extLst>
                  <a:ext uri="{FF2B5EF4-FFF2-40B4-BE49-F238E27FC236}">
                    <a16:creationId xmlns:a16="http://schemas.microsoft.com/office/drawing/2014/main" id="{89AE608E-CD57-14E0-1705-1A655ACCFF8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40" name="1225 Conector recto">
                <a:extLst>
                  <a:ext uri="{FF2B5EF4-FFF2-40B4-BE49-F238E27FC236}">
                    <a16:creationId xmlns:a16="http://schemas.microsoft.com/office/drawing/2014/main" id="{B4A935DB-9F3A-D768-B0E4-B6FE3B4A710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6" name="569 Grupo">
              <a:extLst>
                <a:ext uri="{FF2B5EF4-FFF2-40B4-BE49-F238E27FC236}">
                  <a16:creationId xmlns:a16="http://schemas.microsoft.com/office/drawing/2014/main" id="{37F30BC6-DA16-1CCC-EB0D-958938090E3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7" name="1222 Conector recto">
                <a:extLst>
                  <a:ext uri="{FF2B5EF4-FFF2-40B4-BE49-F238E27FC236}">
                    <a16:creationId xmlns:a16="http://schemas.microsoft.com/office/drawing/2014/main" id="{934ABCF8-2596-9A78-289D-610C9D20F5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8" name="1223 Conector recto">
                <a:extLst>
                  <a:ext uri="{FF2B5EF4-FFF2-40B4-BE49-F238E27FC236}">
                    <a16:creationId xmlns:a16="http://schemas.microsoft.com/office/drawing/2014/main" id="{19173BD1-8D1D-5800-C105-AFF4C8DEFA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7" name="599 Grupo">
            <a:extLst>
              <a:ext uri="{FF2B5EF4-FFF2-40B4-BE49-F238E27FC236}">
                <a16:creationId xmlns:a16="http://schemas.microsoft.com/office/drawing/2014/main" id="{0DE4C764-2683-BC52-B82A-94F42BEBF29F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21" name="562 Grupo">
              <a:extLst>
                <a:ext uri="{FF2B5EF4-FFF2-40B4-BE49-F238E27FC236}">
                  <a16:creationId xmlns:a16="http://schemas.microsoft.com/office/drawing/2014/main" id="{76927B49-39E0-1F06-2612-14435B822CA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31" name="1216 Conector recto">
                <a:extLst>
                  <a:ext uri="{FF2B5EF4-FFF2-40B4-BE49-F238E27FC236}">
                    <a16:creationId xmlns:a16="http://schemas.microsoft.com/office/drawing/2014/main" id="{CE691D7B-63C7-507E-3E14-3DAE13DC28C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2" name="1217 Conector recto">
                <a:extLst>
                  <a:ext uri="{FF2B5EF4-FFF2-40B4-BE49-F238E27FC236}">
                    <a16:creationId xmlns:a16="http://schemas.microsoft.com/office/drawing/2014/main" id="{6A2AB411-F14F-42C4-585A-80FD3651D84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2" name="563 Grupo">
              <a:extLst>
                <a:ext uri="{FF2B5EF4-FFF2-40B4-BE49-F238E27FC236}">
                  <a16:creationId xmlns:a16="http://schemas.microsoft.com/office/drawing/2014/main" id="{6A9024AF-33F0-6AC4-5226-80CEBAF7031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9" name="1214 Conector recto">
                <a:extLst>
                  <a:ext uri="{FF2B5EF4-FFF2-40B4-BE49-F238E27FC236}">
                    <a16:creationId xmlns:a16="http://schemas.microsoft.com/office/drawing/2014/main" id="{C8392AF9-387E-E65E-CFF1-DDAA22F5CE0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30" name="1215 Conector recto">
                <a:extLst>
                  <a:ext uri="{FF2B5EF4-FFF2-40B4-BE49-F238E27FC236}">
                    <a16:creationId xmlns:a16="http://schemas.microsoft.com/office/drawing/2014/main" id="{946D9524-E297-0198-FB27-2AAD7685459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3" name="566 Grupo">
              <a:extLst>
                <a:ext uri="{FF2B5EF4-FFF2-40B4-BE49-F238E27FC236}">
                  <a16:creationId xmlns:a16="http://schemas.microsoft.com/office/drawing/2014/main" id="{A2E0F248-10CE-BAB4-6C01-38DFE7000D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7" name="1212 Conector recto">
                <a:extLst>
                  <a:ext uri="{FF2B5EF4-FFF2-40B4-BE49-F238E27FC236}">
                    <a16:creationId xmlns:a16="http://schemas.microsoft.com/office/drawing/2014/main" id="{D1308BB0-E593-DC18-A5C6-4432FA1AEFB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8" name="1213 Conector recto">
                <a:extLst>
                  <a:ext uri="{FF2B5EF4-FFF2-40B4-BE49-F238E27FC236}">
                    <a16:creationId xmlns:a16="http://schemas.microsoft.com/office/drawing/2014/main" id="{18C1440B-58A6-1BDE-0A51-C747D3EDA85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24" name="569 Grupo">
              <a:extLst>
                <a:ext uri="{FF2B5EF4-FFF2-40B4-BE49-F238E27FC236}">
                  <a16:creationId xmlns:a16="http://schemas.microsoft.com/office/drawing/2014/main" id="{B9401DC0-98CB-B3DE-E4B2-9EBD23F4D4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25" name="1210 Conector recto">
                <a:extLst>
                  <a:ext uri="{FF2B5EF4-FFF2-40B4-BE49-F238E27FC236}">
                    <a16:creationId xmlns:a16="http://schemas.microsoft.com/office/drawing/2014/main" id="{E9EBF559-ADA8-AB1D-08F0-589EC4B5FF9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6" name="1211 Conector recto">
                <a:extLst>
                  <a:ext uri="{FF2B5EF4-FFF2-40B4-BE49-F238E27FC236}">
                    <a16:creationId xmlns:a16="http://schemas.microsoft.com/office/drawing/2014/main" id="{4CB84E7F-84C9-46E7-8C93-6F288680EA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8" name="612 Grupo">
            <a:extLst>
              <a:ext uri="{FF2B5EF4-FFF2-40B4-BE49-F238E27FC236}">
                <a16:creationId xmlns:a16="http://schemas.microsoft.com/office/drawing/2014/main" id="{C5E89169-E89B-880C-042F-349AD7AAE1F5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9" name="562 Grupo">
              <a:extLst>
                <a:ext uri="{FF2B5EF4-FFF2-40B4-BE49-F238E27FC236}">
                  <a16:creationId xmlns:a16="http://schemas.microsoft.com/office/drawing/2014/main" id="{50FC9BFA-9F1B-E016-81F1-87C0E2252FF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9" name="1204 Conector recto">
                <a:extLst>
                  <a:ext uri="{FF2B5EF4-FFF2-40B4-BE49-F238E27FC236}">
                    <a16:creationId xmlns:a16="http://schemas.microsoft.com/office/drawing/2014/main" id="{C8115045-CE78-5483-DF3B-48D8A846531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20" name="1205 Conector recto">
                <a:extLst>
                  <a:ext uri="{FF2B5EF4-FFF2-40B4-BE49-F238E27FC236}">
                    <a16:creationId xmlns:a16="http://schemas.microsoft.com/office/drawing/2014/main" id="{12D13631-3F3C-FA50-3DA5-0CCFA541290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0" name="563 Grupo">
              <a:extLst>
                <a:ext uri="{FF2B5EF4-FFF2-40B4-BE49-F238E27FC236}">
                  <a16:creationId xmlns:a16="http://schemas.microsoft.com/office/drawing/2014/main" id="{DA793411-38F4-7F2A-8B7C-6ED9CCCCF4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7" name="1202 Conector recto">
                <a:extLst>
                  <a:ext uri="{FF2B5EF4-FFF2-40B4-BE49-F238E27FC236}">
                    <a16:creationId xmlns:a16="http://schemas.microsoft.com/office/drawing/2014/main" id="{468675C2-C34C-C150-50E5-D8E479873A1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8" name="1203 Conector recto">
                <a:extLst>
                  <a:ext uri="{FF2B5EF4-FFF2-40B4-BE49-F238E27FC236}">
                    <a16:creationId xmlns:a16="http://schemas.microsoft.com/office/drawing/2014/main" id="{0EAD6919-4E83-7210-5450-0B6C7CFBDE2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1" name="566 Grupo">
              <a:extLst>
                <a:ext uri="{FF2B5EF4-FFF2-40B4-BE49-F238E27FC236}">
                  <a16:creationId xmlns:a16="http://schemas.microsoft.com/office/drawing/2014/main" id="{A41559C9-715F-F7E9-25DB-797E5177500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5" name="1200 Conector recto">
                <a:extLst>
                  <a:ext uri="{FF2B5EF4-FFF2-40B4-BE49-F238E27FC236}">
                    <a16:creationId xmlns:a16="http://schemas.microsoft.com/office/drawing/2014/main" id="{4BC21DD0-8A65-6990-697F-FEC5ADAE75A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6" name="1201 Conector recto">
                <a:extLst>
                  <a:ext uri="{FF2B5EF4-FFF2-40B4-BE49-F238E27FC236}">
                    <a16:creationId xmlns:a16="http://schemas.microsoft.com/office/drawing/2014/main" id="{9D5353E1-E193-5242-AC7D-6270F541A2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12" name="569 Grupo">
              <a:extLst>
                <a:ext uri="{FF2B5EF4-FFF2-40B4-BE49-F238E27FC236}">
                  <a16:creationId xmlns:a16="http://schemas.microsoft.com/office/drawing/2014/main" id="{CE92D356-DC4B-C702-8175-E844B9243E1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13" name="1198 Conector recto">
                <a:extLst>
                  <a:ext uri="{FF2B5EF4-FFF2-40B4-BE49-F238E27FC236}">
                    <a16:creationId xmlns:a16="http://schemas.microsoft.com/office/drawing/2014/main" id="{F88DD0CA-2E70-6323-7D6B-7BDD26FA49A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4" name="1199 Conector recto">
                <a:extLst>
                  <a:ext uri="{FF2B5EF4-FFF2-40B4-BE49-F238E27FC236}">
                    <a16:creationId xmlns:a16="http://schemas.microsoft.com/office/drawing/2014/main" id="{F70897CA-7D3C-8AD5-3070-692AF139BA9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6</xdr:col>
      <xdr:colOff>137160</xdr:colOff>
      <xdr:row>2</xdr:row>
      <xdr:rowOff>76200</xdr:rowOff>
    </xdr:from>
    <xdr:to>
      <xdr:col>6</xdr:col>
      <xdr:colOff>701040</xdr:colOff>
      <xdr:row>2</xdr:row>
      <xdr:rowOff>609600</xdr:rowOff>
    </xdr:to>
    <xdr:grpSp>
      <xdr:nvGrpSpPr>
        <xdr:cNvPr id="532276" name="1187 Grupo">
          <a:extLst>
            <a:ext uri="{FF2B5EF4-FFF2-40B4-BE49-F238E27FC236}">
              <a16:creationId xmlns:a16="http://schemas.microsoft.com/office/drawing/2014/main" id="{34E6344C-1F6E-4756-B325-13536DEEF313}"/>
            </a:ext>
          </a:extLst>
        </xdr:cNvPr>
        <xdr:cNvGrpSpPr>
          <a:grpSpLocks/>
        </xdr:cNvGrpSpPr>
      </xdr:nvGrpSpPr>
      <xdr:grpSpPr bwMode="auto">
        <a:xfrm>
          <a:off x="7240966" y="1206910"/>
          <a:ext cx="563880" cy="533400"/>
          <a:chOff x="12578073" y="988919"/>
          <a:chExt cx="9678677" cy="8510681"/>
        </a:xfrm>
      </xdr:grpSpPr>
      <xdr:grpSp>
        <xdr:nvGrpSpPr>
          <xdr:cNvPr id="532277" name="629 Grupo">
            <a:extLst>
              <a:ext uri="{FF2B5EF4-FFF2-40B4-BE49-F238E27FC236}">
                <a16:creationId xmlns:a16="http://schemas.microsoft.com/office/drawing/2014/main" id="{A2FA1509-2E93-D169-3F63-B6127764AC2F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32289" name="410 Grupo">
              <a:extLst>
                <a:ext uri="{FF2B5EF4-FFF2-40B4-BE49-F238E27FC236}">
                  <a16:creationId xmlns:a16="http://schemas.microsoft.com/office/drawing/2014/main" id="{4AA1E303-66B2-AF17-7F38-8FBAB7B51ED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32294" name="Group 1078">
                <a:extLst>
                  <a:ext uri="{FF2B5EF4-FFF2-40B4-BE49-F238E27FC236}">
                    <a16:creationId xmlns:a16="http://schemas.microsoft.com/office/drawing/2014/main" id="{D48DAC44-FE77-D006-D2C0-94507474714E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32296" name="Rectangle 1079">
                  <a:extLst>
                    <a:ext uri="{FF2B5EF4-FFF2-40B4-BE49-F238E27FC236}">
                      <a16:creationId xmlns:a16="http://schemas.microsoft.com/office/drawing/2014/main" id="{12448A3B-7C01-6459-4E28-A2F4B6C7929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97" name="Rectangle 1080">
                  <a:extLst>
                    <a:ext uri="{FF2B5EF4-FFF2-40B4-BE49-F238E27FC236}">
                      <a16:creationId xmlns:a16="http://schemas.microsoft.com/office/drawing/2014/main" id="{7AC26B7D-1713-2B85-1F91-CF662E934213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98" name="Rectangle 1081">
                  <a:extLst>
                    <a:ext uri="{FF2B5EF4-FFF2-40B4-BE49-F238E27FC236}">
                      <a16:creationId xmlns:a16="http://schemas.microsoft.com/office/drawing/2014/main" id="{30E75C5D-AE7C-B40D-2AA6-7DF81A52213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299" name="Rectangle 1082">
                  <a:extLst>
                    <a:ext uri="{FF2B5EF4-FFF2-40B4-BE49-F238E27FC236}">
                      <a16:creationId xmlns:a16="http://schemas.microsoft.com/office/drawing/2014/main" id="{68BD09A4-02B5-45C5-5126-EBF49C96311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00" name="Rectangle 1083">
                  <a:extLst>
                    <a:ext uri="{FF2B5EF4-FFF2-40B4-BE49-F238E27FC236}">
                      <a16:creationId xmlns:a16="http://schemas.microsoft.com/office/drawing/2014/main" id="{C78C9A6E-1629-BB8F-C09D-8CDB349683F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01" name="Rectangle 1086">
                  <a:extLst>
                    <a:ext uri="{FF2B5EF4-FFF2-40B4-BE49-F238E27FC236}">
                      <a16:creationId xmlns:a16="http://schemas.microsoft.com/office/drawing/2014/main" id="{06E4B75B-793E-C5BF-6C7F-C6D6D3AEDA4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02" name="Rectangle 1087">
                  <a:extLst>
                    <a:ext uri="{FF2B5EF4-FFF2-40B4-BE49-F238E27FC236}">
                      <a16:creationId xmlns:a16="http://schemas.microsoft.com/office/drawing/2014/main" id="{D0595DE6-D21A-7AAF-42AB-DB5C079F9E41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03" name="Rectangle 1088">
                  <a:extLst>
                    <a:ext uri="{FF2B5EF4-FFF2-40B4-BE49-F238E27FC236}">
                      <a16:creationId xmlns:a16="http://schemas.microsoft.com/office/drawing/2014/main" id="{4D31D82C-B96C-2D5A-0BF4-B841AA5B655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04" name="Rectangle 1089">
                  <a:extLst>
                    <a:ext uri="{FF2B5EF4-FFF2-40B4-BE49-F238E27FC236}">
                      <a16:creationId xmlns:a16="http://schemas.microsoft.com/office/drawing/2014/main" id="{30DAFE5B-5941-9FB2-2583-BFFFE593096B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05" name="Rectangle 1093">
                  <a:extLst>
                    <a:ext uri="{FF2B5EF4-FFF2-40B4-BE49-F238E27FC236}">
                      <a16:creationId xmlns:a16="http://schemas.microsoft.com/office/drawing/2014/main" id="{B16C67F1-3243-1477-917D-0C9CFD03090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32295" name="Rectangle 1087">
                <a:extLst>
                  <a:ext uri="{FF2B5EF4-FFF2-40B4-BE49-F238E27FC236}">
                    <a16:creationId xmlns:a16="http://schemas.microsoft.com/office/drawing/2014/main" id="{FACDC97E-3906-1EA3-4F57-107F4307635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290" name="Rectangle 1082">
              <a:extLst>
                <a:ext uri="{FF2B5EF4-FFF2-40B4-BE49-F238E27FC236}">
                  <a16:creationId xmlns:a16="http://schemas.microsoft.com/office/drawing/2014/main" id="{4272FFCF-50CF-3C37-B27C-62B18804D7FB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91" name="Rectangle 1082">
              <a:extLst>
                <a:ext uri="{FF2B5EF4-FFF2-40B4-BE49-F238E27FC236}">
                  <a16:creationId xmlns:a16="http://schemas.microsoft.com/office/drawing/2014/main" id="{6D3C943D-2255-0D4C-4119-83DFA8A830D7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92" name="Rectangle 1082">
              <a:extLst>
                <a:ext uri="{FF2B5EF4-FFF2-40B4-BE49-F238E27FC236}">
                  <a16:creationId xmlns:a16="http://schemas.microsoft.com/office/drawing/2014/main" id="{5C08C271-9FF4-73C2-9CE3-E3B6E3F932BA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293" name="Rectangle 1082">
              <a:extLst>
                <a:ext uri="{FF2B5EF4-FFF2-40B4-BE49-F238E27FC236}">
                  <a16:creationId xmlns:a16="http://schemas.microsoft.com/office/drawing/2014/main" id="{B553D58F-F327-8E45-308D-CE927E3A08A8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2278" name="572 Grupo">
            <a:extLst>
              <a:ext uri="{FF2B5EF4-FFF2-40B4-BE49-F238E27FC236}">
                <a16:creationId xmlns:a16="http://schemas.microsoft.com/office/drawing/2014/main" id="{CE0FC68A-2E29-6DCC-2909-6CDE22A4269C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26763" name="562 Grupo">
              <a:extLst>
                <a:ext uri="{FF2B5EF4-FFF2-40B4-BE49-F238E27FC236}">
                  <a16:creationId xmlns:a16="http://schemas.microsoft.com/office/drawing/2014/main" id="{D6A0D390-DD00-C8E1-D323-0B936CFBCF3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73" name="1252 Conector recto">
                <a:extLst>
                  <a:ext uri="{FF2B5EF4-FFF2-40B4-BE49-F238E27FC236}">
                    <a16:creationId xmlns:a16="http://schemas.microsoft.com/office/drawing/2014/main" id="{568AAC5C-9037-F12D-CD5A-7D8D91A8031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288" name="1253 Conector recto">
                <a:extLst>
                  <a:ext uri="{FF2B5EF4-FFF2-40B4-BE49-F238E27FC236}">
                    <a16:creationId xmlns:a16="http://schemas.microsoft.com/office/drawing/2014/main" id="{B6726050-4BB5-9411-95E7-DF29272639F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64" name="563 Grupo">
              <a:extLst>
                <a:ext uri="{FF2B5EF4-FFF2-40B4-BE49-F238E27FC236}">
                  <a16:creationId xmlns:a16="http://schemas.microsoft.com/office/drawing/2014/main" id="{6095B127-90F0-AD26-4764-6A710EDFDE9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71" name="1250 Conector recto">
                <a:extLst>
                  <a:ext uri="{FF2B5EF4-FFF2-40B4-BE49-F238E27FC236}">
                    <a16:creationId xmlns:a16="http://schemas.microsoft.com/office/drawing/2014/main" id="{56A04452-C7EC-E964-5142-E86CBE78C3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72" name="1251 Conector recto">
                <a:extLst>
                  <a:ext uri="{FF2B5EF4-FFF2-40B4-BE49-F238E27FC236}">
                    <a16:creationId xmlns:a16="http://schemas.microsoft.com/office/drawing/2014/main" id="{237EFB93-22E9-99E9-E617-2491709662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65" name="566 Grupo">
              <a:extLst>
                <a:ext uri="{FF2B5EF4-FFF2-40B4-BE49-F238E27FC236}">
                  <a16:creationId xmlns:a16="http://schemas.microsoft.com/office/drawing/2014/main" id="{10442247-C2CA-8394-7E51-D440A4C1193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69" name="1248 Conector recto">
                <a:extLst>
                  <a:ext uri="{FF2B5EF4-FFF2-40B4-BE49-F238E27FC236}">
                    <a16:creationId xmlns:a16="http://schemas.microsoft.com/office/drawing/2014/main" id="{C2865F08-88F3-8B78-BBB4-DC9F87798FB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70" name="1249 Conector recto">
                <a:extLst>
                  <a:ext uri="{FF2B5EF4-FFF2-40B4-BE49-F238E27FC236}">
                    <a16:creationId xmlns:a16="http://schemas.microsoft.com/office/drawing/2014/main" id="{3B27476A-8377-B748-79F4-98AB1E89009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66" name="569 Grupo">
              <a:extLst>
                <a:ext uri="{FF2B5EF4-FFF2-40B4-BE49-F238E27FC236}">
                  <a16:creationId xmlns:a16="http://schemas.microsoft.com/office/drawing/2014/main" id="{9B8EAB9C-E90C-2315-310D-4DB67BF4E9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67" name="1246 Conector recto">
                <a:extLst>
                  <a:ext uri="{FF2B5EF4-FFF2-40B4-BE49-F238E27FC236}">
                    <a16:creationId xmlns:a16="http://schemas.microsoft.com/office/drawing/2014/main" id="{14343612-548F-ACB7-CD79-CC277C09066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68" name="1247 Conector recto">
                <a:extLst>
                  <a:ext uri="{FF2B5EF4-FFF2-40B4-BE49-F238E27FC236}">
                    <a16:creationId xmlns:a16="http://schemas.microsoft.com/office/drawing/2014/main" id="{0CE73449-267F-5E33-10F6-D006934B667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279" name="573 Grupo">
            <a:extLst>
              <a:ext uri="{FF2B5EF4-FFF2-40B4-BE49-F238E27FC236}">
                <a16:creationId xmlns:a16="http://schemas.microsoft.com/office/drawing/2014/main" id="{2C3EEB86-3902-F43F-1C2F-0C9245A7811E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26751" name="562 Grupo">
              <a:extLst>
                <a:ext uri="{FF2B5EF4-FFF2-40B4-BE49-F238E27FC236}">
                  <a16:creationId xmlns:a16="http://schemas.microsoft.com/office/drawing/2014/main" id="{A4A23D3C-1173-91A3-A4BC-C066492B122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61" name="1240 Conector recto">
                <a:extLst>
                  <a:ext uri="{FF2B5EF4-FFF2-40B4-BE49-F238E27FC236}">
                    <a16:creationId xmlns:a16="http://schemas.microsoft.com/office/drawing/2014/main" id="{EDF4EFAB-1BDE-15F5-7A20-9AE14508E0B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62" name="1241 Conector recto">
                <a:extLst>
                  <a:ext uri="{FF2B5EF4-FFF2-40B4-BE49-F238E27FC236}">
                    <a16:creationId xmlns:a16="http://schemas.microsoft.com/office/drawing/2014/main" id="{5850856B-834C-4684-4A1D-22D9D4FFE07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52" name="563 Grupo">
              <a:extLst>
                <a:ext uri="{FF2B5EF4-FFF2-40B4-BE49-F238E27FC236}">
                  <a16:creationId xmlns:a16="http://schemas.microsoft.com/office/drawing/2014/main" id="{8DE10847-22A6-FD6F-4E69-283C72BED1A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59" name="1238 Conector recto">
                <a:extLst>
                  <a:ext uri="{FF2B5EF4-FFF2-40B4-BE49-F238E27FC236}">
                    <a16:creationId xmlns:a16="http://schemas.microsoft.com/office/drawing/2014/main" id="{5A29F075-5809-98BA-10B3-FA5650047F5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60" name="1239 Conector recto">
                <a:extLst>
                  <a:ext uri="{FF2B5EF4-FFF2-40B4-BE49-F238E27FC236}">
                    <a16:creationId xmlns:a16="http://schemas.microsoft.com/office/drawing/2014/main" id="{41E2D913-5619-4B65-2EB3-0842E1E1742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53" name="566 Grupo">
              <a:extLst>
                <a:ext uri="{FF2B5EF4-FFF2-40B4-BE49-F238E27FC236}">
                  <a16:creationId xmlns:a16="http://schemas.microsoft.com/office/drawing/2014/main" id="{07784589-4CC1-9D2C-9B73-3E5D533B5BC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57" name="1236 Conector recto">
                <a:extLst>
                  <a:ext uri="{FF2B5EF4-FFF2-40B4-BE49-F238E27FC236}">
                    <a16:creationId xmlns:a16="http://schemas.microsoft.com/office/drawing/2014/main" id="{ADCBA3E5-ECC9-C539-2D72-F6D4BCDF215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58" name="1237 Conector recto">
                <a:extLst>
                  <a:ext uri="{FF2B5EF4-FFF2-40B4-BE49-F238E27FC236}">
                    <a16:creationId xmlns:a16="http://schemas.microsoft.com/office/drawing/2014/main" id="{D5D9517B-19AA-A117-D879-3A19443B301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54" name="569 Grupo">
              <a:extLst>
                <a:ext uri="{FF2B5EF4-FFF2-40B4-BE49-F238E27FC236}">
                  <a16:creationId xmlns:a16="http://schemas.microsoft.com/office/drawing/2014/main" id="{DDB1954A-41FA-241D-825B-B754135F303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55" name="1234 Conector recto">
                <a:extLst>
                  <a:ext uri="{FF2B5EF4-FFF2-40B4-BE49-F238E27FC236}">
                    <a16:creationId xmlns:a16="http://schemas.microsoft.com/office/drawing/2014/main" id="{7CE57EF7-E49F-7354-12D0-98FCDC08357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56" name="1235 Conector recto">
                <a:extLst>
                  <a:ext uri="{FF2B5EF4-FFF2-40B4-BE49-F238E27FC236}">
                    <a16:creationId xmlns:a16="http://schemas.microsoft.com/office/drawing/2014/main" id="{53E8D965-72BB-9D1B-1137-49E148CD757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280" name="586 Grupo">
            <a:extLst>
              <a:ext uri="{FF2B5EF4-FFF2-40B4-BE49-F238E27FC236}">
                <a16:creationId xmlns:a16="http://schemas.microsoft.com/office/drawing/2014/main" id="{8A5C90CA-E839-9B7B-871E-C94C1BCAACA1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26739" name="562 Grupo">
              <a:extLst>
                <a:ext uri="{FF2B5EF4-FFF2-40B4-BE49-F238E27FC236}">
                  <a16:creationId xmlns:a16="http://schemas.microsoft.com/office/drawing/2014/main" id="{1A7B780C-4410-4BE0-0D55-77014E260A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49" name="1228 Conector recto">
                <a:extLst>
                  <a:ext uri="{FF2B5EF4-FFF2-40B4-BE49-F238E27FC236}">
                    <a16:creationId xmlns:a16="http://schemas.microsoft.com/office/drawing/2014/main" id="{75B4A37B-0A19-86BD-5757-5C758DF18DF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50" name="1229 Conector recto">
                <a:extLst>
                  <a:ext uri="{FF2B5EF4-FFF2-40B4-BE49-F238E27FC236}">
                    <a16:creationId xmlns:a16="http://schemas.microsoft.com/office/drawing/2014/main" id="{EE5AE713-D989-DF17-A8BF-196DBAE5BED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40" name="563 Grupo">
              <a:extLst>
                <a:ext uri="{FF2B5EF4-FFF2-40B4-BE49-F238E27FC236}">
                  <a16:creationId xmlns:a16="http://schemas.microsoft.com/office/drawing/2014/main" id="{77ED691E-E103-B18C-9EF5-D723AE87D7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47" name="1226 Conector recto">
                <a:extLst>
                  <a:ext uri="{FF2B5EF4-FFF2-40B4-BE49-F238E27FC236}">
                    <a16:creationId xmlns:a16="http://schemas.microsoft.com/office/drawing/2014/main" id="{1590595D-008D-8212-E5A7-EC790D70966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48" name="1227 Conector recto">
                <a:extLst>
                  <a:ext uri="{FF2B5EF4-FFF2-40B4-BE49-F238E27FC236}">
                    <a16:creationId xmlns:a16="http://schemas.microsoft.com/office/drawing/2014/main" id="{B6CE6F98-E2F1-D43C-AEFE-2276BCFCCEC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41" name="566 Grupo">
              <a:extLst>
                <a:ext uri="{FF2B5EF4-FFF2-40B4-BE49-F238E27FC236}">
                  <a16:creationId xmlns:a16="http://schemas.microsoft.com/office/drawing/2014/main" id="{8A44FD44-54B8-2699-BA03-17AAB077FA0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45" name="1224 Conector recto">
                <a:extLst>
                  <a:ext uri="{FF2B5EF4-FFF2-40B4-BE49-F238E27FC236}">
                    <a16:creationId xmlns:a16="http://schemas.microsoft.com/office/drawing/2014/main" id="{6FCA01DB-C44C-6920-9B92-11D236E06B2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46" name="1225 Conector recto">
                <a:extLst>
                  <a:ext uri="{FF2B5EF4-FFF2-40B4-BE49-F238E27FC236}">
                    <a16:creationId xmlns:a16="http://schemas.microsoft.com/office/drawing/2014/main" id="{67A1E6A7-1F61-87F5-38A8-F62E375409C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42" name="569 Grupo">
              <a:extLst>
                <a:ext uri="{FF2B5EF4-FFF2-40B4-BE49-F238E27FC236}">
                  <a16:creationId xmlns:a16="http://schemas.microsoft.com/office/drawing/2014/main" id="{58671950-2E2A-4E4B-F717-EEF044F0662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43" name="1222 Conector recto">
                <a:extLst>
                  <a:ext uri="{FF2B5EF4-FFF2-40B4-BE49-F238E27FC236}">
                    <a16:creationId xmlns:a16="http://schemas.microsoft.com/office/drawing/2014/main" id="{47881674-4055-626A-5CC0-B1A52432557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44" name="1223 Conector recto">
                <a:extLst>
                  <a:ext uri="{FF2B5EF4-FFF2-40B4-BE49-F238E27FC236}">
                    <a16:creationId xmlns:a16="http://schemas.microsoft.com/office/drawing/2014/main" id="{E04A5134-2A82-EA4A-1507-A815B47F269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281" name="599 Grupo">
            <a:extLst>
              <a:ext uri="{FF2B5EF4-FFF2-40B4-BE49-F238E27FC236}">
                <a16:creationId xmlns:a16="http://schemas.microsoft.com/office/drawing/2014/main" id="{6E98948C-3438-A12B-3176-7B8A3EEAC82B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26727" name="562 Grupo">
              <a:extLst>
                <a:ext uri="{FF2B5EF4-FFF2-40B4-BE49-F238E27FC236}">
                  <a16:creationId xmlns:a16="http://schemas.microsoft.com/office/drawing/2014/main" id="{8EB1A67F-E05D-95EC-3EF5-4619E65643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37" name="1216 Conector recto">
                <a:extLst>
                  <a:ext uri="{FF2B5EF4-FFF2-40B4-BE49-F238E27FC236}">
                    <a16:creationId xmlns:a16="http://schemas.microsoft.com/office/drawing/2014/main" id="{7530620D-2454-B2F4-FA65-0E02F95BFE0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38" name="1217 Conector recto">
                <a:extLst>
                  <a:ext uri="{FF2B5EF4-FFF2-40B4-BE49-F238E27FC236}">
                    <a16:creationId xmlns:a16="http://schemas.microsoft.com/office/drawing/2014/main" id="{68E5E24E-5ADF-56A7-C4EF-EE743BC76C4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28" name="563 Grupo">
              <a:extLst>
                <a:ext uri="{FF2B5EF4-FFF2-40B4-BE49-F238E27FC236}">
                  <a16:creationId xmlns:a16="http://schemas.microsoft.com/office/drawing/2014/main" id="{E3C00E9F-F204-82CA-6A48-1E4B10C9B4B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35" name="1214 Conector recto">
                <a:extLst>
                  <a:ext uri="{FF2B5EF4-FFF2-40B4-BE49-F238E27FC236}">
                    <a16:creationId xmlns:a16="http://schemas.microsoft.com/office/drawing/2014/main" id="{E13DA571-6BF2-6D36-2167-DCB8D60D520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36" name="1215 Conector recto">
                <a:extLst>
                  <a:ext uri="{FF2B5EF4-FFF2-40B4-BE49-F238E27FC236}">
                    <a16:creationId xmlns:a16="http://schemas.microsoft.com/office/drawing/2014/main" id="{4A0F8C8D-E9D9-475E-D5CA-0BA9206D4A8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29" name="566 Grupo">
              <a:extLst>
                <a:ext uri="{FF2B5EF4-FFF2-40B4-BE49-F238E27FC236}">
                  <a16:creationId xmlns:a16="http://schemas.microsoft.com/office/drawing/2014/main" id="{CB895740-E138-C995-1272-1C7CD58246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33" name="1212 Conector recto">
                <a:extLst>
                  <a:ext uri="{FF2B5EF4-FFF2-40B4-BE49-F238E27FC236}">
                    <a16:creationId xmlns:a16="http://schemas.microsoft.com/office/drawing/2014/main" id="{A2D4B20E-8983-EA5A-0480-3C71455B15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34" name="1213 Conector recto">
                <a:extLst>
                  <a:ext uri="{FF2B5EF4-FFF2-40B4-BE49-F238E27FC236}">
                    <a16:creationId xmlns:a16="http://schemas.microsoft.com/office/drawing/2014/main" id="{EFB1EF91-7B5C-3D3C-50B4-ED3240E53EC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26730" name="569 Grupo">
              <a:extLst>
                <a:ext uri="{FF2B5EF4-FFF2-40B4-BE49-F238E27FC236}">
                  <a16:creationId xmlns:a16="http://schemas.microsoft.com/office/drawing/2014/main" id="{CEDFFEDD-7A20-5E2D-E8BF-EF0BFC17115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31" name="1210 Conector recto">
                <a:extLst>
                  <a:ext uri="{FF2B5EF4-FFF2-40B4-BE49-F238E27FC236}">
                    <a16:creationId xmlns:a16="http://schemas.microsoft.com/office/drawing/2014/main" id="{DD40022E-AF6D-A1BA-B691-BBF8EE23D22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32" name="1211 Conector recto">
                <a:extLst>
                  <a:ext uri="{FF2B5EF4-FFF2-40B4-BE49-F238E27FC236}">
                    <a16:creationId xmlns:a16="http://schemas.microsoft.com/office/drawing/2014/main" id="{363793EA-A267-5C0E-855B-0E71529943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282" name="612 Grupo">
            <a:extLst>
              <a:ext uri="{FF2B5EF4-FFF2-40B4-BE49-F238E27FC236}">
                <a16:creationId xmlns:a16="http://schemas.microsoft.com/office/drawing/2014/main" id="{66FC135B-124E-6F0D-639C-D2F93179C804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32283" name="562 Grupo">
              <a:extLst>
                <a:ext uri="{FF2B5EF4-FFF2-40B4-BE49-F238E27FC236}">
                  <a16:creationId xmlns:a16="http://schemas.microsoft.com/office/drawing/2014/main" id="{7D8308CD-EF0A-282E-DAF0-DD081B8F061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25" name="1204 Conector recto">
                <a:extLst>
                  <a:ext uri="{FF2B5EF4-FFF2-40B4-BE49-F238E27FC236}">
                    <a16:creationId xmlns:a16="http://schemas.microsoft.com/office/drawing/2014/main" id="{09B46435-EAD7-EF5C-2CB8-66527DB2F64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26" name="1205 Conector recto">
                <a:extLst>
                  <a:ext uri="{FF2B5EF4-FFF2-40B4-BE49-F238E27FC236}">
                    <a16:creationId xmlns:a16="http://schemas.microsoft.com/office/drawing/2014/main" id="{450B7AA1-1913-1153-1290-6E3866F1A0E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284" name="563 Grupo">
              <a:extLst>
                <a:ext uri="{FF2B5EF4-FFF2-40B4-BE49-F238E27FC236}">
                  <a16:creationId xmlns:a16="http://schemas.microsoft.com/office/drawing/2014/main" id="{94A6C3F1-2C73-5CBC-6A6A-F7AFE6687A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23" name="1202 Conector recto">
                <a:extLst>
                  <a:ext uri="{FF2B5EF4-FFF2-40B4-BE49-F238E27FC236}">
                    <a16:creationId xmlns:a16="http://schemas.microsoft.com/office/drawing/2014/main" id="{0C3DEA97-3ABF-10C2-FD1C-E31BC8289F1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24" name="1203 Conector recto">
                <a:extLst>
                  <a:ext uri="{FF2B5EF4-FFF2-40B4-BE49-F238E27FC236}">
                    <a16:creationId xmlns:a16="http://schemas.microsoft.com/office/drawing/2014/main" id="{F069A1AA-1EA9-DF80-B2A6-7C94C47DA12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285" name="566 Grupo">
              <a:extLst>
                <a:ext uri="{FF2B5EF4-FFF2-40B4-BE49-F238E27FC236}">
                  <a16:creationId xmlns:a16="http://schemas.microsoft.com/office/drawing/2014/main" id="{2ECD297F-A0B2-A493-5336-16C9C8DE3EF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26721" name="1200 Conector recto">
                <a:extLst>
                  <a:ext uri="{FF2B5EF4-FFF2-40B4-BE49-F238E27FC236}">
                    <a16:creationId xmlns:a16="http://schemas.microsoft.com/office/drawing/2014/main" id="{14ABEBB6-A5D6-42FF-DB3F-4E5D77F099A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22" name="1201 Conector recto">
                <a:extLst>
                  <a:ext uri="{FF2B5EF4-FFF2-40B4-BE49-F238E27FC236}">
                    <a16:creationId xmlns:a16="http://schemas.microsoft.com/office/drawing/2014/main" id="{A17AD32A-F66C-0B52-91FA-4E2D8B340DE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286" name="569 Grupo">
              <a:extLst>
                <a:ext uri="{FF2B5EF4-FFF2-40B4-BE49-F238E27FC236}">
                  <a16:creationId xmlns:a16="http://schemas.microsoft.com/office/drawing/2014/main" id="{3C6AA41B-636C-E352-B0EC-3F0B1EA0E61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287" name="1198 Conector recto">
                <a:extLst>
                  <a:ext uri="{FF2B5EF4-FFF2-40B4-BE49-F238E27FC236}">
                    <a16:creationId xmlns:a16="http://schemas.microsoft.com/office/drawing/2014/main" id="{D86C3428-2A88-D102-24C0-51AF039912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26720" name="1199 Conector recto">
                <a:extLst>
                  <a:ext uri="{FF2B5EF4-FFF2-40B4-BE49-F238E27FC236}">
                    <a16:creationId xmlns:a16="http://schemas.microsoft.com/office/drawing/2014/main" id="{3903E9B2-626E-2A26-CB41-946D69A3207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5</xdr:col>
      <xdr:colOff>137160</xdr:colOff>
      <xdr:row>2</xdr:row>
      <xdr:rowOff>76200</xdr:rowOff>
    </xdr:from>
    <xdr:to>
      <xdr:col>6</xdr:col>
      <xdr:colOff>0</xdr:colOff>
      <xdr:row>2</xdr:row>
      <xdr:rowOff>609600</xdr:rowOff>
    </xdr:to>
    <xdr:grpSp>
      <xdr:nvGrpSpPr>
        <xdr:cNvPr id="532306" name="1187 Grupo">
          <a:extLst>
            <a:ext uri="{FF2B5EF4-FFF2-40B4-BE49-F238E27FC236}">
              <a16:creationId xmlns:a16="http://schemas.microsoft.com/office/drawing/2014/main" id="{2A0A42AB-4DA7-41AF-AB31-F80C4E89ADA9}"/>
            </a:ext>
          </a:extLst>
        </xdr:cNvPr>
        <xdr:cNvGrpSpPr>
          <a:grpSpLocks/>
        </xdr:cNvGrpSpPr>
      </xdr:nvGrpSpPr>
      <xdr:grpSpPr bwMode="auto">
        <a:xfrm>
          <a:off x="6392934" y="1206910"/>
          <a:ext cx="710872" cy="533400"/>
          <a:chOff x="12578073" y="988919"/>
          <a:chExt cx="9678677" cy="8510681"/>
        </a:xfrm>
      </xdr:grpSpPr>
      <xdr:grpSp>
        <xdr:nvGrpSpPr>
          <xdr:cNvPr id="532307" name="629 Grupo">
            <a:extLst>
              <a:ext uri="{FF2B5EF4-FFF2-40B4-BE49-F238E27FC236}">
                <a16:creationId xmlns:a16="http://schemas.microsoft.com/office/drawing/2014/main" id="{D9250B81-6CB5-8DA4-01F3-7CD5CCF91C05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12578073" y="988919"/>
            <a:chExt cx="9678677" cy="8510681"/>
          </a:xfrm>
        </xdr:grpSpPr>
        <xdr:grpSp>
          <xdr:nvGrpSpPr>
            <xdr:cNvPr id="532373" name="410 Grupo">
              <a:extLst>
                <a:ext uri="{FF2B5EF4-FFF2-40B4-BE49-F238E27FC236}">
                  <a16:creationId xmlns:a16="http://schemas.microsoft.com/office/drawing/2014/main" id="{81E26932-3BBA-AE1E-06A8-23AD660F3FB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2578073" y="988919"/>
              <a:ext cx="9678677" cy="8510681"/>
              <a:chOff x="6659658" y="3011580"/>
              <a:chExt cx="3859213" cy="3443007"/>
            </a:xfrm>
          </xdr:grpSpPr>
          <xdr:grpSp>
            <xdr:nvGrpSpPr>
              <xdr:cNvPr id="532378" name="Group 1078">
                <a:extLst>
                  <a:ext uri="{FF2B5EF4-FFF2-40B4-BE49-F238E27FC236}">
                    <a16:creationId xmlns:a16="http://schemas.microsoft.com/office/drawing/2014/main" id="{03684C4A-EBB7-8FD1-086A-CE0741C2EC29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659658" y="3011580"/>
                <a:ext cx="3859213" cy="3443007"/>
                <a:chOff x="394" y="56"/>
                <a:chExt cx="121" cy="99"/>
              </a:xfrm>
            </xdr:grpSpPr>
            <xdr:sp macro="" textlink="">
              <xdr:nvSpPr>
                <xdr:cNvPr id="532380" name="Rectangle 1079">
                  <a:extLst>
                    <a:ext uri="{FF2B5EF4-FFF2-40B4-BE49-F238E27FC236}">
                      <a16:creationId xmlns:a16="http://schemas.microsoft.com/office/drawing/2014/main" id="{EF592DE5-2104-6CC5-9396-2243FBBC2CC4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4" y="56"/>
                  <a:ext cx="121" cy="99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1" name="Rectangle 1080">
                  <a:extLst>
                    <a:ext uri="{FF2B5EF4-FFF2-40B4-BE49-F238E27FC236}">
                      <a16:creationId xmlns:a16="http://schemas.microsoft.com/office/drawing/2014/main" id="{434A105C-462B-47B0-340E-394352971E9C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2" name="Rectangle 1081">
                  <a:extLst>
                    <a:ext uri="{FF2B5EF4-FFF2-40B4-BE49-F238E27FC236}">
                      <a16:creationId xmlns:a16="http://schemas.microsoft.com/office/drawing/2014/main" id="{75F74B5D-0D2C-808F-2FBC-F1D67CDC0FA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3" name="Rectangle 1082">
                  <a:extLst>
                    <a:ext uri="{FF2B5EF4-FFF2-40B4-BE49-F238E27FC236}">
                      <a16:creationId xmlns:a16="http://schemas.microsoft.com/office/drawing/2014/main" id="{2B76FC9C-1C21-70C8-CACB-8DD745A32425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21" y="59"/>
                  <a:ext cx="24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4" name="Rectangle 1083">
                  <a:extLst>
                    <a:ext uri="{FF2B5EF4-FFF2-40B4-BE49-F238E27FC236}">
                      <a16:creationId xmlns:a16="http://schemas.microsoft.com/office/drawing/2014/main" id="{0B0F7B6C-D49E-96D2-30D6-F0EF501106F9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45" y="59"/>
                  <a:ext cx="23" cy="94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32385" name="Rectangle 1086">
                  <a:extLst>
                    <a:ext uri="{FF2B5EF4-FFF2-40B4-BE49-F238E27FC236}">
                      <a16:creationId xmlns:a16="http://schemas.microsoft.com/office/drawing/2014/main" id="{AF783DAE-0738-A51E-48F0-181834F0306A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59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86" name="Rectangle 1087">
                  <a:extLst>
                    <a:ext uri="{FF2B5EF4-FFF2-40B4-BE49-F238E27FC236}">
                      <a16:creationId xmlns:a16="http://schemas.microsoft.com/office/drawing/2014/main" id="{25C8E529-9A93-D71B-BAF3-46D8F6185382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137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87" name="Rectangle 1088">
                  <a:extLst>
                    <a:ext uri="{FF2B5EF4-FFF2-40B4-BE49-F238E27FC236}">
                      <a16:creationId xmlns:a16="http://schemas.microsoft.com/office/drawing/2014/main" id="{9A0526CD-2371-5407-F8A1-CBE5DF82CFEE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75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88" name="Rectangle 1089">
                  <a:extLst>
                    <a:ext uri="{FF2B5EF4-FFF2-40B4-BE49-F238E27FC236}">
                      <a16:creationId xmlns:a16="http://schemas.microsoft.com/office/drawing/2014/main" id="{6E5CB1E6-50EB-24F2-FA0B-844E43F9215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7" y="91"/>
                  <a:ext cx="115" cy="16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  <xdr:sp macro="" textlink="">
              <xdr:nvSpPr>
                <xdr:cNvPr id="532389" name="Rectangle 1093">
                  <a:extLst>
                    <a:ext uri="{FF2B5EF4-FFF2-40B4-BE49-F238E27FC236}">
                      <a16:creationId xmlns:a16="http://schemas.microsoft.com/office/drawing/2014/main" id="{65A19186-8354-1191-24A1-DC1F5A847B18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491" y="59"/>
                  <a:ext cx="21" cy="94"/>
                </a:xfrm>
                <a:prstGeom prst="rect">
                  <a:avLst/>
                </a:prstGeom>
                <a:noFill/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solidFill>
                        <a:srgbClr val="FFFFFF"/>
                      </a:solidFill>
                    </a14:hiddenFill>
                  </a:ext>
                </a:extLst>
              </xdr:spPr>
            </xdr:sp>
          </xdr:grpSp>
          <xdr:sp macro="" textlink="">
            <xdr:nvSpPr>
              <xdr:cNvPr id="532379" name="Rectangle 1087">
                <a:extLst>
                  <a:ext uri="{FF2B5EF4-FFF2-40B4-BE49-F238E27FC236}">
                    <a16:creationId xmlns:a16="http://schemas.microsoft.com/office/drawing/2014/main" id="{51A87AED-6B2F-6259-854A-849700C9A45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6754555" y="5297606"/>
                <a:ext cx="3672128" cy="527247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374" name="Rectangle 1082">
              <a:extLst>
                <a:ext uri="{FF2B5EF4-FFF2-40B4-BE49-F238E27FC236}">
                  <a16:creationId xmlns:a16="http://schemas.microsoft.com/office/drawing/2014/main" id="{7B4E036B-1E80-5FE2-7D5F-2A55D78E3F0F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4603186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375" name="Rectangle 1082">
              <a:extLst>
                <a:ext uri="{FF2B5EF4-FFF2-40B4-BE49-F238E27FC236}">
                  <a16:creationId xmlns:a16="http://schemas.microsoft.com/office/drawing/2014/main" id="{144F2892-325C-1DC7-DAEC-49142BC4EF27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6535400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376" name="Rectangle 1082">
              <a:extLst>
                <a:ext uri="{FF2B5EF4-FFF2-40B4-BE49-F238E27FC236}">
                  <a16:creationId xmlns:a16="http://schemas.microsoft.com/office/drawing/2014/main" id="{125C6788-CC0E-1AB9-2B63-028904A7BCD4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18356943" y="1249269"/>
              <a:ext cx="275771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532377" name="Rectangle 1082">
              <a:extLst>
                <a:ext uri="{FF2B5EF4-FFF2-40B4-BE49-F238E27FC236}">
                  <a16:creationId xmlns:a16="http://schemas.microsoft.com/office/drawing/2014/main" id="{D32B1419-20EE-8AEE-AE0A-CA623BFC9CC8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20212957" y="1249269"/>
              <a:ext cx="266700" cy="8076551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prstDash val="dash"/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2308" name="572 Grupo">
            <a:extLst>
              <a:ext uri="{FF2B5EF4-FFF2-40B4-BE49-F238E27FC236}">
                <a16:creationId xmlns:a16="http://schemas.microsoft.com/office/drawing/2014/main" id="{77EE5E4B-211A-BEB2-D052-3A761D40D443}"/>
              </a:ext>
            </a:extLst>
          </xdr:cNvPr>
          <xdr:cNvGrpSpPr>
            <a:grpSpLocks/>
          </xdr:cNvGrpSpPr>
        </xdr:nvGrpSpPr>
        <xdr:grpSpPr bwMode="auto">
          <a:xfrm>
            <a:off x="14588193" y="5241471"/>
            <a:ext cx="5901863" cy="266248"/>
            <a:chOff x="14424932" y="5391150"/>
            <a:chExt cx="5829300" cy="270783"/>
          </a:xfrm>
        </xdr:grpSpPr>
        <xdr:grpSp>
          <xdr:nvGrpSpPr>
            <xdr:cNvPr id="532361" name="562 Grupo">
              <a:extLst>
                <a:ext uri="{FF2B5EF4-FFF2-40B4-BE49-F238E27FC236}">
                  <a16:creationId xmlns:a16="http://schemas.microsoft.com/office/drawing/2014/main" id="{6C8BB8C1-EB15-1E5A-119F-D2FEA9FB114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71" name="1252 Conector recto">
                <a:extLst>
                  <a:ext uri="{FF2B5EF4-FFF2-40B4-BE49-F238E27FC236}">
                    <a16:creationId xmlns:a16="http://schemas.microsoft.com/office/drawing/2014/main" id="{445350B6-CF2D-80FA-A1E8-B39B9C76956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72" name="1253 Conector recto">
                <a:extLst>
                  <a:ext uri="{FF2B5EF4-FFF2-40B4-BE49-F238E27FC236}">
                    <a16:creationId xmlns:a16="http://schemas.microsoft.com/office/drawing/2014/main" id="{F5962ED9-FE0E-7970-A997-3140EB6B596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62" name="563 Grupo">
              <a:extLst>
                <a:ext uri="{FF2B5EF4-FFF2-40B4-BE49-F238E27FC236}">
                  <a16:creationId xmlns:a16="http://schemas.microsoft.com/office/drawing/2014/main" id="{644BD673-3AB8-079F-C4B3-BA5794CA95E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69" name="1250 Conector recto">
                <a:extLst>
                  <a:ext uri="{FF2B5EF4-FFF2-40B4-BE49-F238E27FC236}">
                    <a16:creationId xmlns:a16="http://schemas.microsoft.com/office/drawing/2014/main" id="{1BECA0A5-41B2-4E34-65CE-E191BAEAD0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70" name="1251 Conector recto">
                <a:extLst>
                  <a:ext uri="{FF2B5EF4-FFF2-40B4-BE49-F238E27FC236}">
                    <a16:creationId xmlns:a16="http://schemas.microsoft.com/office/drawing/2014/main" id="{313DD644-D565-426E-CF74-93689C72449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63" name="566 Grupo">
              <a:extLst>
                <a:ext uri="{FF2B5EF4-FFF2-40B4-BE49-F238E27FC236}">
                  <a16:creationId xmlns:a16="http://schemas.microsoft.com/office/drawing/2014/main" id="{CFBEE14E-707F-68C9-F6E2-D53B9775A99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67" name="1248 Conector recto">
                <a:extLst>
                  <a:ext uri="{FF2B5EF4-FFF2-40B4-BE49-F238E27FC236}">
                    <a16:creationId xmlns:a16="http://schemas.microsoft.com/office/drawing/2014/main" id="{75B854D6-47BB-0D58-5FF0-864BD13B9C0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68" name="1249 Conector recto">
                <a:extLst>
                  <a:ext uri="{FF2B5EF4-FFF2-40B4-BE49-F238E27FC236}">
                    <a16:creationId xmlns:a16="http://schemas.microsoft.com/office/drawing/2014/main" id="{D757CA0E-EDD1-D687-08D5-1AF8A02AEE2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64" name="569 Grupo">
              <a:extLst>
                <a:ext uri="{FF2B5EF4-FFF2-40B4-BE49-F238E27FC236}">
                  <a16:creationId xmlns:a16="http://schemas.microsoft.com/office/drawing/2014/main" id="{26A77D26-1850-1C9E-450B-AA8621991D3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65" name="1246 Conector recto">
                <a:extLst>
                  <a:ext uri="{FF2B5EF4-FFF2-40B4-BE49-F238E27FC236}">
                    <a16:creationId xmlns:a16="http://schemas.microsoft.com/office/drawing/2014/main" id="{C20EA225-5042-781A-D767-69F2F655537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66" name="1247 Conector recto">
                <a:extLst>
                  <a:ext uri="{FF2B5EF4-FFF2-40B4-BE49-F238E27FC236}">
                    <a16:creationId xmlns:a16="http://schemas.microsoft.com/office/drawing/2014/main" id="{96A8C3CF-5B40-E120-390B-5701F0B3134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09" name="573 Grupo">
            <a:extLst>
              <a:ext uri="{FF2B5EF4-FFF2-40B4-BE49-F238E27FC236}">
                <a16:creationId xmlns:a16="http://schemas.microsoft.com/office/drawing/2014/main" id="{7FAA823E-4A6C-7620-1533-A1F3812031FB}"/>
              </a:ext>
            </a:extLst>
          </xdr:cNvPr>
          <xdr:cNvGrpSpPr>
            <a:grpSpLocks/>
          </xdr:cNvGrpSpPr>
        </xdr:nvGrpSpPr>
        <xdr:grpSpPr bwMode="auto">
          <a:xfrm>
            <a:off x="14590915" y="6505000"/>
            <a:ext cx="5901863" cy="261706"/>
            <a:chOff x="14424932" y="5391150"/>
            <a:chExt cx="5829300" cy="270783"/>
          </a:xfrm>
        </xdr:grpSpPr>
        <xdr:grpSp>
          <xdr:nvGrpSpPr>
            <xdr:cNvPr id="532349" name="562 Grupo">
              <a:extLst>
                <a:ext uri="{FF2B5EF4-FFF2-40B4-BE49-F238E27FC236}">
                  <a16:creationId xmlns:a16="http://schemas.microsoft.com/office/drawing/2014/main" id="{05EEAE75-4EA3-BDB6-5A13-18D7CEF719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59" name="1240 Conector recto">
                <a:extLst>
                  <a:ext uri="{FF2B5EF4-FFF2-40B4-BE49-F238E27FC236}">
                    <a16:creationId xmlns:a16="http://schemas.microsoft.com/office/drawing/2014/main" id="{D880F8A4-1608-21C0-F8E7-CC9FCD0F0FF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60" name="1241 Conector recto">
                <a:extLst>
                  <a:ext uri="{FF2B5EF4-FFF2-40B4-BE49-F238E27FC236}">
                    <a16:creationId xmlns:a16="http://schemas.microsoft.com/office/drawing/2014/main" id="{394DEF3F-2132-2A31-3E44-009C615E0E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50" name="563 Grupo">
              <a:extLst>
                <a:ext uri="{FF2B5EF4-FFF2-40B4-BE49-F238E27FC236}">
                  <a16:creationId xmlns:a16="http://schemas.microsoft.com/office/drawing/2014/main" id="{0B558DEA-72BA-ADF7-0618-C530A49DF7E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57" name="1238 Conector recto">
                <a:extLst>
                  <a:ext uri="{FF2B5EF4-FFF2-40B4-BE49-F238E27FC236}">
                    <a16:creationId xmlns:a16="http://schemas.microsoft.com/office/drawing/2014/main" id="{C81B7366-D91E-A0DF-D8D0-807DE2A058A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58" name="1239 Conector recto">
                <a:extLst>
                  <a:ext uri="{FF2B5EF4-FFF2-40B4-BE49-F238E27FC236}">
                    <a16:creationId xmlns:a16="http://schemas.microsoft.com/office/drawing/2014/main" id="{50CE3C00-6A52-AE6B-2A98-FF781DC6636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51" name="566 Grupo">
              <a:extLst>
                <a:ext uri="{FF2B5EF4-FFF2-40B4-BE49-F238E27FC236}">
                  <a16:creationId xmlns:a16="http://schemas.microsoft.com/office/drawing/2014/main" id="{DC13A18F-3E87-069E-4A1F-E984FC952E8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55" name="1236 Conector recto">
                <a:extLst>
                  <a:ext uri="{FF2B5EF4-FFF2-40B4-BE49-F238E27FC236}">
                    <a16:creationId xmlns:a16="http://schemas.microsoft.com/office/drawing/2014/main" id="{E70D207C-A05B-A417-3DF4-725FC553EE6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56" name="1237 Conector recto">
                <a:extLst>
                  <a:ext uri="{FF2B5EF4-FFF2-40B4-BE49-F238E27FC236}">
                    <a16:creationId xmlns:a16="http://schemas.microsoft.com/office/drawing/2014/main" id="{E60AEA5B-CE13-6F29-2715-FCB7C2D3EE1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52" name="569 Grupo">
              <a:extLst>
                <a:ext uri="{FF2B5EF4-FFF2-40B4-BE49-F238E27FC236}">
                  <a16:creationId xmlns:a16="http://schemas.microsoft.com/office/drawing/2014/main" id="{1D8D6EF5-9A58-737F-A6FA-0BA2A6B0FE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53" name="1234 Conector recto">
                <a:extLst>
                  <a:ext uri="{FF2B5EF4-FFF2-40B4-BE49-F238E27FC236}">
                    <a16:creationId xmlns:a16="http://schemas.microsoft.com/office/drawing/2014/main" id="{692E4EA4-2374-553B-38B3-6D84CC1FB0D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54" name="1235 Conector recto">
                <a:extLst>
                  <a:ext uri="{FF2B5EF4-FFF2-40B4-BE49-F238E27FC236}">
                    <a16:creationId xmlns:a16="http://schemas.microsoft.com/office/drawing/2014/main" id="{4D663FA5-1752-AF8E-53B7-1027C8BE62F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10" name="586 Grupo">
            <a:extLst>
              <a:ext uri="{FF2B5EF4-FFF2-40B4-BE49-F238E27FC236}">
                <a16:creationId xmlns:a16="http://schemas.microsoft.com/office/drawing/2014/main" id="{49B29650-6097-3BAE-D8B4-81C64AEE0BBA}"/>
              </a:ext>
            </a:extLst>
          </xdr:cNvPr>
          <xdr:cNvGrpSpPr>
            <a:grpSpLocks/>
          </xdr:cNvGrpSpPr>
        </xdr:nvGrpSpPr>
        <xdr:grpSpPr bwMode="auto">
          <a:xfrm>
            <a:off x="14586833" y="3865670"/>
            <a:ext cx="5901863" cy="261705"/>
            <a:chOff x="14424932" y="5391150"/>
            <a:chExt cx="5829300" cy="270783"/>
          </a:xfrm>
        </xdr:grpSpPr>
        <xdr:grpSp>
          <xdr:nvGrpSpPr>
            <xdr:cNvPr id="532337" name="562 Grupo">
              <a:extLst>
                <a:ext uri="{FF2B5EF4-FFF2-40B4-BE49-F238E27FC236}">
                  <a16:creationId xmlns:a16="http://schemas.microsoft.com/office/drawing/2014/main" id="{74C0D503-8405-D7B3-C753-29DCF816A41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47" name="1228 Conector recto">
                <a:extLst>
                  <a:ext uri="{FF2B5EF4-FFF2-40B4-BE49-F238E27FC236}">
                    <a16:creationId xmlns:a16="http://schemas.microsoft.com/office/drawing/2014/main" id="{228F2575-4021-2C43-9288-FE03E760BAA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48" name="1229 Conector recto">
                <a:extLst>
                  <a:ext uri="{FF2B5EF4-FFF2-40B4-BE49-F238E27FC236}">
                    <a16:creationId xmlns:a16="http://schemas.microsoft.com/office/drawing/2014/main" id="{1313BE20-E563-D460-BAB2-808CF9922A5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38" name="563 Grupo">
              <a:extLst>
                <a:ext uri="{FF2B5EF4-FFF2-40B4-BE49-F238E27FC236}">
                  <a16:creationId xmlns:a16="http://schemas.microsoft.com/office/drawing/2014/main" id="{2E844245-67EF-5991-F109-B4B8C929D2C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45" name="1226 Conector recto">
                <a:extLst>
                  <a:ext uri="{FF2B5EF4-FFF2-40B4-BE49-F238E27FC236}">
                    <a16:creationId xmlns:a16="http://schemas.microsoft.com/office/drawing/2014/main" id="{72465B7C-FC7E-4E18-EB04-C894B6EC48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46" name="1227 Conector recto">
                <a:extLst>
                  <a:ext uri="{FF2B5EF4-FFF2-40B4-BE49-F238E27FC236}">
                    <a16:creationId xmlns:a16="http://schemas.microsoft.com/office/drawing/2014/main" id="{0B23C4A4-6182-4ECA-5423-25B657553C5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39" name="566 Grupo">
              <a:extLst>
                <a:ext uri="{FF2B5EF4-FFF2-40B4-BE49-F238E27FC236}">
                  <a16:creationId xmlns:a16="http://schemas.microsoft.com/office/drawing/2014/main" id="{6E4D61DD-D5F9-0E05-9458-EE6FB7B2A44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43" name="1224 Conector recto">
                <a:extLst>
                  <a:ext uri="{FF2B5EF4-FFF2-40B4-BE49-F238E27FC236}">
                    <a16:creationId xmlns:a16="http://schemas.microsoft.com/office/drawing/2014/main" id="{AB8AD675-CB19-65DA-F0B9-615C2E0654B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44" name="1225 Conector recto">
                <a:extLst>
                  <a:ext uri="{FF2B5EF4-FFF2-40B4-BE49-F238E27FC236}">
                    <a16:creationId xmlns:a16="http://schemas.microsoft.com/office/drawing/2014/main" id="{8EB41432-65C4-127C-FC25-3F63643B952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40" name="569 Grupo">
              <a:extLst>
                <a:ext uri="{FF2B5EF4-FFF2-40B4-BE49-F238E27FC236}">
                  <a16:creationId xmlns:a16="http://schemas.microsoft.com/office/drawing/2014/main" id="{B5AED1C7-DE8E-09B8-F034-B6EDDBE9254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41" name="1222 Conector recto">
                <a:extLst>
                  <a:ext uri="{FF2B5EF4-FFF2-40B4-BE49-F238E27FC236}">
                    <a16:creationId xmlns:a16="http://schemas.microsoft.com/office/drawing/2014/main" id="{F4B2A48F-71E6-7A30-613A-93D6407545B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42" name="1223 Conector recto">
                <a:extLst>
                  <a:ext uri="{FF2B5EF4-FFF2-40B4-BE49-F238E27FC236}">
                    <a16:creationId xmlns:a16="http://schemas.microsoft.com/office/drawing/2014/main" id="{F6DBF2BD-AD86-2103-5CFB-9802BB2D234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11" name="599 Grupo">
            <a:extLst>
              <a:ext uri="{FF2B5EF4-FFF2-40B4-BE49-F238E27FC236}">
                <a16:creationId xmlns:a16="http://schemas.microsoft.com/office/drawing/2014/main" id="{171F6C6F-806E-8F9F-1C01-DCB8418B38E2}"/>
              </a:ext>
            </a:extLst>
          </xdr:cNvPr>
          <xdr:cNvGrpSpPr>
            <a:grpSpLocks/>
          </xdr:cNvGrpSpPr>
        </xdr:nvGrpSpPr>
        <xdr:grpSpPr bwMode="auto">
          <a:xfrm>
            <a:off x="14596358" y="2494069"/>
            <a:ext cx="5901863" cy="261706"/>
            <a:chOff x="14424932" y="5391150"/>
            <a:chExt cx="5829300" cy="270783"/>
          </a:xfrm>
        </xdr:grpSpPr>
        <xdr:grpSp>
          <xdr:nvGrpSpPr>
            <xdr:cNvPr id="532325" name="562 Grupo">
              <a:extLst>
                <a:ext uri="{FF2B5EF4-FFF2-40B4-BE49-F238E27FC236}">
                  <a16:creationId xmlns:a16="http://schemas.microsoft.com/office/drawing/2014/main" id="{A70FACDE-EB51-0F04-BEF4-8E6494A2269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35" name="1216 Conector recto">
                <a:extLst>
                  <a:ext uri="{FF2B5EF4-FFF2-40B4-BE49-F238E27FC236}">
                    <a16:creationId xmlns:a16="http://schemas.microsoft.com/office/drawing/2014/main" id="{DF759C3E-9C2F-B066-8FF5-475385DCBC4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36" name="1217 Conector recto">
                <a:extLst>
                  <a:ext uri="{FF2B5EF4-FFF2-40B4-BE49-F238E27FC236}">
                    <a16:creationId xmlns:a16="http://schemas.microsoft.com/office/drawing/2014/main" id="{B959B428-E33C-F3E7-13DA-5EE879BCEDB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26" name="563 Grupo">
              <a:extLst>
                <a:ext uri="{FF2B5EF4-FFF2-40B4-BE49-F238E27FC236}">
                  <a16:creationId xmlns:a16="http://schemas.microsoft.com/office/drawing/2014/main" id="{8FB9BE03-7361-F039-E152-FE368DF0D2B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33" name="1214 Conector recto">
                <a:extLst>
                  <a:ext uri="{FF2B5EF4-FFF2-40B4-BE49-F238E27FC236}">
                    <a16:creationId xmlns:a16="http://schemas.microsoft.com/office/drawing/2014/main" id="{345703B0-BE79-B5C0-CA34-4AB0B99047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34" name="1215 Conector recto">
                <a:extLst>
                  <a:ext uri="{FF2B5EF4-FFF2-40B4-BE49-F238E27FC236}">
                    <a16:creationId xmlns:a16="http://schemas.microsoft.com/office/drawing/2014/main" id="{6142B46D-4BDD-B3F5-83C5-8C50E64165E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27" name="566 Grupo">
              <a:extLst>
                <a:ext uri="{FF2B5EF4-FFF2-40B4-BE49-F238E27FC236}">
                  <a16:creationId xmlns:a16="http://schemas.microsoft.com/office/drawing/2014/main" id="{E1366AE1-99F6-2686-D295-44D23CDB04E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31" name="1212 Conector recto">
                <a:extLst>
                  <a:ext uri="{FF2B5EF4-FFF2-40B4-BE49-F238E27FC236}">
                    <a16:creationId xmlns:a16="http://schemas.microsoft.com/office/drawing/2014/main" id="{23671DF5-AE4D-3210-79EF-41662D4D1F1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32" name="1213 Conector recto">
                <a:extLst>
                  <a:ext uri="{FF2B5EF4-FFF2-40B4-BE49-F238E27FC236}">
                    <a16:creationId xmlns:a16="http://schemas.microsoft.com/office/drawing/2014/main" id="{876E0590-AD80-01AE-53D6-67D868E7D71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28" name="569 Grupo">
              <a:extLst>
                <a:ext uri="{FF2B5EF4-FFF2-40B4-BE49-F238E27FC236}">
                  <a16:creationId xmlns:a16="http://schemas.microsoft.com/office/drawing/2014/main" id="{6D90EFAC-D009-1C9A-D197-7E6555AA5C2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29" name="1210 Conector recto">
                <a:extLst>
                  <a:ext uri="{FF2B5EF4-FFF2-40B4-BE49-F238E27FC236}">
                    <a16:creationId xmlns:a16="http://schemas.microsoft.com/office/drawing/2014/main" id="{37C75D36-F67C-539A-AE70-40BEED989AB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30" name="1211 Conector recto">
                <a:extLst>
                  <a:ext uri="{FF2B5EF4-FFF2-40B4-BE49-F238E27FC236}">
                    <a16:creationId xmlns:a16="http://schemas.microsoft.com/office/drawing/2014/main" id="{086B18C2-D9E5-208F-273C-7A9DF689526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12" name="612 Grupo">
            <a:extLst>
              <a:ext uri="{FF2B5EF4-FFF2-40B4-BE49-F238E27FC236}">
                <a16:creationId xmlns:a16="http://schemas.microsoft.com/office/drawing/2014/main" id="{A74CC7A6-BEB8-C1ED-6A38-EAA764D01E01}"/>
              </a:ext>
            </a:extLst>
          </xdr:cNvPr>
          <xdr:cNvGrpSpPr>
            <a:grpSpLocks/>
          </xdr:cNvGrpSpPr>
        </xdr:nvGrpSpPr>
        <xdr:grpSpPr bwMode="auto">
          <a:xfrm>
            <a:off x="14585472" y="7805965"/>
            <a:ext cx="5901863" cy="266247"/>
            <a:chOff x="14424932" y="5391150"/>
            <a:chExt cx="5829300" cy="270783"/>
          </a:xfrm>
        </xdr:grpSpPr>
        <xdr:grpSp>
          <xdr:nvGrpSpPr>
            <xdr:cNvPr id="532313" name="562 Grupo">
              <a:extLst>
                <a:ext uri="{FF2B5EF4-FFF2-40B4-BE49-F238E27FC236}">
                  <a16:creationId xmlns:a16="http://schemas.microsoft.com/office/drawing/2014/main" id="{070A02C1-D9EB-2D84-23D9-69A643AD79C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23" name="1204 Conector recto">
                <a:extLst>
                  <a:ext uri="{FF2B5EF4-FFF2-40B4-BE49-F238E27FC236}">
                    <a16:creationId xmlns:a16="http://schemas.microsoft.com/office/drawing/2014/main" id="{2956DD3D-D3EB-EA81-2113-4DBCA3309D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24" name="1205 Conector recto">
                <a:extLst>
                  <a:ext uri="{FF2B5EF4-FFF2-40B4-BE49-F238E27FC236}">
                    <a16:creationId xmlns:a16="http://schemas.microsoft.com/office/drawing/2014/main" id="{ACFB6DA1-5598-DC8F-FCAC-4A78F7D0D07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14" name="563 Grupo">
              <a:extLst>
                <a:ext uri="{FF2B5EF4-FFF2-40B4-BE49-F238E27FC236}">
                  <a16:creationId xmlns:a16="http://schemas.microsoft.com/office/drawing/2014/main" id="{277FD867-3623-6A70-BAC9-CD68457F5BF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21" name="1202 Conector recto">
                <a:extLst>
                  <a:ext uri="{FF2B5EF4-FFF2-40B4-BE49-F238E27FC236}">
                    <a16:creationId xmlns:a16="http://schemas.microsoft.com/office/drawing/2014/main" id="{3FA6109E-C0DE-DC4D-F70F-620DF878CD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22" name="1203 Conector recto">
                <a:extLst>
                  <a:ext uri="{FF2B5EF4-FFF2-40B4-BE49-F238E27FC236}">
                    <a16:creationId xmlns:a16="http://schemas.microsoft.com/office/drawing/2014/main" id="{B946821F-3510-E5DE-8EAC-CFEEF56E174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15" name="566 Grupo">
              <a:extLst>
                <a:ext uri="{FF2B5EF4-FFF2-40B4-BE49-F238E27FC236}">
                  <a16:creationId xmlns:a16="http://schemas.microsoft.com/office/drawing/2014/main" id="{7EFA9BD0-E69A-C1D1-A2DD-C960995FD03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19" name="1200 Conector recto">
                <a:extLst>
                  <a:ext uri="{FF2B5EF4-FFF2-40B4-BE49-F238E27FC236}">
                    <a16:creationId xmlns:a16="http://schemas.microsoft.com/office/drawing/2014/main" id="{B52CCE89-AC31-9112-CC47-63052CD7DEC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20" name="1201 Conector recto">
                <a:extLst>
                  <a:ext uri="{FF2B5EF4-FFF2-40B4-BE49-F238E27FC236}">
                    <a16:creationId xmlns:a16="http://schemas.microsoft.com/office/drawing/2014/main" id="{C9099C35-8393-B249-7E1E-30A9AA67717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16" name="569 Grupo">
              <a:extLst>
                <a:ext uri="{FF2B5EF4-FFF2-40B4-BE49-F238E27FC236}">
                  <a16:creationId xmlns:a16="http://schemas.microsoft.com/office/drawing/2014/main" id="{967081DB-1055-61B2-EACA-C35619B8954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317" name="1198 Conector recto">
                <a:extLst>
                  <a:ext uri="{FF2B5EF4-FFF2-40B4-BE49-F238E27FC236}">
                    <a16:creationId xmlns:a16="http://schemas.microsoft.com/office/drawing/2014/main" id="{104EE75F-AB20-1F1F-EE46-7A21C2DFC95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318" name="1199 Conector recto">
                <a:extLst>
                  <a:ext uri="{FF2B5EF4-FFF2-40B4-BE49-F238E27FC236}">
                    <a16:creationId xmlns:a16="http://schemas.microsoft.com/office/drawing/2014/main" id="{F825BD64-BD18-6535-BD04-40901A3069C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13</xdr:col>
      <xdr:colOff>289560</xdr:colOff>
      <xdr:row>0</xdr:row>
      <xdr:rowOff>520700</xdr:rowOff>
    </xdr:from>
    <xdr:to>
      <xdr:col>21</xdr:col>
      <xdr:colOff>254000</xdr:colOff>
      <xdr:row>25</xdr:row>
      <xdr:rowOff>152400</xdr:rowOff>
    </xdr:to>
    <xdr:grpSp>
      <xdr:nvGrpSpPr>
        <xdr:cNvPr id="532390" name="1103 Grupo">
          <a:extLst>
            <a:ext uri="{FF2B5EF4-FFF2-40B4-BE49-F238E27FC236}">
              <a16:creationId xmlns:a16="http://schemas.microsoft.com/office/drawing/2014/main" id="{366E143B-DFE9-4825-8E8E-4913BA38777E}"/>
            </a:ext>
          </a:extLst>
        </xdr:cNvPr>
        <xdr:cNvGrpSpPr>
          <a:grpSpLocks/>
        </xdr:cNvGrpSpPr>
      </xdr:nvGrpSpPr>
      <xdr:grpSpPr bwMode="auto">
        <a:xfrm>
          <a:off x="12665915" y="520700"/>
          <a:ext cx="6257085" cy="5985797"/>
          <a:chOff x="12578073" y="988919"/>
          <a:chExt cx="9678677" cy="8510681"/>
        </a:xfrm>
      </xdr:grpSpPr>
      <xdr:grpSp>
        <xdr:nvGrpSpPr>
          <xdr:cNvPr id="532391" name="410 Grupo">
            <a:extLst>
              <a:ext uri="{FF2B5EF4-FFF2-40B4-BE49-F238E27FC236}">
                <a16:creationId xmlns:a16="http://schemas.microsoft.com/office/drawing/2014/main" id="{4DA3F981-E85C-CC6E-8BDF-C94E5C016F9B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6659658" y="3011580"/>
            <a:chExt cx="3859213" cy="3443007"/>
          </a:xfrm>
        </xdr:grpSpPr>
        <xdr:grpSp>
          <xdr:nvGrpSpPr>
            <xdr:cNvPr id="532457" name="Group 1078">
              <a:extLst>
                <a:ext uri="{FF2B5EF4-FFF2-40B4-BE49-F238E27FC236}">
                  <a16:creationId xmlns:a16="http://schemas.microsoft.com/office/drawing/2014/main" id="{7ACF2D3F-39EF-7DDF-E19F-C92ED3BE1F5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9658" y="3011580"/>
              <a:ext cx="3859213" cy="3443007"/>
              <a:chOff x="394" y="56"/>
              <a:chExt cx="121" cy="99"/>
            </a:xfrm>
          </xdr:grpSpPr>
          <xdr:sp macro="" textlink="">
            <xdr:nvSpPr>
              <xdr:cNvPr id="532459" name="Rectangle 1079">
                <a:extLst>
                  <a:ext uri="{FF2B5EF4-FFF2-40B4-BE49-F238E27FC236}">
                    <a16:creationId xmlns:a16="http://schemas.microsoft.com/office/drawing/2014/main" id="{D0586418-37E6-26A1-A13C-627A8A23EB6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4" y="56"/>
                <a:ext cx="121" cy="9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460" name="Rectangle 1080">
                <a:extLst>
                  <a:ext uri="{FF2B5EF4-FFF2-40B4-BE49-F238E27FC236}">
                    <a16:creationId xmlns:a16="http://schemas.microsoft.com/office/drawing/2014/main" id="{47F59D17-3D7C-F6E3-60AD-EE3DA756882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461" name="Rectangle 1081">
                <a:extLst>
                  <a:ext uri="{FF2B5EF4-FFF2-40B4-BE49-F238E27FC236}">
                    <a16:creationId xmlns:a16="http://schemas.microsoft.com/office/drawing/2014/main" id="{D12791B5-DEA4-8FD5-193B-2ADCAD275DF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462" name="Rectangle 1082">
                <a:extLst>
                  <a:ext uri="{FF2B5EF4-FFF2-40B4-BE49-F238E27FC236}">
                    <a16:creationId xmlns:a16="http://schemas.microsoft.com/office/drawing/2014/main" id="{772B8672-55C7-45E1-DE19-92CC760A74B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1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32463" name="Rectangle 1083">
                <a:extLst>
                  <a:ext uri="{FF2B5EF4-FFF2-40B4-BE49-F238E27FC236}">
                    <a16:creationId xmlns:a16="http://schemas.microsoft.com/office/drawing/2014/main" id="{F5DE6E9F-C573-759C-B19E-93984A2B4FD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5" y="59"/>
                <a:ext cx="23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32464" name="Rectangle 1086">
                <a:extLst>
                  <a:ext uri="{FF2B5EF4-FFF2-40B4-BE49-F238E27FC236}">
                    <a16:creationId xmlns:a16="http://schemas.microsoft.com/office/drawing/2014/main" id="{E298C482-9C12-D7AB-7021-72B66E22080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465" name="Rectangle 1087">
                <a:extLst>
                  <a:ext uri="{FF2B5EF4-FFF2-40B4-BE49-F238E27FC236}">
                    <a16:creationId xmlns:a16="http://schemas.microsoft.com/office/drawing/2014/main" id="{BF314C99-CAC1-522B-6732-DFD114AD1D1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137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466" name="Rectangle 1088">
                <a:extLst>
                  <a:ext uri="{FF2B5EF4-FFF2-40B4-BE49-F238E27FC236}">
                    <a16:creationId xmlns:a16="http://schemas.microsoft.com/office/drawing/2014/main" id="{2E7E1EFD-D593-F895-421E-253606F15E2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75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467" name="Rectangle 1089">
                <a:extLst>
                  <a:ext uri="{FF2B5EF4-FFF2-40B4-BE49-F238E27FC236}">
                    <a16:creationId xmlns:a16="http://schemas.microsoft.com/office/drawing/2014/main" id="{3D39B522-8E68-E46C-FC69-1AE3E0B8D594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91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468" name="Rectangle 1093">
                <a:extLst>
                  <a:ext uri="{FF2B5EF4-FFF2-40B4-BE49-F238E27FC236}">
                    <a16:creationId xmlns:a16="http://schemas.microsoft.com/office/drawing/2014/main" id="{95689669-2A5B-FDCB-4D1C-26E8000C5C0B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1" y="59"/>
                <a:ext cx="21" cy="9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458" name="Rectangle 1087">
              <a:extLst>
                <a:ext uri="{FF2B5EF4-FFF2-40B4-BE49-F238E27FC236}">
                  <a16:creationId xmlns:a16="http://schemas.microsoft.com/office/drawing/2014/main" id="{71ACA0C9-1B6E-D996-751D-9BBB7BC525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56362" y="5297606"/>
              <a:ext cx="3665481" cy="52724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2392" name="572 Grupo">
            <a:extLst>
              <a:ext uri="{FF2B5EF4-FFF2-40B4-BE49-F238E27FC236}">
                <a16:creationId xmlns:a16="http://schemas.microsoft.com/office/drawing/2014/main" id="{78F9434C-AEB4-05ED-6D62-F58B04283C69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532445" name="562 Grupo">
              <a:extLst>
                <a:ext uri="{FF2B5EF4-FFF2-40B4-BE49-F238E27FC236}">
                  <a16:creationId xmlns:a16="http://schemas.microsoft.com/office/drawing/2014/main" id="{1C9A70D4-12A7-FD1A-94EA-2462A4DC866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55" name="1168 Conector recto">
                <a:extLst>
                  <a:ext uri="{FF2B5EF4-FFF2-40B4-BE49-F238E27FC236}">
                    <a16:creationId xmlns:a16="http://schemas.microsoft.com/office/drawing/2014/main" id="{2D448A0B-B127-CDB6-5DFF-050C0883F34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56" name="1169 Conector recto">
                <a:extLst>
                  <a:ext uri="{FF2B5EF4-FFF2-40B4-BE49-F238E27FC236}">
                    <a16:creationId xmlns:a16="http://schemas.microsoft.com/office/drawing/2014/main" id="{43A6C50B-A42A-9133-CA78-C897CAA99F5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46" name="563 Grupo">
              <a:extLst>
                <a:ext uri="{FF2B5EF4-FFF2-40B4-BE49-F238E27FC236}">
                  <a16:creationId xmlns:a16="http://schemas.microsoft.com/office/drawing/2014/main" id="{EBE379D2-1DA6-3282-D27A-3B0194E499C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53" name="1166 Conector recto">
                <a:extLst>
                  <a:ext uri="{FF2B5EF4-FFF2-40B4-BE49-F238E27FC236}">
                    <a16:creationId xmlns:a16="http://schemas.microsoft.com/office/drawing/2014/main" id="{FBADA8FB-377D-1C6B-992C-4D30D2FE711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54" name="1167 Conector recto">
                <a:extLst>
                  <a:ext uri="{FF2B5EF4-FFF2-40B4-BE49-F238E27FC236}">
                    <a16:creationId xmlns:a16="http://schemas.microsoft.com/office/drawing/2014/main" id="{68EF48BF-9A88-F941-0945-A2341807BC9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47" name="566 Grupo">
              <a:extLst>
                <a:ext uri="{FF2B5EF4-FFF2-40B4-BE49-F238E27FC236}">
                  <a16:creationId xmlns:a16="http://schemas.microsoft.com/office/drawing/2014/main" id="{A51954D2-6D9C-371E-9457-A58D8AAD9D4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51" name="1164 Conector recto">
                <a:extLst>
                  <a:ext uri="{FF2B5EF4-FFF2-40B4-BE49-F238E27FC236}">
                    <a16:creationId xmlns:a16="http://schemas.microsoft.com/office/drawing/2014/main" id="{21A8AC29-4D1F-0A25-2C72-E8E01790D66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52" name="1165 Conector recto">
                <a:extLst>
                  <a:ext uri="{FF2B5EF4-FFF2-40B4-BE49-F238E27FC236}">
                    <a16:creationId xmlns:a16="http://schemas.microsoft.com/office/drawing/2014/main" id="{6D8DB650-7672-7BA5-313B-E11DC39788F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48" name="569 Grupo">
              <a:extLst>
                <a:ext uri="{FF2B5EF4-FFF2-40B4-BE49-F238E27FC236}">
                  <a16:creationId xmlns:a16="http://schemas.microsoft.com/office/drawing/2014/main" id="{F9971B47-3F41-662F-6189-3A18A74BC2D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49" name="1162 Conector recto">
                <a:extLst>
                  <a:ext uri="{FF2B5EF4-FFF2-40B4-BE49-F238E27FC236}">
                    <a16:creationId xmlns:a16="http://schemas.microsoft.com/office/drawing/2014/main" id="{A4BC1AEF-0448-768C-2701-E71B271E220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50" name="1163 Conector recto">
                <a:extLst>
                  <a:ext uri="{FF2B5EF4-FFF2-40B4-BE49-F238E27FC236}">
                    <a16:creationId xmlns:a16="http://schemas.microsoft.com/office/drawing/2014/main" id="{5A3576FF-1F4A-8CCD-F0C3-F6AF5EBF848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93" name="573 Grupo">
            <a:extLst>
              <a:ext uri="{FF2B5EF4-FFF2-40B4-BE49-F238E27FC236}">
                <a16:creationId xmlns:a16="http://schemas.microsoft.com/office/drawing/2014/main" id="{1BE2A3F4-78E7-C11D-F2F6-14A6CE3254D7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532433" name="562 Grupo">
              <a:extLst>
                <a:ext uri="{FF2B5EF4-FFF2-40B4-BE49-F238E27FC236}">
                  <a16:creationId xmlns:a16="http://schemas.microsoft.com/office/drawing/2014/main" id="{1E555121-5B34-F826-A1CE-7555031AA37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43" name="1156 Conector recto">
                <a:extLst>
                  <a:ext uri="{FF2B5EF4-FFF2-40B4-BE49-F238E27FC236}">
                    <a16:creationId xmlns:a16="http://schemas.microsoft.com/office/drawing/2014/main" id="{FDD378F1-F189-311F-16A8-20815B98438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44" name="1157 Conector recto">
                <a:extLst>
                  <a:ext uri="{FF2B5EF4-FFF2-40B4-BE49-F238E27FC236}">
                    <a16:creationId xmlns:a16="http://schemas.microsoft.com/office/drawing/2014/main" id="{33185BA3-1756-393C-8BC7-A05BDE5E7B4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34" name="563 Grupo">
              <a:extLst>
                <a:ext uri="{FF2B5EF4-FFF2-40B4-BE49-F238E27FC236}">
                  <a16:creationId xmlns:a16="http://schemas.microsoft.com/office/drawing/2014/main" id="{E9BAC5BA-D42B-E251-F990-424D70386ED3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41" name="1154 Conector recto">
                <a:extLst>
                  <a:ext uri="{FF2B5EF4-FFF2-40B4-BE49-F238E27FC236}">
                    <a16:creationId xmlns:a16="http://schemas.microsoft.com/office/drawing/2014/main" id="{498127B5-A382-3EAB-0C83-077D93DA1CD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42" name="1155 Conector recto">
                <a:extLst>
                  <a:ext uri="{FF2B5EF4-FFF2-40B4-BE49-F238E27FC236}">
                    <a16:creationId xmlns:a16="http://schemas.microsoft.com/office/drawing/2014/main" id="{707DFE7B-F82F-4578-8E52-48D8090D45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35" name="566 Grupo">
              <a:extLst>
                <a:ext uri="{FF2B5EF4-FFF2-40B4-BE49-F238E27FC236}">
                  <a16:creationId xmlns:a16="http://schemas.microsoft.com/office/drawing/2014/main" id="{F5BB72EF-1002-F25D-7796-11A15E6C992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39" name="1152 Conector recto">
                <a:extLst>
                  <a:ext uri="{FF2B5EF4-FFF2-40B4-BE49-F238E27FC236}">
                    <a16:creationId xmlns:a16="http://schemas.microsoft.com/office/drawing/2014/main" id="{9D116581-1A97-2088-6E19-614A817F3B4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40" name="1153 Conector recto">
                <a:extLst>
                  <a:ext uri="{FF2B5EF4-FFF2-40B4-BE49-F238E27FC236}">
                    <a16:creationId xmlns:a16="http://schemas.microsoft.com/office/drawing/2014/main" id="{ECC3B6FB-69C4-1E71-EA8A-7D7DA99B868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36" name="569 Grupo">
              <a:extLst>
                <a:ext uri="{FF2B5EF4-FFF2-40B4-BE49-F238E27FC236}">
                  <a16:creationId xmlns:a16="http://schemas.microsoft.com/office/drawing/2014/main" id="{C2F16750-544A-C1A1-2B16-1A3826ED7FD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37" name="1150 Conector recto">
                <a:extLst>
                  <a:ext uri="{FF2B5EF4-FFF2-40B4-BE49-F238E27FC236}">
                    <a16:creationId xmlns:a16="http://schemas.microsoft.com/office/drawing/2014/main" id="{F7816185-E017-3863-EF7F-B9400210EEB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38" name="1151 Conector recto">
                <a:extLst>
                  <a:ext uri="{FF2B5EF4-FFF2-40B4-BE49-F238E27FC236}">
                    <a16:creationId xmlns:a16="http://schemas.microsoft.com/office/drawing/2014/main" id="{0EE85140-D5A5-F9C8-A5FF-5662D2D02AB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94" name="586 Grupo">
            <a:extLst>
              <a:ext uri="{FF2B5EF4-FFF2-40B4-BE49-F238E27FC236}">
                <a16:creationId xmlns:a16="http://schemas.microsoft.com/office/drawing/2014/main" id="{AD41E460-5ABB-F23C-8369-ED26AFC3BE78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532421" name="562 Grupo">
              <a:extLst>
                <a:ext uri="{FF2B5EF4-FFF2-40B4-BE49-F238E27FC236}">
                  <a16:creationId xmlns:a16="http://schemas.microsoft.com/office/drawing/2014/main" id="{23068E58-7BA4-428A-028C-5BBFDF0276B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31" name="1144 Conector recto">
                <a:extLst>
                  <a:ext uri="{FF2B5EF4-FFF2-40B4-BE49-F238E27FC236}">
                    <a16:creationId xmlns:a16="http://schemas.microsoft.com/office/drawing/2014/main" id="{CF90104D-9850-2B69-D833-7AC0912290C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32" name="1145 Conector recto">
                <a:extLst>
                  <a:ext uri="{FF2B5EF4-FFF2-40B4-BE49-F238E27FC236}">
                    <a16:creationId xmlns:a16="http://schemas.microsoft.com/office/drawing/2014/main" id="{0B6D5249-11CA-C4E6-C215-F5D0F2938D2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22" name="563 Grupo">
              <a:extLst>
                <a:ext uri="{FF2B5EF4-FFF2-40B4-BE49-F238E27FC236}">
                  <a16:creationId xmlns:a16="http://schemas.microsoft.com/office/drawing/2014/main" id="{738A30D1-7DC7-DF01-A9A6-1F84EC857EAE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29" name="1142 Conector recto">
                <a:extLst>
                  <a:ext uri="{FF2B5EF4-FFF2-40B4-BE49-F238E27FC236}">
                    <a16:creationId xmlns:a16="http://schemas.microsoft.com/office/drawing/2014/main" id="{5C749409-BEBE-A978-AAA5-A3A19C50905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30" name="1143 Conector recto">
                <a:extLst>
                  <a:ext uri="{FF2B5EF4-FFF2-40B4-BE49-F238E27FC236}">
                    <a16:creationId xmlns:a16="http://schemas.microsoft.com/office/drawing/2014/main" id="{65238C47-4648-2DE3-E8B1-012F2BB3BAE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23" name="566 Grupo">
              <a:extLst>
                <a:ext uri="{FF2B5EF4-FFF2-40B4-BE49-F238E27FC236}">
                  <a16:creationId xmlns:a16="http://schemas.microsoft.com/office/drawing/2014/main" id="{A65BD5CF-2BE9-2897-9C36-B4EB3132635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27" name="1140 Conector recto">
                <a:extLst>
                  <a:ext uri="{FF2B5EF4-FFF2-40B4-BE49-F238E27FC236}">
                    <a16:creationId xmlns:a16="http://schemas.microsoft.com/office/drawing/2014/main" id="{A8D6FC7E-955B-910E-CAFA-1B2E8CB9F43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28" name="1141 Conector recto">
                <a:extLst>
                  <a:ext uri="{FF2B5EF4-FFF2-40B4-BE49-F238E27FC236}">
                    <a16:creationId xmlns:a16="http://schemas.microsoft.com/office/drawing/2014/main" id="{10952170-9F42-C3D2-A7EA-C53A366FE27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24" name="569 Grupo">
              <a:extLst>
                <a:ext uri="{FF2B5EF4-FFF2-40B4-BE49-F238E27FC236}">
                  <a16:creationId xmlns:a16="http://schemas.microsoft.com/office/drawing/2014/main" id="{4E930C92-444A-43DB-8468-C60BD43A511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25" name="1138 Conector recto">
                <a:extLst>
                  <a:ext uri="{FF2B5EF4-FFF2-40B4-BE49-F238E27FC236}">
                    <a16:creationId xmlns:a16="http://schemas.microsoft.com/office/drawing/2014/main" id="{28912B80-7923-CB35-B6BD-1F119BE4444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26" name="1139 Conector recto">
                <a:extLst>
                  <a:ext uri="{FF2B5EF4-FFF2-40B4-BE49-F238E27FC236}">
                    <a16:creationId xmlns:a16="http://schemas.microsoft.com/office/drawing/2014/main" id="{A7010CC8-0B54-8D3E-4F19-CB292B93D9A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95" name="599 Grupo">
            <a:extLst>
              <a:ext uri="{FF2B5EF4-FFF2-40B4-BE49-F238E27FC236}">
                <a16:creationId xmlns:a16="http://schemas.microsoft.com/office/drawing/2014/main" id="{825EE3F3-F75D-BC69-3BDA-94A107E32762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532409" name="562 Grupo">
              <a:extLst>
                <a:ext uri="{FF2B5EF4-FFF2-40B4-BE49-F238E27FC236}">
                  <a16:creationId xmlns:a16="http://schemas.microsoft.com/office/drawing/2014/main" id="{F6435C2A-FCDA-B185-CDBE-0238216C301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19" name="1132 Conector recto">
                <a:extLst>
                  <a:ext uri="{FF2B5EF4-FFF2-40B4-BE49-F238E27FC236}">
                    <a16:creationId xmlns:a16="http://schemas.microsoft.com/office/drawing/2014/main" id="{0AE70AC4-ECD8-0E1E-FA2D-D15E898E80B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20" name="1133 Conector recto">
                <a:extLst>
                  <a:ext uri="{FF2B5EF4-FFF2-40B4-BE49-F238E27FC236}">
                    <a16:creationId xmlns:a16="http://schemas.microsoft.com/office/drawing/2014/main" id="{C3C5F4C9-5FCD-C644-F1A4-38ECF48D7EF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10" name="563 Grupo">
              <a:extLst>
                <a:ext uri="{FF2B5EF4-FFF2-40B4-BE49-F238E27FC236}">
                  <a16:creationId xmlns:a16="http://schemas.microsoft.com/office/drawing/2014/main" id="{D615CBEE-9653-59A8-E5FE-20E40DF291D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17" name="1130 Conector recto">
                <a:extLst>
                  <a:ext uri="{FF2B5EF4-FFF2-40B4-BE49-F238E27FC236}">
                    <a16:creationId xmlns:a16="http://schemas.microsoft.com/office/drawing/2014/main" id="{D35E41E9-C191-8DF2-4196-F75DB7E86CD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18" name="1131 Conector recto">
                <a:extLst>
                  <a:ext uri="{FF2B5EF4-FFF2-40B4-BE49-F238E27FC236}">
                    <a16:creationId xmlns:a16="http://schemas.microsoft.com/office/drawing/2014/main" id="{C30E96FE-3CCF-67C3-F9E6-B8C71B6300F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11" name="566 Grupo">
              <a:extLst>
                <a:ext uri="{FF2B5EF4-FFF2-40B4-BE49-F238E27FC236}">
                  <a16:creationId xmlns:a16="http://schemas.microsoft.com/office/drawing/2014/main" id="{D19CDF84-3228-4493-559E-0E70B162E4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15" name="1128 Conector recto">
                <a:extLst>
                  <a:ext uri="{FF2B5EF4-FFF2-40B4-BE49-F238E27FC236}">
                    <a16:creationId xmlns:a16="http://schemas.microsoft.com/office/drawing/2014/main" id="{35D6AB33-DBE9-3793-767C-32B4A0AAB52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16" name="1129 Conector recto">
                <a:extLst>
                  <a:ext uri="{FF2B5EF4-FFF2-40B4-BE49-F238E27FC236}">
                    <a16:creationId xmlns:a16="http://schemas.microsoft.com/office/drawing/2014/main" id="{B68E62D0-433B-2778-8684-59136B0C07B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12" name="569 Grupo">
              <a:extLst>
                <a:ext uri="{FF2B5EF4-FFF2-40B4-BE49-F238E27FC236}">
                  <a16:creationId xmlns:a16="http://schemas.microsoft.com/office/drawing/2014/main" id="{BABE3386-0662-6D7C-A220-B4D032AE0A8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13" name="1126 Conector recto">
                <a:extLst>
                  <a:ext uri="{FF2B5EF4-FFF2-40B4-BE49-F238E27FC236}">
                    <a16:creationId xmlns:a16="http://schemas.microsoft.com/office/drawing/2014/main" id="{73E9E06D-75DB-C890-8309-23473C6EE64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14" name="1127 Conector recto">
                <a:extLst>
                  <a:ext uri="{FF2B5EF4-FFF2-40B4-BE49-F238E27FC236}">
                    <a16:creationId xmlns:a16="http://schemas.microsoft.com/office/drawing/2014/main" id="{D3A20FF1-D2E5-DF81-FE4A-2D535AE6C44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396" name="612 Grupo">
            <a:extLst>
              <a:ext uri="{FF2B5EF4-FFF2-40B4-BE49-F238E27FC236}">
                <a16:creationId xmlns:a16="http://schemas.microsoft.com/office/drawing/2014/main" id="{9357ECF1-1197-F488-B178-D00CF6BAA772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532397" name="562 Grupo">
              <a:extLst>
                <a:ext uri="{FF2B5EF4-FFF2-40B4-BE49-F238E27FC236}">
                  <a16:creationId xmlns:a16="http://schemas.microsoft.com/office/drawing/2014/main" id="{DA000F9B-EED4-38AE-E9B5-CAA907E7588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07" name="1120 Conector recto">
                <a:extLst>
                  <a:ext uri="{FF2B5EF4-FFF2-40B4-BE49-F238E27FC236}">
                    <a16:creationId xmlns:a16="http://schemas.microsoft.com/office/drawing/2014/main" id="{B5D5A159-A294-B78B-9421-363A6600E271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08" name="1121 Conector recto">
                <a:extLst>
                  <a:ext uri="{FF2B5EF4-FFF2-40B4-BE49-F238E27FC236}">
                    <a16:creationId xmlns:a16="http://schemas.microsoft.com/office/drawing/2014/main" id="{F8E3FFED-1CCF-AA0C-412D-7F9BD3A57E0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98" name="563 Grupo">
              <a:extLst>
                <a:ext uri="{FF2B5EF4-FFF2-40B4-BE49-F238E27FC236}">
                  <a16:creationId xmlns:a16="http://schemas.microsoft.com/office/drawing/2014/main" id="{000A093E-437C-8A20-F22A-AF77AD42BEB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05" name="1118 Conector recto">
                <a:extLst>
                  <a:ext uri="{FF2B5EF4-FFF2-40B4-BE49-F238E27FC236}">
                    <a16:creationId xmlns:a16="http://schemas.microsoft.com/office/drawing/2014/main" id="{03C276D4-52B9-6D68-75F7-F79F0417CA3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06" name="1119 Conector recto">
                <a:extLst>
                  <a:ext uri="{FF2B5EF4-FFF2-40B4-BE49-F238E27FC236}">
                    <a16:creationId xmlns:a16="http://schemas.microsoft.com/office/drawing/2014/main" id="{C0E86581-8469-BCFA-C9E1-48D4ED65142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399" name="566 Grupo">
              <a:extLst>
                <a:ext uri="{FF2B5EF4-FFF2-40B4-BE49-F238E27FC236}">
                  <a16:creationId xmlns:a16="http://schemas.microsoft.com/office/drawing/2014/main" id="{399AFD3C-ACD2-B687-201B-2BC8392319F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03" name="1116 Conector recto">
                <a:extLst>
                  <a:ext uri="{FF2B5EF4-FFF2-40B4-BE49-F238E27FC236}">
                    <a16:creationId xmlns:a16="http://schemas.microsoft.com/office/drawing/2014/main" id="{38602F81-C09C-4BD5-897D-088C3BC7A77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04" name="1117 Conector recto">
                <a:extLst>
                  <a:ext uri="{FF2B5EF4-FFF2-40B4-BE49-F238E27FC236}">
                    <a16:creationId xmlns:a16="http://schemas.microsoft.com/office/drawing/2014/main" id="{D8525549-D8F1-C053-50B3-4A281554C24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00" name="569 Grupo">
              <a:extLst>
                <a:ext uri="{FF2B5EF4-FFF2-40B4-BE49-F238E27FC236}">
                  <a16:creationId xmlns:a16="http://schemas.microsoft.com/office/drawing/2014/main" id="{B418F4D6-F213-B56A-FB95-1DFDA55C24C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01" name="1114 Conector recto">
                <a:extLst>
                  <a:ext uri="{FF2B5EF4-FFF2-40B4-BE49-F238E27FC236}">
                    <a16:creationId xmlns:a16="http://schemas.microsoft.com/office/drawing/2014/main" id="{DCE50386-87F4-4CD9-C538-31748567C65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02" name="1115 Conector recto">
                <a:extLst>
                  <a:ext uri="{FF2B5EF4-FFF2-40B4-BE49-F238E27FC236}">
                    <a16:creationId xmlns:a16="http://schemas.microsoft.com/office/drawing/2014/main" id="{005A303C-6450-97F0-DD76-4BB74AC34FD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21</xdr:col>
      <xdr:colOff>746760</xdr:colOff>
      <xdr:row>0</xdr:row>
      <xdr:rowOff>505460</xdr:rowOff>
    </xdr:from>
    <xdr:to>
      <xdr:col>29</xdr:col>
      <xdr:colOff>711200</xdr:colOff>
      <xdr:row>25</xdr:row>
      <xdr:rowOff>137160</xdr:rowOff>
    </xdr:to>
    <xdr:grpSp>
      <xdr:nvGrpSpPr>
        <xdr:cNvPr id="532469" name="1103 Grupo">
          <a:extLst>
            <a:ext uri="{FF2B5EF4-FFF2-40B4-BE49-F238E27FC236}">
              <a16:creationId xmlns:a16="http://schemas.microsoft.com/office/drawing/2014/main" id="{941115A4-8EDC-47D2-A54C-BEA8C8FFE01E}"/>
            </a:ext>
          </a:extLst>
        </xdr:cNvPr>
        <xdr:cNvGrpSpPr>
          <a:grpSpLocks/>
        </xdr:cNvGrpSpPr>
      </xdr:nvGrpSpPr>
      <xdr:grpSpPr bwMode="auto">
        <a:xfrm>
          <a:off x="19415760" y="505460"/>
          <a:ext cx="6257085" cy="5985797"/>
          <a:chOff x="12578073" y="988919"/>
          <a:chExt cx="9678677" cy="8510681"/>
        </a:xfrm>
      </xdr:grpSpPr>
      <xdr:grpSp>
        <xdr:nvGrpSpPr>
          <xdr:cNvPr id="532470" name="410 Grupo">
            <a:extLst>
              <a:ext uri="{FF2B5EF4-FFF2-40B4-BE49-F238E27FC236}">
                <a16:creationId xmlns:a16="http://schemas.microsoft.com/office/drawing/2014/main" id="{5AA456E0-AB1A-AAA3-464D-D0FA6DFCC16E}"/>
              </a:ext>
            </a:extLst>
          </xdr:cNvPr>
          <xdr:cNvGrpSpPr>
            <a:grpSpLocks/>
          </xdr:cNvGrpSpPr>
        </xdr:nvGrpSpPr>
        <xdr:grpSpPr bwMode="auto">
          <a:xfrm>
            <a:off x="12578073" y="988919"/>
            <a:ext cx="9678677" cy="8510681"/>
            <a:chOff x="6659658" y="3011580"/>
            <a:chExt cx="3859213" cy="3443007"/>
          </a:xfrm>
        </xdr:grpSpPr>
        <xdr:grpSp>
          <xdr:nvGrpSpPr>
            <xdr:cNvPr id="532536" name="Group 1078">
              <a:extLst>
                <a:ext uri="{FF2B5EF4-FFF2-40B4-BE49-F238E27FC236}">
                  <a16:creationId xmlns:a16="http://schemas.microsoft.com/office/drawing/2014/main" id="{D9E9E12A-0ED5-3100-0D86-5B29374239D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659658" y="3011580"/>
              <a:ext cx="3859213" cy="3443007"/>
              <a:chOff x="394" y="56"/>
              <a:chExt cx="121" cy="99"/>
            </a:xfrm>
          </xdr:grpSpPr>
          <xdr:sp macro="" textlink="">
            <xdr:nvSpPr>
              <xdr:cNvPr id="532538" name="Rectangle 1079">
                <a:extLst>
                  <a:ext uri="{FF2B5EF4-FFF2-40B4-BE49-F238E27FC236}">
                    <a16:creationId xmlns:a16="http://schemas.microsoft.com/office/drawing/2014/main" id="{5076FD9D-261A-8EC4-761F-76C29F7CD0B1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4" y="56"/>
                <a:ext cx="121" cy="99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539" name="Rectangle 1080">
                <a:extLst>
                  <a:ext uri="{FF2B5EF4-FFF2-40B4-BE49-F238E27FC236}">
                    <a16:creationId xmlns:a16="http://schemas.microsoft.com/office/drawing/2014/main" id="{10F48BDB-E716-52FD-9F64-34584136BCC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540" name="Rectangle 1081">
                <a:extLst>
                  <a:ext uri="{FF2B5EF4-FFF2-40B4-BE49-F238E27FC236}">
                    <a16:creationId xmlns:a16="http://schemas.microsoft.com/office/drawing/2014/main" id="{61BB71C1-2575-BFB3-D169-CC1D4623935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32541" name="Rectangle 1082">
                <a:extLst>
                  <a:ext uri="{FF2B5EF4-FFF2-40B4-BE49-F238E27FC236}">
                    <a16:creationId xmlns:a16="http://schemas.microsoft.com/office/drawing/2014/main" id="{293397F7-4035-A844-A77A-C435503C57A2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21" y="59"/>
                <a:ext cx="24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32542" name="Rectangle 1083">
                <a:extLst>
                  <a:ext uri="{FF2B5EF4-FFF2-40B4-BE49-F238E27FC236}">
                    <a16:creationId xmlns:a16="http://schemas.microsoft.com/office/drawing/2014/main" id="{4B075758-68EB-C505-26C7-7B5D2232935F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45" y="59"/>
                <a:ext cx="23" cy="94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  <xdr:txBody>
              <a:bodyPr/>
              <a:lstStyle/>
              <a:p>
                <a:endParaRPr lang="es-BO"/>
              </a:p>
            </xdr:txBody>
          </xdr:sp>
          <xdr:sp macro="" textlink="">
            <xdr:nvSpPr>
              <xdr:cNvPr id="532543" name="Rectangle 1086">
                <a:extLst>
                  <a:ext uri="{FF2B5EF4-FFF2-40B4-BE49-F238E27FC236}">
                    <a16:creationId xmlns:a16="http://schemas.microsoft.com/office/drawing/2014/main" id="{EB260602-3B87-0D36-02AE-F54C6C88397E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59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544" name="Rectangle 1087">
                <a:extLst>
                  <a:ext uri="{FF2B5EF4-FFF2-40B4-BE49-F238E27FC236}">
                    <a16:creationId xmlns:a16="http://schemas.microsoft.com/office/drawing/2014/main" id="{6ACBA617-EDBF-A745-DF31-4E59121BC256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137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545" name="Rectangle 1088">
                <a:extLst>
                  <a:ext uri="{FF2B5EF4-FFF2-40B4-BE49-F238E27FC236}">
                    <a16:creationId xmlns:a16="http://schemas.microsoft.com/office/drawing/2014/main" id="{850F9863-867B-1130-6C34-26DAF3B7C5C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75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546" name="Rectangle 1089">
                <a:extLst>
                  <a:ext uri="{FF2B5EF4-FFF2-40B4-BE49-F238E27FC236}">
                    <a16:creationId xmlns:a16="http://schemas.microsoft.com/office/drawing/2014/main" id="{6AEBD0DC-E13E-204D-EA0F-A3B9A48FD903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7" y="91"/>
                <a:ext cx="115" cy="16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  <xdr:sp macro="" textlink="">
            <xdr:nvSpPr>
              <xdr:cNvPr id="532547" name="Rectangle 1093">
                <a:extLst>
                  <a:ext uri="{FF2B5EF4-FFF2-40B4-BE49-F238E27FC236}">
                    <a16:creationId xmlns:a16="http://schemas.microsoft.com/office/drawing/2014/main" id="{C1172297-27D7-3372-AF05-6E1B178F355C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491" y="59"/>
                <a:ext cx="21" cy="94"/>
              </a:xfrm>
              <a:prstGeom prst="rect">
                <a:avLst/>
              </a:prstGeom>
              <a:noFill/>
              <a:ln w="9525">
                <a:solidFill>
                  <a:srgbClr val="000000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</xdr:sp>
        </xdr:grpSp>
        <xdr:sp macro="" textlink="">
          <xdr:nvSpPr>
            <xdr:cNvPr id="532537" name="Rectangle 1087">
              <a:extLst>
                <a:ext uri="{FF2B5EF4-FFF2-40B4-BE49-F238E27FC236}">
                  <a16:creationId xmlns:a16="http://schemas.microsoft.com/office/drawing/2014/main" id="{409D79EE-4A29-2F7A-A9AB-FE4B774E69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745226" y="5297606"/>
              <a:ext cx="3672128" cy="527247"/>
            </a:xfrm>
            <a:prstGeom prst="rect">
              <a:avLst/>
            </a:prstGeom>
            <a:noFill/>
            <a:ln w="952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</xdr:grpSp>
      <xdr:grpSp>
        <xdr:nvGrpSpPr>
          <xdr:cNvPr id="532471" name="572 Grupo">
            <a:extLst>
              <a:ext uri="{FF2B5EF4-FFF2-40B4-BE49-F238E27FC236}">
                <a16:creationId xmlns:a16="http://schemas.microsoft.com/office/drawing/2014/main" id="{62F33AD4-1A45-E6BA-2AE3-3333312A8E4F}"/>
              </a:ext>
            </a:extLst>
          </xdr:cNvPr>
          <xdr:cNvGrpSpPr>
            <a:grpSpLocks/>
          </xdr:cNvGrpSpPr>
        </xdr:nvGrpSpPr>
        <xdr:grpSpPr bwMode="auto">
          <a:xfrm>
            <a:off x="14588195" y="5241471"/>
            <a:ext cx="5901863" cy="266248"/>
            <a:chOff x="14424932" y="5391150"/>
            <a:chExt cx="5829300" cy="270783"/>
          </a:xfrm>
        </xdr:grpSpPr>
        <xdr:grpSp>
          <xdr:nvGrpSpPr>
            <xdr:cNvPr id="532524" name="562 Grupo">
              <a:extLst>
                <a:ext uri="{FF2B5EF4-FFF2-40B4-BE49-F238E27FC236}">
                  <a16:creationId xmlns:a16="http://schemas.microsoft.com/office/drawing/2014/main" id="{0B27B748-0AAE-6595-34CA-06FD7F95AC6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34" name="1168 Conector recto">
                <a:extLst>
                  <a:ext uri="{FF2B5EF4-FFF2-40B4-BE49-F238E27FC236}">
                    <a16:creationId xmlns:a16="http://schemas.microsoft.com/office/drawing/2014/main" id="{7E80EFD7-8870-7204-4735-1A9AEEC5E89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35" name="1169 Conector recto">
                <a:extLst>
                  <a:ext uri="{FF2B5EF4-FFF2-40B4-BE49-F238E27FC236}">
                    <a16:creationId xmlns:a16="http://schemas.microsoft.com/office/drawing/2014/main" id="{39B9A724-EE38-0F00-5B83-8F75F987DBC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25" name="563 Grupo">
              <a:extLst>
                <a:ext uri="{FF2B5EF4-FFF2-40B4-BE49-F238E27FC236}">
                  <a16:creationId xmlns:a16="http://schemas.microsoft.com/office/drawing/2014/main" id="{B41506F1-FDBD-21F3-EADF-BC1966484FF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32" name="1166 Conector recto">
                <a:extLst>
                  <a:ext uri="{FF2B5EF4-FFF2-40B4-BE49-F238E27FC236}">
                    <a16:creationId xmlns:a16="http://schemas.microsoft.com/office/drawing/2014/main" id="{87A2BCA7-3D1C-2835-0078-514C5C1CFB2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33" name="1167 Conector recto">
                <a:extLst>
                  <a:ext uri="{FF2B5EF4-FFF2-40B4-BE49-F238E27FC236}">
                    <a16:creationId xmlns:a16="http://schemas.microsoft.com/office/drawing/2014/main" id="{443201C7-769E-EDE5-15AE-70F853FC57F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26" name="566 Grupo">
              <a:extLst>
                <a:ext uri="{FF2B5EF4-FFF2-40B4-BE49-F238E27FC236}">
                  <a16:creationId xmlns:a16="http://schemas.microsoft.com/office/drawing/2014/main" id="{EB52569F-940A-3488-5A14-7EBB3D5AA74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30" name="1164 Conector recto">
                <a:extLst>
                  <a:ext uri="{FF2B5EF4-FFF2-40B4-BE49-F238E27FC236}">
                    <a16:creationId xmlns:a16="http://schemas.microsoft.com/office/drawing/2014/main" id="{BC9B8295-81CB-8439-481E-9C2E7D6C1B2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31" name="1165 Conector recto">
                <a:extLst>
                  <a:ext uri="{FF2B5EF4-FFF2-40B4-BE49-F238E27FC236}">
                    <a16:creationId xmlns:a16="http://schemas.microsoft.com/office/drawing/2014/main" id="{EF33F9CE-7A11-D142-5E62-EA69FEDA124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27" name="569 Grupo">
              <a:extLst>
                <a:ext uri="{FF2B5EF4-FFF2-40B4-BE49-F238E27FC236}">
                  <a16:creationId xmlns:a16="http://schemas.microsoft.com/office/drawing/2014/main" id="{DC01D439-5757-8193-F567-2A2362ACBF0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28" name="1162 Conector recto">
                <a:extLst>
                  <a:ext uri="{FF2B5EF4-FFF2-40B4-BE49-F238E27FC236}">
                    <a16:creationId xmlns:a16="http://schemas.microsoft.com/office/drawing/2014/main" id="{EAB706EE-CF01-3246-2784-62DF2443051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29" name="1163 Conector recto">
                <a:extLst>
                  <a:ext uri="{FF2B5EF4-FFF2-40B4-BE49-F238E27FC236}">
                    <a16:creationId xmlns:a16="http://schemas.microsoft.com/office/drawing/2014/main" id="{34E12E4C-96B2-AEA3-922B-52C95E5DEA9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472" name="573 Grupo">
            <a:extLst>
              <a:ext uri="{FF2B5EF4-FFF2-40B4-BE49-F238E27FC236}">
                <a16:creationId xmlns:a16="http://schemas.microsoft.com/office/drawing/2014/main" id="{DC82B45A-96CC-205D-61C9-E686F405D129}"/>
              </a:ext>
            </a:extLst>
          </xdr:cNvPr>
          <xdr:cNvGrpSpPr>
            <a:grpSpLocks/>
          </xdr:cNvGrpSpPr>
        </xdr:nvGrpSpPr>
        <xdr:grpSpPr bwMode="auto">
          <a:xfrm>
            <a:off x="14590917" y="6505041"/>
            <a:ext cx="5901863" cy="261708"/>
            <a:chOff x="14424932" y="5391150"/>
            <a:chExt cx="5829300" cy="270783"/>
          </a:xfrm>
        </xdr:grpSpPr>
        <xdr:grpSp>
          <xdr:nvGrpSpPr>
            <xdr:cNvPr id="532512" name="562 Grupo">
              <a:extLst>
                <a:ext uri="{FF2B5EF4-FFF2-40B4-BE49-F238E27FC236}">
                  <a16:creationId xmlns:a16="http://schemas.microsoft.com/office/drawing/2014/main" id="{0B5E2AEE-2B2A-850C-D08F-E87D6829B8E1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22" name="1156 Conector recto">
                <a:extLst>
                  <a:ext uri="{FF2B5EF4-FFF2-40B4-BE49-F238E27FC236}">
                    <a16:creationId xmlns:a16="http://schemas.microsoft.com/office/drawing/2014/main" id="{C6C35750-427E-27FF-804D-9ACCBEB5320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23" name="1157 Conector recto">
                <a:extLst>
                  <a:ext uri="{FF2B5EF4-FFF2-40B4-BE49-F238E27FC236}">
                    <a16:creationId xmlns:a16="http://schemas.microsoft.com/office/drawing/2014/main" id="{8B3CFAF3-CF25-DB20-AD69-E68241F7574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13" name="563 Grupo">
              <a:extLst>
                <a:ext uri="{FF2B5EF4-FFF2-40B4-BE49-F238E27FC236}">
                  <a16:creationId xmlns:a16="http://schemas.microsoft.com/office/drawing/2014/main" id="{05983C09-2D85-C6ED-119E-0438C1DA252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20" name="1154 Conector recto">
                <a:extLst>
                  <a:ext uri="{FF2B5EF4-FFF2-40B4-BE49-F238E27FC236}">
                    <a16:creationId xmlns:a16="http://schemas.microsoft.com/office/drawing/2014/main" id="{70CD4511-25F9-797D-46E6-AC53ED21755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21" name="1155 Conector recto">
                <a:extLst>
                  <a:ext uri="{FF2B5EF4-FFF2-40B4-BE49-F238E27FC236}">
                    <a16:creationId xmlns:a16="http://schemas.microsoft.com/office/drawing/2014/main" id="{03D6B9CD-C408-C57A-DE2A-5DD33373CF3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14" name="566 Grupo">
              <a:extLst>
                <a:ext uri="{FF2B5EF4-FFF2-40B4-BE49-F238E27FC236}">
                  <a16:creationId xmlns:a16="http://schemas.microsoft.com/office/drawing/2014/main" id="{0D435705-B438-A28C-8EFC-4688842BB8C8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18" name="1152 Conector recto">
                <a:extLst>
                  <a:ext uri="{FF2B5EF4-FFF2-40B4-BE49-F238E27FC236}">
                    <a16:creationId xmlns:a16="http://schemas.microsoft.com/office/drawing/2014/main" id="{0A812E69-DF35-3FD9-2586-1BB93386E8EE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19" name="1153 Conector recto">
                <a:extLst>
                  <a:ext uri="{FF2B5EF4-FFF2-40B4-BE49-F238E27FC236}">
                    <a16:creationId xmlns:a16="http://schemas.microsoft.com/office/drawing/2014/main" id="{26DCA502-3EBB-0562-2C74-C12D59C15D3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15" name="569 Grupo">
              <a:extLst>
                <a:ext uri="{FF2B5EF4-FFF2-40B4-BE49-F238E27FC236}">
                  <a16:creationId xmlns:a16="http://schemas.microsoft.com/office/drawing/2014/main" id="{B705F276-BB0F-0FE8-1C33-4ADAA0A6192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16" name="1150 Conector recto">
                <a:extLst>
                  <a:ext uri="{FF2B5EF4-FFF2-40B4-BE49-F238E27FC236}">
                    <a16:creationId xmlns:a16="http://schemas.microsoft.com/office/drawing/2014/main" id="{B29894C4-BF3B-79AA-B56C-8B63D6BDEDBF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17" name="1151 Conector recto">
                <a:extLst>
                  <a:ext uri="{FF2B5EF4-FFF2-40B4-BE49-F238E27FC236}">
                    <a16:creationId xmlns:a16="http://schemas.microsoft.com/office/drawing/2014/main" id="{EECCB45F-5FAC-0CA2-0556-5CC1F3856CD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473" name="586 Grupo">
            <a:extLst>
              <a:ext uri="{FF2B5EF4-FFF2-40B4-BE49-F238E27FC236}">
                <a16:creationId xmlns:a16="http://schemas.microsoft.com/office/drawing/2014/main" id="{48688CC3-E192-2CB9-465E-02B20C266451}"/>
              </a:ext>
            </a:extLst>
          </xdr:cNvPr>
          <xdr:cNvGrpSpPr>
            <a:grpSpLocks/>
          </xdr:cNvGrpSpPr>
        </xdr:nvGrpSpPr>
        <xdr:grpSpPr bwMode="auto">
          <a:xfrm>
            <a:off x="14586835" y="3865710"/>
            <a:ext cx="5901863" cy="261707"/>
            <a:chOff x="14424932" y="5391150"/>
            <a:chExt cx="5829300" cy="270783"/>
          </a:xfrm>
        </xdr:grpSpPr>
        <xdr:grpSp>
          <xdr:nvGrpSpPr>
            <xdr:cNvPr id="532500" name="562 Grupo">
              <a:extLst>
                <a:ext uri="{FF2B5EF4-FFF2-40B4-BE49-F238E27FC236}">
                  <a16:creationId xmlns:a16="http://schemas.microsoft.com/office/drawing/2014/main" id="{4F8CF6FA-8065-B753-4C80-66DD4B34052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10" name="1144 Conector recto">
                <a:extLst>
                  <a:ext uri="{FF2B5EF4-FFF2-40B4-BE49-F238E27FC236}">
                    <a16:creationId xmlns:a16="http://schemas.microsoft.com/office/drawing/2014/main" id="{C4A4DC3E-A810-662E-04D1-00B399D45B8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11" name="1145 Conector recto">
                <a:extLst>
                  <a:ext uri="{FF2B5EF4-FFF2-40B4-BE49-F238E27FC236}">
                    <a16:creationId xmlns:a16="http://schemas.microsoft.com/office/drawing/2014/main" id="{9F16E2D4-AE8C-698D-73DE-AFC841C7BA7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01" name="563 Grupo">
              <a:extLst>
                <a:ext uri="{FF2B5EF4-FFF2-40B4-BE49-F238E27FC236}">
                  <a16:creationId xmlns:a16="http://schemas.microsoft.com/office/drawing/2014/main" id="{7591FC7F-39B3-C635-C324-6F833E22AB0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08" name="1142 Conector recto">
                <a:extLst>
                  <a:ext uri="{FF2B5EF4-FFF2-40B4-BE49-F238E27FC236}">
                    <a16:creationId xmlns:a16="http://schemas.microsoft.com/office/drawing/2014/main" id="{FF1107D6-09B2-C051-6238-209E1EFCFA5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09" name="1143 Conector recto">
                <a:extLst>
                  <a:ext uri="{FF2B5EF4-FFF2-40B4-BE49-F238E27FC236}">
                    <a16:creationId xmlns:a16="http://schemas.microsoft.com/office/drawing/2014/main" id="{196DB8CA-B710-A567-5528-1A08D91349A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02" name="566 Grupo">
              <a:extLst>
                <a:ext uri="{FF2B5EF4-FFF2-40B4-BE49-F238E27FC236}">
                  <a16:creationId xmlns:a16="http://schemas.microsoft.com/office/drawing/2014/main" id="{B1432B88-4667-10AC-B2DC-3E3C878FA89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06" name="1140 Conector recto">
                <a:extLst>
                  <a:ext uri="{FF2B5EF4-FFF2-40B4-BE49-F238E27FC236}">
                    <a16:creationId xmlns:a16="http://schemas.microsoft.com/office/drawing/2014/main" id="{77CFA031-BBFB-BDAF-705A-64F4C8C25559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07" name="1141 Conector recto">
                <a:extLst>
                  <a:ext uri="{FF2B5EF4-FFF2-40B4-BE49-F238E27FC236}">
                    <a16:creationId xmlns:a16="http://schemas.microsoft.com/office/drawing/2014/main" id="{A71EEABC-4A07-454B-3C04-EC3574B8EEA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503" name="569 Grupo">
              <a:extLst>
                <a:ext uri="{FF2B5EF4-FFF2-40B4-BE49-F238E27FC236}">
                  <a16:creationId xmlns:a16="http://schemas.microsoft.com/office/drawing/2014/main" id="{840D8D59-F82D-9E40-EFD6-96036F0CDA3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504" name="1138 Conector recto">
                <a:extLst>
                  <a:ext uri="{FF2B5EF4-FFF2-40B4-BE49-F238E27FC236}">
                    <a16:creationId xmlns:a16="http://schemas.microsoft.com/office/drawing/2014/main" id="{9AF2D05F-354C-2D1E-ACE7-3190D176A1F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505" name="1139 Conector recto">
                <a:extLst>
                  <a:ext uri="{FF2B5EF4-FFF2-40B4-BE49-F238E27FC236}">
                    <a16:creationId xmlns:a16="http://schemas.microsoft.com/office/drawing/2014/main" id="{928AD119-190E-BC70-FF4C-3722EFA591FC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474" name="599 Grupo">
            <a:extLst>
              <a:ext uri="{FF2B5EF4-FFF2-40B4-BE49-F238E27FC236}">
                <a16:creationId xmlns:a16="http://schemas.microsoft.com/office/drawing/2014/main" id="{73A3520F-C03D-D3AA-B34B-93F788932435}"/>
              </a:ext>
            </a:extLst>
          </xdr:cNvPr>
          <xdr:cNvGrpSpPr>
            <a:grpSpLocks/>
          </xdr:cNvGrpSpPr>
        </xdr:nvGrpSpPr>
        <xdr:grpSpPr bwMode="auto">
          <a:xfrm>
            <a:off x="14596360" y="2494110"/>
            <a:ext cx="5901863" cy="261708"/>
            <a:chOff x="14424932" y="5391150"/>
            <a:chExt cx="5829300" cy="270783"/>
          </a:xfrm>
        </xdr:grpSpPr>
        <xdr:grpSp>
          <xdr:nvGrpSpPr>
            <xdr:cNvPr id="532488" name="562 Grupo">
              <a:extLst>
                <a:ext uri="{FF2B5EF4-FFF2-40B4-BE49-F238E27FC236}">
                  <a16:creationId xmlns:a16="http://schemas.microsoft.com/office/drawing/2014/main" id="{D145B456-5852-60CD-903E-8EAF0E3CE1E2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98" name="1132 Conector recto">
                <a:extLst>
                  <a:ext uri="{FF2B5EF4-FFF2-40B4-BE49-F238E27FC236}">
                    <a16:creationId xmlns:a16="http://schemas.microsoft.com/office/drawing/2014/main" id="{786822FE-E17B-A78F-680B-13B98B26ACD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99" name="1133 Conector recto">
                <a:extLst>
                  <a:ext uri="{FF2B5EF4-FFF2-40B4-BE49-F238E27FC236}">
                    <a16:creationId xmlns:a16="http://schemas.microsoft.com/office/drawing/2014/main" id="{6C5F966D-DA72-5F5A-8AE9-12AFC27CF0B2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89" name="563 Grupo">
              <a:extLst>
                <a:ext uri="{FF2B5EF4-FFF2-40B4-BE49-F238E27FC236}">
                  <a16:creationId xmlns:a16="http://schemas.microsoft.com/office/drawing/2014/main" id="{89284475-8F83-4515-A15C-E572E4FDD26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96" name="1130 Conector recto">
                <a:extLst>
                  <a:ext uri="{FF2B5EF4-FFF2-40B4-BE49-F238E27FC236}">
                    <a16:creationId xmlns:a16="http://schemas.microsoft.com/office/drawing/2014/main" id="{8A7A0962-53C6-70B2-92B2-74C7FDE5F113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97" name="1131 Conector recto">
                <a:extLst>
                  <a:ext uri="{FF2B5EF4-FFF2-40B4-BE49-F238E27FC236}">
                    <a16:creationId xmlns:a16="http://schemas.microsoft.com/office/drawing/2014/main" id="{B521064D-95AA-0F6C-D45B-B5C18A2F6FD5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90" name="566 Grupo">
              <a:extLst>
                <a:ext uri="{FF2B5EF4-FFF2-40B4-BE49-F238E27FC236}">
                  <a16:creationId xmlns:a16="http://schemas.microsoft.com/office/drawing/2014/main" id="{DFE2FCA1-BF3A-5E8B-2C3C-46C05F94FD25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94" name="1128 Conector recto">
                <a:extLst>
                  <a:ext uri="{FF2B5EF4-FFF2-40B4-BE49-F238E27FC236}">
                    <a16:creationId xmlns:a16="http://schemas.microsoft.com/office/drawing/2014/main" id="{F0E0601E-5899-3DD7-3649-6F9E7195434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95" name="1129 Conector recto">
                <a:extLst>
                  <a:ext uri="{FF2B5EF4-FFF2-40B4-BE49-F238E27FC236}">
                    <a16:creationId xmlns:a16="http://schemas.microsoft.com/office/drawing/2014/main" id="{A25B6507-B7A8-E6F4-F361-BF4B35293288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91" name="569 Grupo">
              <a:extLst>
                <a:ext uri="{FF2B5EF4-FFF2-40B4-BE49-F238E27FC236}">
                  <a16:creationId xmlns:a16="http://schemas.microsoft.com/office/drawing/2014/main" id="{18FF1C5C-8A9A-BC5D-B818-2A47181F2E89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92" name="1126 Conector recto">
                <a:extLst>
                  <a:ext uri="{FF2B5EF4-FFF2-40B4-BE49-F238E27FC236}">
                    <a16:creationId xmlns:a16="http://schemas.microsoft.com/office/drawing/2014/main" id="{946EA637-A70C-3C23-D5F1-CD1E3B882D7A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93" name="1127 Conector recto">
                <a:extLst>
                  <a:ext uri="{FF2B5EF4-FFF2-40B4-BE49-F238E27FC236}">
                    <a16:creationId xmlns:a16="http://schemas.microsoft.com/office/drawing/2014/main" id="{A9DFC2E0-E36A-B77D-418C-76FC0F8C969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  <xdr:grpSp>
        <xdr:nvGrpSpPr>
          <xdr:cNvPr id="532475" name="612 Grupo">
            <a:extLst>
              <a:ext uri="{FF2B5EF4-FFF2-40B4-BE49-F238E27FC236}">
                <a16:creationId xmlns:a16="http://schemas.microsoft.com/office/drawing/2014/main" id="{9886B583-2198-AFD8-36E4-3D3809CED46E}"/>
              </a:ext>
            </a:extLst>
          </xdr:cNvPr>
          <xdr:cNvGrpSpPr>
            <a:grpSpLocks/>
          </xdr:cNvGrpSpPr>
        </xdr:nvGrpSpPr>
        <xdr:grpSpPr bwMode="auto">
          <a:xfrm>
            <a:off x="14585474" y="7805965"/>
            <a:ext cx="5901863" cy="266247"/>
            <a:chOff x="14424932" y="5391150"/>
            <a:chExt cx="5829300" cy="270783"/>
          </a:xfrm>
        </xdr:grpSpPr>
        <xdr:grpSp>
          <xdr:nvGrpSpPr>
            <xdr:cNvPr id="532476" name="562 Grupo">
              <a:extLst>
                <a:ext uri="{FF2B5EF4-FFF2-40B4-BE49-F238E27FC236}">
                  <a16:creationId xmlns:a16="http://schemas.microsoft.com/office/drawing/2014/main" id="{D080A712-D022-6CED-64A1-CAFE19FF03DB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9968482" y="539523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86" name="1120 Conector recto">
                <a:extLst>
                  <a:ext uri="{FF2B5EF4-FFF2-40B4-BE49-F238E27FC236}">
                    <a16:creationId xmlns:a16="http://schemas.microsoft.com/office/drawing/2014/main" id="{9ECBE852-5A46-67B2-7810-A108545E487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87" name="1121 Conector recto">
                <a:extLst>
                  <a:ext uri="{FF2B5EF4-FFF2-40B4-BE49-F238E27FC236}">
                    <a16:creationId xmlns:a16="http://schemas.microsoft.com/office/drawing/2014/main" id="{F64BB33F-4A14-629C-AD19-6D50856F0D3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77" name="563 Grupo">
              <a:extLst>
                <a:ext uri="{FF2B5EF4-FFF2-40B4-BE49-F238E27FC236}">
                  <a16:creationId xmlns:a16="http://schemas.microsoft.com/office/drawing/2014/main" id="{34384215-6C2C-6D11-8D0E-00F6307D5A9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8147847" y="5391150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84" name="1118 Conector recto">
                <a:extLst>
                  <a:ext uri="{FF2B5EF4-FFF2-40B4-BE49-F238E27FC236}">
                    <a16:creationId xmlns:a16="http://schemas.microsoft.com/office/drawing/2014/main" id="{67E31BD5-A40A-3032-30B2-3B4E1F07FCF4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85" name="1119 Conector recto">
                <a:extLst>
                  <a:ext uri="{FF2B5EF4-FFF2-40B4-BE49-F238E27FC236}">
                    <a16:creationId xmlns:a16="http://schemas.microsoft.com/office/drawing/2014/main" id="{6B944553-BBB8-1C59-9753-71D2C05B98DD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78" name="566 Grupo">
              <a:extLst>
                <a:ext uri="{FF2B5EF4-FFF2-40B4-BE49-F238E27FC236}">
                  <a16:creationId xmlns:a16="http://schemas.microsoft.com/office/drawing/2014/main" id="{55704268-D59B-0E54-FAE6-F45D8E9B0B9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320407" y="5393872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82" name="1116 Conector recto">
                <a:extLst>
                  <a:ext uri="{FF2B5EF4-FFF2-40B4-BE49-F238E27FC236}">
                    <a16:creationId xmlns:a16="http://schemas.microsoft.com/office/drawing/2014/main" id="{46D64567-DF3B-DE13-4620-3AC175F9B756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83" name="1117 Conector recto">
                <a:extLst>
                  <a:ext uri="{FF2B5EF4-FFF2-40B4-BE49-F238E27FC236}">
                    <a16:creationId xmlns:a16="http://schemas.microsoft.com/office/drawing/2014/main" id="{4A9CFB5C-3FDD-A533-2100-5FB713ACD4B7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532479" name="569 Grupo">
              <a:extLst>
                <a:ext uri="{FF2B5EF4-FFF2-40B4-BE49-F238E27FC236}">
                  <a16:creationId xmlns:a16="http://schemas.microsoft.com/office/drawing/2014/main" id="{A719BBD3-C099-746F-B104-1087570C427A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4424932" y="5396593"/>
              <a:ext cx="285750" cy="265340"/>
              <a:chOff x="22329321" y="5395232"/>
              <a:chExt cx="285750" cy="265340"/>
            </a:xfrm>
          </xdr:grpSpPr>
          <xdr:cxnSp macro="">
            <xdr:nvCxnSpPr>
              <xdr:cNvPr id="532480" name="1114 Conector recto">
                <a:extLst>
                  <a:ext uri="{FF2B5EF4-FFF2-40B4-BE49-F238E27FC236}">
                    <a16:creationId xmlns:a16="http://schemas.microsoft.com/office/drawing/2014/main" id="{98D7409F-3D08-8A14-399B-37A7843A2B90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>
                <a:off x="22329321" y="5395232"/>
                <a:ext cx="285750" cy="265339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532481" name="1115 Conector recto">
                <a:extLst>
                  <a:ext uri="{FF2B5EF4-FFF2-40B4-BE49-F238E27FC236}">
                    <a16:creationId xmlns:a16="http://schemas.microsoft.com/office/drawing/2014/main" id="{8DB50CE0-F5F2-CDE2-1453-8E49A9C30DAB}"/>
                  </a:ext>
                </a:extLst>
              </xdr:cNvPr>
              <xdr:cNvCxnSpPr>
                <a:cxnSpLocks noChangeShapeType="1"/>
              </xdr:cNvCxnSpPr>
            </xdr:nvCxnSpPr>
            <xdr:spPr bwMode="auto">
              <a:xfrm rot="5400000" flipH="1" flipV="1">
                <a:off x="22342930" y="5395235"/>
                <a:ext cx="265338" cy="265335"/>
              </a:xfrm>
              <a:prstGeom prst="line">
                <a:avLst/>
              </a:prstGeom>
              <a:noFill/>
              <a:ln w="15875" algn="ctr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</xdr:grpSp>
    </xdr:grpSp>
    <xdr:clientData/>
  </xdr:twoCellAnchor>
  <xdr:twoCellAnchor>
    <xdr:from>
      <xdr:col>23</xdr:col>
      <xdr:colOff>426720</xdr:colOff>
      <xdr:row>2</xdr:row>
      <xdr:rowOff>350520</xdr:rowOff>
    </xdr:from>
    <xdr:to>
      <xdr:col>23</xdr:col>
      <xdr:colOff>716280</xdr:colOff>
      <xdr:row>2</xdr:row>
      <xdr:rowOff>670560</xdr:rowOff>
    </xdr:to>
    <xdr:sp macro="" textlink="">
      <xdr:nvSpPr>
        <xdr:cNvPr id="532548" name="Rectángulo 532547">
          <a:extLst>
            <a:ext uri="{FF2B5EF4-FFF2-40B4-BE49-F238E27FC236}">
              <a16:creationId xmlns:a16="http://schemas.microsoft.com/office/drawing/2014/main" id="{A4BAB0D2-5182-4083-A152-E66DB1D312BC}"/>
            </a:ext>
          </a:extLst>
        </xdr:cNvPr>
        <xdr:cNvSpPr/>
      </xdr:nvSpPr>
      <xdr:spPr bwMode="auto">
        <a:xfrm>
          <a:off x="20787360" y="149352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411480</xdr:colOff>
      <xdr:row>19</xdr:row>
      <xdr:rowOff>15240</xdr:rowOff>
    </xdr:from>
    <xdr:to>
      <xdr:col>23</xdr:col>
      <xdr:colOff>701040</xdr:colOff>
      <xdr:row>20</xdr:row>
      <xdr:rowOff>137160</xdr:rowOff>
    </xdr:to>
    <xdr:sp macro="" textlink="">
      <xdr:nvSpPr>
        <xdr:cNvPr id="532549" name="Rectángulo 532548">
          <a:extLst>
            <a:ext uri="{FF2B5EF4-FFF2-40B4-BE49-F238E27FC236}">
              <a16:creationId xmlns:a16="http://schemas.microsoft.com/office/drawing/2014/main" id="{ECA6622D-49FD-4568-8B13-3EF9A0D39246}"/>
            </a:ext>
          </a:extLst>
        </xdr:cNvPr>
        <xdr:cNvSpPr/>
      </xdr:nvSpPr>
      <xdr:spPr bwMode="auto">
        <a:xfrm>
          <a:off x="20772120" y="527304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426720</xdr:colOff>
      <xdr:row>14</xdr:row>
      <xdr:rowOff>152400</xdr:rowOff>
    </xdr:from>
    <xdr:to>
      <xdr:col>23</xdr:col>
      <xdr:colOff>716280</xdr:colOff>
      <xdr:row>16</xdr:row>
      <xdr:rowOff>15240</xdr:rowOff>
    </xdr:to>
    <xdr:sp macro="" textlink="">
      <xdr:nvSpPr>
        <xdr:cNvPr id="532550" name="Rectángulo 532549">
          <a:extLst>
            <a:ext uri="{FF2B5EF4-FFF2-40B4-BE49-F238E27FC236}">
              <a16:creationId xmlns:a16="http://schemas.microsoft.com/office/drawing/2014/main" id="{472072E5-6793-4F81-BC83-C8920FB8510C}"/>
            </a:ext>
          </a:extLst>
        </xdr:cNvPr>
        <xdr:cNvSpPr/>
      </xdr:nvSpPr>
      <xdr:spPr bwMode="auto">
        <a:xfrm>
          <a:off x="20787360" y="435864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426720</xdr:colOff>
      <xdr:row>10</xdr:row>
      <xdr:rowOff>106680</xdr:rowOff>
    </xdr:from>
    <xdr:to>
      <xdr:col>23</xdr:col>
      <xdr:colOff>716280</xdr:colOff>
      <xdr:row>12</xdr:row>
      <xdr:rowOff>15240</xdr:rowOff>
    </xdr:to>
    <xdr:sp macro="" textlink="">
      <xdr:nvSpPr>
        <xdr:cNvPr id="532551" name="Rectángulo 532550">
          <a:extLst>
            <a:ext uri="{FF2B5EF4-FFF2-40B4-BE49-F238E27FC236}">
              <a16:creationId xmlns:a16="http://schemas.microsoft.com/office/drawing/2014/main" id="{497DECB0-2B24-4852-8B66-8D9F4B5D1C2C}"/>
            </a:ext>
          </a:extLst>
        </xdr:cNvPr>
        <xdr:cNvSpPr/>
      </xdr:nvSpPr>
      <xdr:spPr bwMode="auto">
        <a:xfrm>
          <a:off x="20787360" y="347472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426720</xdr:colOff>
      <xdr:row>5</xdr:row>
      <xdr:rowOff>91440</xdr:rowOff>
    </xdr:from>
    <xdr:to>
      <xdr:col>23</xdr:col>
      <xdr:colOff>716280</xdr:colOff>
      <xdr:row>7</xdr:row>
      <xdr:rowOff>15240</xdr:rowOff>
    </xdr:to>
    <xdr:sp macro="" textlink="">
      <xdr:nvSpPr>
        <xdr:cNvPr id="532552" name="Rectángulo 532551">
          <a:extLst>
            <a:ext uri="{FF2B5EF4-FFF2-40B4-BE49-F238E27FC236}">
              <a16:creationId xmlns:a16="http://schemas.microsoft.com/office/drawing/2014/main" id="{83F5E432-98F5-4A0F-9196-35E2A97AD199}"/>
            </a:ext>
          </a:extLst>
        </xdr:cNvPr>
        <xdr:cNvSpPr/>
      </xdr:nvSpPr>
      <xdr:spPr bwMode="auto">
        <a:xfrm>
          <a:off x="20787360" y="24688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76200</xdr:colOff>
      <xdr:row>2</xdr:row>
      <xdr:rowOff>335280</xdr:rowOff>
    </xdr:from>
    <xdr:to>
      <xdr:col>25</xdr:col>
      <xdr:colOff>365760</xdr:colOff>
      <xdr:row>2</xdr:row>
      <xdr:rowOff>655320</xdr:rowOff>
    </xdr:to>
    <xdr:sp macro="" textlink="">
      <xdr:nvSpPr>
        <xdr:cNvPr id="532553" name="Rectángulo 532552">
          <a:extLst>
            <a:ext uri="{FF2B5EF4-FFF2-40B4-BE49-F238E27FC236}">
              <a16:creationId xmlns:a16="http://schemas.microsoft.com/office/drawing/2014/main" id="{A731BFBD-71DC-4919-AE9E-EA4D3491CF29}"/>
            </a:ext>
          </a:extLst>
        </xdr:cNvPr>
        <xdr:cNvSpPr/>
      </xdr:nvSpPr>
      <xdr:spPr bwMode="auto">
        <a:xfrm>
          <a:off x="22021800" y="14782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60960</xdr:colOff>
      <xdr:row>19</xdr:row>
      <xdr:rowOff>0</xdr:rowOff>
    </xdr:from>
    <xdr:to>
      <xdr:col>25</xdr:col>
      <xdr:colOff>350520</xdr:colOff>
      <xdr:row>20</xdr:row>
      <xdr:rowOff>121920</xdr:rowOff>
    </xdr:to>
    <xdr:sp macro="" textlink="">
      <xdr:nvSpPr>
        <xdr:cNvPr id="532554" name="Rectángulo 532553">
          <a:extLst>
            <a:ext uri="{FF2B5EF4-FFF2-40B4-BE49-F238E27FC236}">
              <a16:creationId xmlns:a16="http://schemas.microsoft.com/office/drawing/2014/main" id="{072E0DC6-19BD-4C9D-AA20-27D47D011FE4}"/>
            </a:ext>
          </a:extLst>
        </xdr:cNvPr>
        <xdr:cNvSpPr/>
      </xdr:nvSpPr>
      <xdr:spPr bwMode="auto">
        <a:xfrm>
          <a:off x="22006560" y="525780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76200</xdr:colOff>
      <xdr:row>14</xdr:row>
      <xdr:rowOff>137160</xdr:rowOff>
    </xdr:from>
    <xdr:to>
      <xdr:col>25</xdr:col>
      <xdr:colOff>365760</xdr:colOff>
      <xdr:row>16</xdr:row>
      <xdr:rowOff>0</xdr:rowOff>
    </xdr:to>
    <xdr:sp macro="" textlink="">
      <xdr:nvSpPr>
        <xdr:cNvPr id="532555" name="Rectángulo 532554">
          <a:extLst>
            <a:ext uri="{FF2B5EF4-FFF2-40B4-BE49-F238E27FC236}">
              <a16:creationId xmlns:a16="http://schemas.microsoft.com/office/drawing/2014/main" id="{A3CDD423-AE1F-4DE6-98E7-0FC352D3FDD2}"/>
            </a:ext>
          </a:extLst>
        </xdr:cNvPr>
        <xdr:cNvSpPr/>
      </xdr:nvSpPr>
      <xdr:spPr bwMode="auto">
        <a:xfrm>
          <a:off x="22021800" y="434340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76200</xdr:colOff>
      <xdr:row>10</xdr:row>
      <xdr:rowOff>91440</xdr:rowOff>
    </xdr:from>
    <xdr:to>
      <xdr:col>25</xdr:col>
      <xdr:colOff>365760</xdr:colOff>
      <xdr:row>12</xdr:row>
      <xdr:rowOff>0</xdr:rowOff>
    </xdr:to>
    <xdr:sp macro="" textlink="">
      <xdr:nvSpPr>
        <xdr:cNvPr id="532556" name="Rectángulo 532555">
          <a:extLst>
            <a:ext uri="{FF2B5EF4-FFF2-40B4-BE49-F238E27FC236}">
              <a16:creationId xmlns:a16="http://schemas.microsoft.com/office/drawing/2014/main" id="{C3717CF4-EE61-479E-89AB-C3D962A1A1C6}"/>
            </a:ext>
          </a:extLst>
        </xdr:cNvPr>
        <xdr:cNvSpPr/>
      </xdr:nvSpPr>
      <xdr:spPr bwMode="auto">
        <a:xfrm>
          <a:off x="22021800" y="34594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502920</xdr:colOff>
      <xdr:row>2</xdr:row>
      <xdr:rowOff>350520</xdr:rowOff>
    </xdr:from>
    <xdr:to>
      <xdr:col>27</xdr:col>
      <xdr:colOff>0</xdr:colOff>
      <xdr:row>2</xdr:row>
      <xdr:rowOff>670560</xdr:rowOff>
    </xdr:to>
    <xdr:sp macro="" textlink="">
      <xdr:nvSpPr>
        <xdr:cNvPr id="532557" name="Rectángulo 532556">
          <a:extLst>
            <a:ext uri="{FF2B5EF4-FFF2-40B4-BE49-F238E27FC236}">
              <a16:creationId xmlns:a16="http://schemas.microsoft.com/office/drawing/2014/main" id="{2BBE62B3-F01B-451D-9CE5-2BFFB6737294}"/>
            </a:ext>
          </a:extLst>
        </xdr:cNvPr>
        <xdr:cNvSpPr/>
      </xdr:nvSpPr>
      <xdr:spPr bwMode="auto">
        <a:xfrm>
          <a:off x="23241000" y="149352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487680</xdr:colOff>
      <xdr:row>19</xdr:row>
      <xdr:rowOff>15240</xdr:rowOff>
    </xdr:from>
    <xdr:to>
      <xdr:col>26</xdr:col>
      <xdr:colOff>777240</xdr:colOff>
      <xdr:row>20</xdr:row>
      <xdr:rowOff>137160</xdr:rowOff>
    </xdr:to>
    <xdr:sp macro="" textlink="">
      <xdr:nvSpPr>
        <xdr:cNvPr id="532558" name="Rectángulo 532557">
          <a:extLst>
            <a:ext uri="{FF2B5EF4-FFF2-40B4-BE49-F238E27FC236}">
              <a16:creationId xmlns:a16="http://schemas.microsoft.com/office/drawing/2014/main" id="{DE32043E-5217-44BA-ABE1-218709179840}"/>
            </a:ext>
          </a:extLst>
        </xdr:cNvPr>
        <xdr:cNvSpPr/>
      </xdr:nvSpPr>
      <xdr:spPr bwMode="auto">
        <a:xfrm>
          <a:off x="23225760" y="527304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502920</xdr:colOff>
      <xdr:row>14</xdr:row>
      <xdr:rowOff>152400</xdr:rowOff>
    </xdr:from>
    <xdr:to>
      <xdr:col>27</xdr:col>
      <xdr:colOff>0</xdr:colOff>
      <xdr:row>16</xdr:row>
      <xdr:rowOff>15240</xdr:rowOff>
    </xdr:to>
    <xdr:sp macro="" textlink="">
      <xdr:nvSpPr>
        <xdr:cNvPr id="532559" name="Rectángulo 532558">
          <a:extLst>
            <a:ext uri="{FF2B5EF4-FFF2-40B4-BE49-F238E27FC236}">
              <a16:creationId xmlns:a16="http://schemas.microsoft.com/office/drawing/2014/main" id="{B9E14135-0385-496B-B2E9-706617131EC6}"/>
            </a:ext>
          </a:extLst>
        </xdr:cNvPr>
        <xdr:cNvSpPr/>
      </xdr:nvSpPr>
      <xdr:spPr bwMode="auto">
        <a:xfrm>
          <a:off x="23241000" y="435864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502920</xdr:colOff>
      <xdr:row>10</xdr:row>
      <xdr:rowOff>106680</xdr:rowOff>
    </xdr:from>
    <xdr:to>
      <xdr:col>27</xdr:col>
      <xdr:colOff>0</xdr:colOff>
      <xdr:row>12</xdr:row>
      <xdr:rowOff>15240</xdr:rowOff>
    </xdr:to>
    <xdr:sp macro="" textlink="">
      <xdr:nvSpPr>
        <xdr:cNvPr id="532560" name="Rectángulo 532559">
          <a:extLst>
            <a:ext uri="{FF2B5EF4-FFF2-40B4-BE49-F238E27FC236}">
              <a16:creationId xmlns:a16="http://schemas.microsoft.com/office/drawing/2014/main" id="{8CFB87A3-36B0-4F62-9998-2B8372251889}"/>
            </a:ext>
          </a:extLst>
        </xdr:cNvPr>
        <xdr:cNvSpPr/>
      </xdr:nvSpPr>
      <xdr:spPr bwMode="auto">
        <a:xfrm>
          <a:off x="23241000" y="347472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121920</xdr:colOff>
      <xdr:row>2</xdr:row>
      <xdr:rowOff>365760</xdr:rowOff>
    </xdr:from>
    <xdr:to>
      <xdr:col>28</xdr:col>
      <xdr:colOff>411480</xdr:colOff>
      <xdr:row>2</xdr:row>
      <xdr:rowOff>685800</xdr:rowOff>
    </xdr:to>
    <xdr:sp macro="" textlink="">
      <xdr:nvSpPr>
        <xdr:cNvPr id="532561" name="Rectángulo 532560">
          <a:extLst>
            <a:ext uri="{FF2B5EF4-FFF2-40B4-BE49-F238E27FC236}">
              <a16:creationId xmlns:a16="http://schemas.microsoft.com/office/drawing/2014/main" id="{65C8939C-8249-425D-A5C7-D13ACEF3055A}"/>
            </a:ext>
          </a:extLst>
        </xdr:cNvPr>
        <xdr:cNvSpPr/>
      </xdr:nvSpPr>
      <xdr:spPr bwMode="auto">
        <a:xfrm>
          <a:off x="24444960" y="15087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106680</xdr:colOff>
      <xdr:row>19</xdr:row>
      <xdr:rowOff>30480</xdr:rowOff>
    </xdr:from>
    <xdr:to>
      <xdr:col>28</xdr:col>
      <xdr:colOff>396240</xdr:colOff>
      <xdr:row>20</xdr:row>
      <xdr:rowOff>152400</xdr:rowOff>
    </xdr:to>
    <xdr:sp macro="" textlink="">
      <xdr:nvSpPr>
        <xdr:cNvPr id="532562" name="Rectángulo 532561">
          <a:extLst>
            <a:ext uri="{FF2B5EF4-FFF2-40B4-BE49-F238E27FC236}">
              <a16:creationId xmlns:a16="http://schemas.microsoft.com/office/drawing/2014/main" id="{6A18AD45-389C-428C-A157-0FD3078C2B02}"/>
            </a:ext>
          </a:extLst>
        </xdr:cNvPr>
        <xdr:cNvSpPr/>
      </xdr:nvSpPr>
      <xdr:spPr bwMode="auto">
        <a:xfrm>
          <a:off x="24429720" y="52882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121920</xdr:colOff>
      <xdr:row>14</xdr:row>
      <xdr:rowOff>167640</xdr:rowOff>
    </xdr:from>
    <xdr:to>
      <xdr:col>28</xdr:col>
      <xdr:colOff>411480</xdr:colOff>
      <xdr:row>16</xdr:row>
      <xdr:rowOff>30480</xdr:rowOff>
    </xdr:to>
    <xdr:sp macro="" textlink="">
      <xdr:nvSpPr>
        <xdr:cNvPr id="532563" name="Rectángulo 532562">
          <a:extLst>
            <a:ext uri="{FF2B5EF4-FFF2-40B4-BE49-F238E27FC236}">
              <a16:creationId xmlns:a16="http://schemas.microsoft.com/office/drawing/2014/main" id="{BD95A824-5231-438F-9376-5493FCC8C1A9}"/>
            </a:ext>
          </a:extLst>
        </xdr:cNvPr>
        <xdr:cNvSpPr/>
      </xdr:nvSpPr>
      <xdr:spPr bwMode="auto">
        <a:xfrm>
          <a:off x="24444960" y="437388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121920</xdr:colOff>
      <xdr:row>10</xdr:row>
      <xdr:rowOff>121920</xdr:rowOff>
    </xdr:from>
    <xdr:to>
      <xdr:col>28</xdr:col>
      <xdr:colOff>411480</xdr:colOff>
      <xdr:row>12</xdr:row>
      <xdr:rowOff>30480</xdr:rowOff>
    </xdr:to>
    <xdr:sp macro="" textlink="">
      <xdr:nvSpPr>
        <xdr:cNvPr id="532564" name="Rectángulo 532563">
          <a:extLst>
            <a:ext uri="{FF2B5EF4-FFF2-40B4-BE49-F238E27FC236}">
              <a16:creationId xmlns:a16="http://schemas.microsoft.com/office/drawing/2014/main" id="{9D3EA01B-9C37-450C-A711-FD60EC499BF8}"/>
            </a:ext>
          </a:extLst>
        </xdr:cNvPr>
        <xdr:cNvSpPr/>
      </xdr:nvSpPr>
      <xdr:spPr bwMode="auto">
        <a:xfrm>
          <a:off x="24444960" y="34899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25</xdr:col>
      <xdr:colOff>91440</xdr:colOff>
      <xdr:row>5</xdr:row>
      <xdr:rowOff>121920</xdr:rowOff>
    </xdr:from>
    <xdr:to>
      <xdr:col>25</xdr:col>
      <xdr:colOff>381000</xdr:colOff>
      <xdr:row>7</xdr:row>
      <xdr:rowOff>45720</xdr:rowOff>
    </xdr:to>
    <xdr:sp macro="" textlink="">
      <xdr:nvSpPr>
        <xdr:cNvPr id="532565" name="Rectángulo 532564">
          <a:extLst>
            <a:ext uri="{FF2B5EF4-FFF2-40B4-BE49-F238E27FC236}">
              <a16:creationId xmlns:a16="http://schemas.microsoft.com/office/drawing/2014/main" id="{1BE156E4-E25D-4780-A8A5-26E3FE784EF3}"/>
            </a:ext>
          </a:extLst>
        </xdr:cNvPr>
        <xdr:cNvSpPr/>
      </xdr:nvSpPr>
      <xdr:spPr bwMode="auto">
        <a:xfrm>
          <a:off x="22037040" y="24993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26</xdr:col>
      <xdr:colOff>502920</xdr:colOff>
      <xdr:row>5</xdr:row>
      <xdr:rowOff>121920</xdr:rowOff>
    </xdr:from>
    <xdr:to>
      <xdr:col>27</xdr:col>
      <xdr:colOff>0</xdr:colOff>
      <xdr:row>7</xdr:row>
      <xdr:rowOff>45720</xdr:rowOff>
    </xdr:to>
    <xdr:sp macro="" textlink="">
      <xdr:nvSpPr>
        <xdr:cNvPr id="532566" name="Rectángulo 532565">
          <a:extLst>
            <a:ext uri="{FF2B5EF4-FFF2-40B4-BE49-F238E27FC236}">
              <a16:creationId xmlns:a16="http://schemas.microsoft.com/office/drawing/2014/main" id="{41BE2E17-A0C8-491F-93DD-517B678B3621}"/>
            </a:ext>
          </a:extLst>
        </xdr:cNvPr>
        <xdr:cNvSpPr/>
      </xdr:nvSpPr>
      <xdr:spPr bwMode="auto">
        <a:xfrm>
          <a:off x="23241000" y="24993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28</xdr:col>
      <xdr:colOff>121920</xdr:colOff>
      <xdr:row>5</xdr:row>
      <xdr:rowOff>121920</xdr:rowOff>
    </xdr:from>
    <xdr:to>
      <xdr:col>28</xdr:col>
      <xdr:colOff>411480</xdr:colOff>
      <xdr:row>7</xdr:row>
      <xdr:rowOff>45720</xdr:rowOff>
    </xdr:to>
    <xdr:sp macro="" textlink="">
      <xdr:nvSpPr>
        <xdr:cNvPr id="532567" name="Rectángulo 532566">
          <a:extLst>
            <a:ext uri="{FF2B5EF4-FFF2-40B4-BE49-F238E27FC236}">
              <a16:creationId xmlns:a16="http://schemas.microsoft.com/office/drawing/2014/main" id="{E8AB749B-A3B3-4A12-B3A4-A89618B93CF2}"/>
            </a:ext>
          </a:extLst>
        </xdr:cNvPr>
        <xdr:cNvSpPr/>
      </xdr:nvSpPr>
      <xdr:spPr bwMode="auto">
        <a:xfrm>
          <a:off x="24444960" y="2499360"/>
          <a:ext cx="289560" cy="320040"/>
        </a:xfrm>
        <a:prstGeom prst="rect">
          <a:avLst/>
        </a:prstGeom>
        <a:solidFill>
          <a:schemeClr val="tx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s-BO" sz="1100"/>
        </a:p>
      </xdr:txBody>
    </xdr:sp>
    <xdr:clientData/>
  </xdr:twoCellAnchor>
  <xdr:twoCellAnchor>
    <xdr:from>
      <xdr:col>23</xdr:col>
      <xdr:colOff>563320</xdr:colOff>
      <xdr:row>23</xdr:row>
      <xdr:rowOff>169333</xdr:rowOff>
    </xdr:from>
    <xdr:to>
      <xdr:col>24</xdr:col>
      <xdr:colOff>78937</xdr:colOff>
      <xdr:row>25</xdr:row>
      <xdr:rowOff>141515</xdr:rowOff>
    </xdr:to>
    <xdr:cxnSp macro="">
      <xdr:nvCxnSpPr>
        <xdr:cNvPr id="532577" name="Conector recto 532576">
          <a:extLst>
            <a:ext uri="{FF2B5EF4-FFF2-40B4-BE49-F238E27FC236}">
              <a16:creationId xmlns:a16="http://schemas.microsoft.com/office/drawing/2014/main" id="{16AD320F-DE91-617C-8507-D60507BA0461}"/>
            </a:ext>
          </a:extLst>
        </xdr:cNvPr>
        <xdr:cNvCxnSpPr/>
      </xdr:nvCxnSpPr>
      <xdr:spPr bwMode="auto">
        <a:xfrm flipV="1">
          <a:off x="20765523" y="6199072"/>
          <a:ext cx="299704" cy="310849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65314</xdr:colOff>
      <xdr:row>0</xdr:row>
      <xdr:rowOff>195943</xdr:rowOff>
    </xdr:from>
    <xdr:to>
      <xdr:col>24</xdr:col>
      <xdr:colOff>76200</xdr:colOff>
      <xdr:row>24</xdr:row>
      <xdr:rowOff>10885</xdr:rowOff>
    </xdr:to>
    <xdr:cxnSp macro="">
      <xdr:nvCxnSpPr>
        <xdr:cNvPr id="532579" name="Conector recto 532578">
          <a:extLst>
            <a:ext uri="{FF2B5EF4-FFF2-40B4-BE49-F238E27FC236}">
              <a16:creationId xmlns:a16="http://schemas.microsoft.com/office/drawing/2014/main" id="{8E89CF26-924C-9808-13C7-70BEE6B23DC9}"/>
            </a:ext>
          </a:extLst>
        </xdr:cNvPr>
        <xdr:cNvCxnSpPr/>
      </xdr:nvCxnSpPr>
      <xdr:spPr bwMode="auto">
        <a:xfrm flipH="1" flipV="1">
          <a:off x="21063857" y="195943"/>
          <a:ext cx="10886" cy="5965371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23</xdr:col>
      <xdr:colOff>566057</xdr:colOff>
      <xdr:row>0</xdr:row>
      <xdr:rowOff>195939</xdr:rowOff>
    </xdr:from>
    <xdr:to>
      <xdr:col>24</xdr:col>
      <xdr:colOff>54428</xdr:colOff>
      <xdr:row>0</xdr:row>
      <xdr:rowOff>500739</xdr:rowOff>
    </xdr:to>
    <xdr:cxnSp macro="">
      <xdr:nvCxnSpPr>
        <xdr:cNvPr id="532580" name="Conector recto 532579">
          <a:extLst>
            <a:ext uri="{FF2B5EF4-FFF2-40B4-BE49-F238E27FC236}">
              <a16:creationId xmlns:a16="http://schemas.microsoft.com/office/drawing/2014/main" id="{B00750D8-C47B-431E-BEF7-F7330C471177}"/>
            </a:ext>
          </a:extLst>
        </xdr:cNvPr>
        <xdr:cNvCxnSpPr/>
      </xdr:nvCxnSpPr>
      <xdr:spPr bwMode="auto">
        <a:xfrm flipV="1">
          <a:off x="20780828" y="195939"/>
          <a:ext cx="272143" cy="304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0</xdr:colOff>
      <xdr:row>0</xdr:row>
      <xdr:rowOff>310057</xdr:rowOff>
    </xdr:from>
    <xdr:to>
      <xdr:col>24</xdr:col>
      <xdr:colOff>66996</xdr:colOff>
      <xdr:row>0</xdr:row>
      <xdr:rowOff>393884</xdr:rowOff>
    </xdr:to>
    <xdr:cxnSp macro="">
      <xdr:nvCxnSpPr>
        <xdr:cNvPr id="532588" name="Conector recto 532587">
          <a:extLst>
            <a:ext uri="{FF2B5EF4-FFF2-40B4-BE49-F238E27FC236}">
              <a16:creationId xmlns:a16="http://schemas.microsoft.com/office/drawing/2014/main" id="{9AC4751D-5DCD-4E0E-A77C-CEAE26536B0F}"/>
            </a:ext>
          </a:extLst>
        </xdr:cNvPr>
        <xdr:cNvCxnSpPr/>
      </xdr:nvCxnSpPr>
      <xdr:spPr bwMode="auto">
        <a:xfrm flipV="1">
          <a:off x="20986290" y="310057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1472</xdr:colOff>
      <xdr:row>0</xdr:row>
      <xdr:rowOff>268725</xdr:rowOff>
    </xdr:from>
    <xdr:to>
      <xdr:col>24</xdr:col>
      <xdr:colOff>3681</xdr:colOff>
      <xdr:row>0</xdr:row>
      <xdr:rowOff>391675</xdr:rowOff>
    </xdr:to>
    <xdr:cxnSp macro="">
      <xdr:nvCxnSpPr>
        <xdr:cNvPr id="532590" name="Conector recto 532589">
          <a:extLst>
            <a:ext uri="{FF2B5EF4-FFF2-40B4-BE49-F238E27FC236}">
              <a16:creationId xmlns:a16="http://schemas.microsoft.com/office/drawing/2014/main" id="{FAD30188-824F-49E6-9824-ED322EE62050}"/>
            </a:ext>
          </a:extLst>
        </xdr:cNvPr>
        <xdr:cNvCxnSpPr/>
      </xdr:nvCxnSpPr>
      <xdr:spPr bwMode="auto">
        <a:xfrm flipV="1">
          <a:off x="20987762" y="268725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1472</xdr:colOff>
      <xdr:row>23</xdr:row>
      <xdr:rowOff>46486</xdr:rowOff>
    </xdr:from>
    <xdr:to>
      <xdr:col>24</xdr:col>
      <xdr:colOff>68468</xdr:colOff>
      <xdr:row>23</xdr:row>
      <xdr:rowOff>130313</xdr:rowOff>
    </xdr:to>
    <xdr:cxnSp macro="">
      <xdr:nvCxnSpPr>
        <xdr:cNvPr id="532593" name="Conector recto 532592">
          <a:extLst>
            <a:ext uri="{FF2B5EF4-FFF2-40B4-BE49-F238E27FC236}">
              <a16:creationId xmlns:a16="http://schemas.microsoft.com/office/drawing/2014/main" id="{B5A92700-D225-4A7A-A184-ECCF945D9488}"/>
            </a:ext>
          </a:extLst>
        </xdr:cNvPr>
        <xdr:cNvCxnSpPr/>
      </xdr:nvCxnSpPr>
      <xdr:spPr bwMode="auto">
        <a:xfrm flipV="1">
          <a:off x="20987762" y="6076225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24</xdr:col>
      <xdr:colOff>2944</xdr:colOff>
      <xdr:row>23</xdr:row>
      <xdr:rowOff>122951</xdr:rowOff>
    </xdr:from>
    <xdr:to>
      <xdr:col>24</xdr:col>
      <xdr:colOff>5153</xdr:colOff>
      <xdr:row>24</xdr:row>
      <xdr:rowOff>76568</xdr:rowOff>
    </xdr:to>
    <xdr:cxnSp macro="">
      <xdr:nvCxnSpPr>
        <xdr:cNvPr id="532594" name="Conector recto 532593">
          <a:extLst>
            <a:ext uri="{FF2B5EF4-FFF2-40B4-BE49-F238E27FC236}">
              <a16:creationId xmlns:a16="http://schemas.microsoft.com/office/drawing/2014/main" id="{9A2BAB98-89E5-4833-B801-FFCE6BDD4CBA}"/>
            </a:ext>
          </a:extLst>
        </xdr:cNvPr>
        <xdr:cNvCxnSpPr/>
      </xdr:nvCxnSpPr>
      <xdr:spPr bwMode="auto">
        <a:xfrm flipV="1">
          <a:off x="20989234" y="6152690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220098</xdr:colOff>
      <xdr:row>24</xdr:row>
      <xdr:rowOff>12170</xdr:rowOff>
    </xdr:from>
    <xdr:to>
      <xdr:col>25</xdr:col>
      <xdr:colOff>521528</xdr:colOff>
      <xdr:row>25</xdr:row>
      <xdr:rowOff>151040</xdr:rowOff>
    </xdr:to>
    <xdr:cxnSp macro="">
      <xdr:nvCxnSpPr>
        <xdr:cNvPr id="532595" name="Conector recto 532594">
          <a:extLst>
            <a:ext uri="{FF2B5EF4-FFF2-40B4-BE49-F238E27FC236}">
              <a16:creationId xmlns:a16="http://schemas.microsoft.com/office/drawing/2014/main" id="{CEF854A6-1F24-4FAE-8324-85C0019F2B24}"/>
            </a:ext>
          </a:extLst>
        </xdr:cNvPr>
        <xdr:cNvCxnSpPr/>
      </xdr:nvCxnSpPr>
      <xdr:spPr bwMode="auto">
        <a:xfrm flipV="1">
          <a:off x="22022823" y="6227233"/>
          <a:ext cx="301430" cy="30555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507905</xdr:colOff>
      <xdr:row>0</xdr:row>
      <xdr:rowOff>205468</xdr:rowOff>
    </xdr:from>
    <xdr:to>
      <xdr:col>25</xdr:col>
      <xdr:colOff>518791</xdr:colOff>
      <xdr:row>24</xdr:row>
      <xdr:rowOff>20410</xdr:rowOff>
    </xdr:to>
    <xdr:cxnSp macro="">
      <xdr:nvCxnSpPr>
        <xdr:cNvPr id="532596" name="Conector recto 532595">
          <a:extLst>
            <a:ext uri="{FF2B5EF4-FFF2-40B4-BE49-F238E27FC236}">
              <a16:creationId xmlns:a16="http://schemas.microsoft.com/office/drawing/2014/main" id="{455F639F-8C16-4920-8F39-1BF70FB2C6E2}"/>
            </a:ext>
          </a:extLst>
        </xdr:cNvPr>
        <xdr:cNvCxnSpPr/>
      </xdr:nvCxnSpPr>
      <xdr:spPr bwMode="auto">
        <a:xfrm flipH="1" flipV="1">
          <a:off x="22310630" y="205468"/>
          <a:ext cx="10886" cy="60300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222835</xdr:colOff>
      <xdr:row>0</xdr:row>
      <xdr:rowOff>205464</xdr:rowOff>
    </xdr:from>
    <xdr:to>
      <xdr:col>25</xdr:col>
      <xdr:colOff>497019</xdr:colOff>
      <xdr:row>0</xdr:row>
      <xdr:rowOff>510264</xdr:rowOff>
    </xdr:to>
    <xdr:cxnSp macro="">
      <xdr:nvCxnSpPr>
        <xdr:cNvPr id="532597" name="Conector recto 532596">
          <a:extLst>
            <a:ext uri="{FF2B5EF4-FFF2-40B4-BE49-F238E27FC236}">
              <a16:creationId xmlns:a16="http://schemas.microsoft.com/office/drawing/2014/main" id="{E4764254-7EBD-4EDF-A96B-6D0808FDB1BE}"/>
            </a:ext>
          </a:extLst>
        </xdr:cNvPr>
        <xdr:cNvCxnSpPr/>
      </xdr:nvCxnSpPr>
      <xdr:spPr bwMode="auto">
        <a:xfrm flipV="1">
          <a:off x="22025560" y="205464"/>
          <a:ext cx="274184" cy="304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442591</xdr:colOff>
      <xdr:row>0</xdr:row>
      <xdr:rowOff>319582</xdr:rowOff>
    </xdr:from>
    <xdr:to>
      <xdr:col>25</xdr:col>
      <xdr:colOff>509587</xdr:colOff>
      <xdr:row>0</xdr:row>
      <xdr:rowOff>403409</xdr:rowOff>
    </xdr:to>
    <xdr:cxnSp macro="">
      <xdr:nvCxnSpPr>
        <xdr:cNvPr id="532598" name="Conector recto 532597">
          <a:extLst>
            <a:ext uri="{FF2B5EF4-FFF2-40B4-BE49-F238E27FC236}">
              <a16:creationId xmlns:a16="http://schemas.microsoft.com/office/drawing/2014/main" id="{82481224-4B85-4FDA-A111-10B8BE7AAA36}"/>
            </a:ext>
          </a:extLst>
        </xdr:cNvPr>
        <xdr:cNvCxnSpPr/>
      </xdr:nvCxnSpPr>
      <xdr:spPr bwMode="auto">
        <a:xfrm flipV="1">
          <a:off x="22245316" y="319582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444063</xdr:colOff>
      <xdr:row>0</xdr:row>
      <xdr:rowOff>278250</xdr:rowOff>
    </xdr:from>
    <xdr:to>
      <xdr:col>25</xdr:col>
      <xdr:colOff>446272</xdr:colOff>
      <xdr:row>0</xdr:row>
      <xdr:rowOff>401200</xdr:rowOff>
    </xdr:to>
    <xdr:cxnSp macro="">
      <xdr:nvCxnSpPr>
        <xdr:cNvPr id="532599" name="Conector recto 532598">
          <a:extLst>
            <a:ext uri="{FF2B5EF4-FFF2-40B4-BE49-F238E27FC236}">
              <a16:creationId xmlns:a16="http://schemas.microsoft.com/office/drawing/2014/main" id="{247F2A4C-E012-4A1C-B041-192336CDE1F0}"/>
            </a:ext>
          </a:extLst>
        </xdr:cNvPr>
        <xdr:cNvCxnSpPr/>
      </xdr:nvCxnSpPr>
      <xdr:spPr bwMode="auto">
        <a:xfrm flipV="1">
          <a:off x="22246788" y="278250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444063</xdr:colOff>
      <xdr:row>23</xdr:row>
      <xdr:rowOff>56011</xdr:rowOff>
    </xdr:from>
    <xdr:to>
      <xdr:col>25</xdr:col>
      <xdr:colOff>511059</xdr:colOff>
      <xdr:row>23</xdr:row>
      <xdr:rowOff>139838</xdr:rowOff>
    </xdr:to>
    <xdr:cxnSp macro="">
      <xdr:nvCxnSpPr>
        <xdr:cNvPr id="532600" name="Conector recto 532599">
          <a:extLst>
            <a:ext uri="{FF2B5EF4-FFF2-40B4-BE49-F238E27FC236}">
              <a16:creationId xmlns:a16="http://schemas.microsoft.com/office/drawing/2014/main" id="{1EDC99EE-1CA0-4FE7-B3DC-F98289402147}"/>
            </a:ext>
          </a:extLst>
        </xdr:cNvPr>
        <xdr:cNvCxnSpPr/>
      </xdr:nvCxnSpPr>
      <xdr:spPr bwMode="auto">
        <a:xfrm flipV="1">
          <a:off x="22246788" y="6104386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25</xdr:col>
      <xdr:colOff>445535</xdr:colOff>
      <xdr:row>23</xdr:row>
      <xdr:rowOff>132476</xdr:rowOff>
    </xdr:from>
    <xdr:to>
      <xdr:col>25</xdr:col>
      <xdr:colOff>447744</xdr:colOff>
      <xdr:row>24</xdr:row>
      <xdr:rowOff>86093</xdr:rowOff>
    </xdr:to>
    <xdr:cxnSp macro="">
      <xdr:nvCxnSpPr>
        <xdr:cNvPr id="532601" name="Conector recto 532600">
          <a:extLst>
            <a:ext uri="{FF2B5EF4-FFF2-40B4-BE49-F238E27FC236}">
              <a16:creationId xmlns:a16="http://schemas.microsoft.com/office/drawing/2014/main" id="{F1A686F0-1417-4A6F-9CBE-AD8D2BCBA66C}"/>
            </a:ext>
          </a:extLst>
        </xdr:cNvPr>
        <xdr:cNvCxnSpPr/>
      </xdr:nvCxnSpPr>
      <xdr:spPr bwMode="auto">
        <a:xfrm flipV="1">
          <a:off x="22248260" y="6180851"/>
          <a:ext cx="2209" cy="1203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26</xdr:col>
      <xdr:colOff>634435</xdr:colOff>
      <xdr:row>24</xdr:row>
      <xdr:rowOff>7408</xdr:rowOff>
    </xdr:from>
    <xdr:to>
      <xdr:col>27</xdr:col>
      <xdr:colOff>150053</xdr:colOff>
      <xdr:row>25</xdr:row>
      <xdr:rowOff>146278</xdr:rowOff>
    </xdr:to>
    <xdr:cxnSp macro="">
      <xdr:nvCxnSpPr>
        <xdr:cNvPr id="532602" name="Conector recto 532601">
          <a:extLst>
            <a:ext uri="{FF2B5EF4-FFF2-40B4-BE49-F238E27FC236}">
              <a16:creationId xmlns:a16="http://schemas.microsoft.com/office/drawing/2014/main" id="{E9791E0C-BC03-475A-8747-0D6599BD32F2}"/>
            </a:ext>
          </a:extLst>
        </xdr:cNvPr>
        <xdr:cNvCxnSpPr/>
      </xdr:nvCxnSpPr>
      <xdr:spPr bwMode="auto">
        <a:xfrm flipV="1">
          <a:off x="23222973" y="6222471"/>
          <a:ext cx="301430" cy="30555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136430</xdr:colOff>
      <xdr:row>0</xdr:row>
      <xdr:rowOff>200706</xdr:rowOff>
    </xdr:from>
    <xdr:to>
      <xdr:col>27</xdr:col>
      <xdr:colOff>147316</xdr:colOff>
      <xdr:row>24</xdr:row>
      <xdr:rowOff>15648</xdr:rowOff>
    </xdr:to>
    <xdr:cxnSp macro="">
      <xdr:nvCxnSpPr>
        <xdr:cNvPr id="532603" name="Conector recto 532602">
          <a:extLst>
            <a:ext uri="{FF2B5EF4-FFF2-40B4-BE49-F238E27FC236}">
              <a16:creationId xmlns:a16="http://schemas.microsoft.com/office/drawing/2014/main" id="{13FDB945-E785-44E0-9978-66D146FBB5E3}"/>
            </a:ext>
          </a:extLst>
        </xdr:cNvPr>
        <xdr:cNvCxnSpPr/>
      </xdr:nvCxnSpPr>
      <xdr:spPr bwMode="auto">
        <a:xfrm flipH="1" flipV="1">
          <a:off x="23510780" y="200706"/>
          <a:ext cx="10886" cy="60300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26</xdr:col>
      <xdr:colOff>637172</xdr:colOff>
      <xdr:row>0</xdr:row>
      <xdr:rowOff>200702</xdr:rowOff>
    </xdr:from>
    <xdr:to>
      <xdr:col>27</xdr:col>
      <xdr:colOff>125544</xdr:colOff>
      <xdr:row>0</xdr:row>
      <xdr:rowOff>505502</xdr:rowOff>
    </xdr:to>
    <xdr:cxnSp macro="">
      <xdr:nvCxnSpPr>
        <xdr:cNvPr id="532604" name="Conector recto 532603">
          <a:extLst>
            <a:ext uri="{FF2B5EF4-FFF2-40B4-BE49-F238E27FC236}">
              <a16:creationId xmlns:a16="http://schemas.microsoft.com/office/drawing/2014/main" id="{116282C1-02A2-4320-B328-BC5A193EA725}"/>
            </a:ext>
          </a:extLst>
        </xdr:cNvPr>
        <xdr:cNvCxnSpPr/>
      </xdr:nvCxnSpPr>
      <xdr:spPr bwMode="auto">
        <a:xfrm flipV="1">
          <a:off x="23225710" y="200702"/>
          <a:ext cx="274184" cy="304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71116</xdr:colOff>
      <xdr:row>0</xdr:row>
      <xdr:rowOff>314820</xdr:rowOff>
    </xdr:from>
    <xdr:to>
      <xdr:col>27</xdr:col>
      <xdr:colOff>138112</xdr:colOff>
      <xdr:row>0</xdr:row>
      <xdr:rowOff>398647</xdr:rowOff>
    </xdr:to>
    <xdr:cxnSp macro="">
      <xdr:nvCxnSpPr>
        <xdr:cNvPr id="532605" name="Conector recto 532604">
          <a:extLst>
            <a:ext uri="{FF2B5EF4-FFF2-40B4-BE49-F238E27FC236}">
              <a16:creationId xmlns:a16="http://schemas.microsoft.com/office/drawing/2014/main" id="{66CC2176-7091-428C-B959-B34FA59DF05A}"/>
            </a:ext>
          </a:extLst>
        </xdr:cNvPr>
        <xdr:cNvCxnSpPr/>
      </xdr:nvCxnSpPr>
      <xdr:spPr bwMode="auto">
        <a:xfrm flipV="1">
          <a:off x="23445466" y="314820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72588</xdr:colOff>
      <xdr:row>0</xdr:row>
      <xdr:rowOff>273488</xdr:rowOff>
    </xdr:from>
    <xdr:to>
      <xdr:col>27</xdr:col>
      <xdr:colOff>74797</xdr:colOff>
      <xdr:row>0</xdr:row>
      <xdr:rowOff>396438</xdr:rowOff>
    </xdr:to>
    <xdr:cxnSp macro="">
      <xdr:nvCxnSpPr>
        <xdr:cNvPr id="532606" name="Conector recto 532605">
          <a:extLst>
            <a:ext uri="{FF2B5EF4-FFF2-40B4-BE49-F238E27FC236}">
              <a16:creationId xmlns:a16="http://schemas.microsoft.com/office/drawing/2014/main" id="{58B11FE0-F8C8-4FC4-8126-70118F44B8DD}"/>
            </a:ext>
          </a:extLst>
        </xdr:cNvPr>
        <xdr:cNvCxnSpPr/>
      </xdr:nvCxnSpPr>
      <xdr:spPr bwMode="auto">
        <a:xfrm flipV="1">
          <a:off x="23446938" y="273488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72588</xdr:colOff>
      <xdr:row>23</xdr:row>
      <xdr:rowOff>51249</xdr:rowOff>
    </xdr:from>
    <xdr:to>
      <xdr:col>27</xdr:col>
      <xdr:colOff>139584</xdr:colOff>
      <xdr:row>23</xdr:row>
      <xdr:rowOff>135076</xdr:rowOff>
    </xdr:to>
    <xdr:cxnSp macro="">
      <xdr:nvCxnSpPr>
        <xdr:cNvPr id="532607" name="Conector recto 532606">
          <a:extLst>
            <a:ext uri="{FF2B5EF4-FFF2-40B4-BE49-F238E27FC236}">
              <a16:creationId xmlns:a16="http://schemas.microsoft.com/office/drawing/2014/main" id="{07632C10-1BEA-46A5-9AC2-4367CDAF14B8}"/>
            </a:ext>
          </a:extLst>
        </xdr:cNvPr>
        <xdr:cNvCxnSpPr/>
      </xdr:nvCxnSpPr>
      <xdr:spPr bwMode="auto">
        <a:xfrm flipV="1">
          <a:off x="23446938" y="6099624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27</xdr:col>
      <xdr:colOff>74060</xdr:colOff>
      <xdr:row>23</xdr:row>
      <xdr:rowOff>127714</xdr:rowOff>
    </xdr:from>
    <xdr:to>
      <xdr:col>27</xdr:col>
      <xdr:colOff>76269</xdr:colOff>
      <xdr:row>24</xdr:row>
      <xdr:rowOff>81331</xdr:rowOff>
    </xdr:to>
    <xdr:cxnSp macro="">
      <xdr:nvCxnSpPr>
        <xdr:cNvPr id="532608" name="Conector recto 532607">
          <a:extLst>
            <a:ext uri="{FF2B5EF4-FFF2-40B4-BE49-F238E27FC236}">
              <a16:creationId xmlns:a16="http://schemas.microsoft.com/office/drawing/2014/main" id="{42A1F4CC-7C3D-45A0-B4E7-805BF256FDBA}"/>
            </a:ext>
          </a:extLst>
        </xdr:cNvPr>
        <xdr:cNvCxnSpPr/>
      </xdr:nvCxnSpPr>
      <xdr:spPr bwMode="auto">
        <a:xfrm flipV="1">
          <a:off x="23448410" y="6176089"/>
          <a:ext cx="2209" cy="1203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267722</xdr:colOff>
      <xdr:row>24</xdr:row>
      <xdr:rowOff>2645</xdr:rowOff>
    </xdr:from>
    <xdr:to>
      <xdr:col>28</xdr:col>
      <xdr:colOff>569152</xdr:colOff>
      <xdr:row>25</xdr:row>
      <xdr:rowOff>141515</xdr:rowOff>
    </xdr:to>
    <xdr:cxnSp macro="">
      <xdr:nvCxnSpPr>
        <xdr:cNvPr id="532609" name="Conector recto 532608">
          <a:extLst>
            <a:ext uri="{FF2B5EF4-FFF2-40B4-BE49-F238E27FC236}">
              <a16:creationId xmlns:a16="http://schemas.microsoft.com/office/drawing/2014/main" id="{FDE49EAF-B19B-4731-ADF3-406FF02BE4CD}"/>
            </a:ext>
          </a:extLst>
        </xdr:cNvPr>
        <xdr:cNvCxnSpPr/>
      </xdr:nvCxnSpPr>
      <xdr:spPr bwMode="auto">
        <a:xfrm flipV="1">
          <a:off x="24427885" y="6217708"/>
          <a:ext cx="301430" cy="30555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555529</xdr:colOff>
      <xdr:row>0</xdr:row>
      <xdr:rowOff>195943</xdr:rowOff>
    </xdr:from>
    <xdr:to>
      <xdr:col>28</xdr:col>
      <xdr:colOff>566415</xdr:colOff>
      <xdr:row>24</xdr:row>
      <xdr:rowOff>10885</xdr:rowOff>
    </xdr:to>
    <xdr:cxnSp macro="">
      <xdr:nvCxnSpPr>
        <xdr:cNvPr id="532610" name="Conector recto 532609">
          <a:extLst>
            <a:ext uri="{FF2B5EF4-FFF2-40B4-BE49-F238E27FC236}">
              <a16:creationId xmlns:a16="http://schemas.microsoft.com/office/drawing/2014/main" id="{660E3039-B9B6-4ED4-A19F-702224B78DE3}"/>
            </a:ext>
          </a:extLst>
        </xdr:cNvPr>
        <xdr:cNvCxnSpPr/>
      </xdr:nvCxnSpPr>
      <xdr:spPr bwMode="auto">
        <a:xfrm flipH="1" flipV="1">
          <a:off x="24715692" y="195943"/>
          <a:ext cx="10886" cy="60300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270459</xdr:colOff>
      <xdr:row>0</xdr:row>
      <xdr:rowOff>195939</xdr:rowOff>
    </xdr:from>
    <xdr:to>
      <xdr:col>28</xdr:col>
      <xdr:colOff>544643</xdr:colOff>
      <xdr:row>0</xdr:row>
      <xdr:rowOff>500739</xdr:rowOff>
    </xdr:to>
    <xdr:cxnSp macro="">
      <xdr:nvCxnSpPr>
        <xdr:cNvPr id="532611" name="Conector recto 532610">
          <a:extLst>
            <a:ext uri="{FF2B5EF4-FFF2-40B4-BE49-F238E27FC236}">
              <a16:creationId xmlns:a16="http://schemas.microsoft.com/office/drawing/2014/main" id="{727EB72D-5DCB-4E8D-9AA9-71FE06A16D04}"/>
            </a:ext>
          </a:extLst>
        </xdr:cNvPr>
        <xdr:cNvCxnSpPr/>
      </xdr:nvCxnSpPr>
      <xdr:spPr bwMode="auto">
        <a:xfrm flipV="1">
          <a:off x="24430622" y="195939"/>
          <a:ext cx="274184" cy="30480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490215</xdr:colOff>
      <xdr:row>0</xdr:row>
      <xdr:rowOff>310057</xdr:rowOff>
    </xdr:from>
    <xdr:to>
      <xdr:col>28</xdr:col>
      <xdr:colOff>557211</xdr:colOff>
      <xdr:row>0</xdr:row>
      <xdr:rowOff>393884</xdr:rowOff>
    </xdr:to>
    <xdr:cxnSp macro="">
      <xdr:nvCxnSpPr>
        <xdr:cNvPr id="532612" name="Conector recto 532611">
          <a:extLst>
            <a:ext uri="{FF2B5EF4-FFF2-40B4-BE49-F238E27FC236}">
              <a16:creationId xmlns:a16="http://schemas.microsoft.com/office/drawing/2014/main" id="{BD805149-21D7-4336-9D7C-90A5663B34E4}"/>
            </a:ext>
          </a:extLst>
        </xdr:cNvPr>
        <xdr:cNvCxnSpPr/>
      </xdr:nvCxnSpPr>
      <xdr:spPr bwMode="auto">
        <a:xfrm flipV="1">
          <a:off x="24650378" y="310057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491687</xdr:colOff>
      <xdr:row>0</xdr:row>
      <xdr:rowOff>268725</xdr:rowOff>
    </xdr:from>
    <xdr:to>
      <xdr:col>28</xdr:col>
      <xdr:colOff>493896</xdr:colOff>
      <xdr:row>0</xdr:row>
      <xdr:rowOff>391675</xdr:rowOff>
    </xdr:to>
    <xdr:cxnSp macro="">
      <xdr:nvCxnSpPr>
        <xdr:cNvPr id="532613" name="Conector recto 532612">
          <a:extLst>
            <a:ext uri="{FF2B5EF4-FFF2-40B4-BE49-F238E27FC236}">
              <a16:creationId xmlns:a16="http://schemas.microsoft.com/office/drawing/2014/main" id="{C2E1F1DE-0855-449E-B586-9DFC5EF452D1}"/>
            </a:ext>
          </a:extLst>
        </xdr:cNvPr>
        <xdr:cNvCxnSpPr/>
      </xdr:nvCxnSpPr>
      <xdr:spPr bwMode="auto">
        <a:xfrm flipV="1">
          <a:off x="24651850" y="268725"/>
          <a:ext cx="2209" cy="1229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491687</xdr:colOff>
      <xdr:row>23</xdr:row>
      <xdr:rowOff>46486</xdr:rowOff>
    </xdr:from>
    <xdr:to>
      <xdr:col>28</xdr:col>
      <xdr:colOff>558683</xdr:colOff>
      <xdr:row>23</xdr:row>
      <xdr:rowOff>130313</xdr:rowOff>
    </xdr:to>
    <xdr:cxnSp macro="">
      <xdr:nvCxnSpPr>
        <xdr:cNvPr id="532614" name="Conector recto 532613">
          <a:extLst>
            <a:ext uri="{FF2B5EF4-FFF2-40B4-BE49-F238E27FC236}">
              <a16:creationId xmlns:a16="http://schemas.microsoft.com/office/drawing/2014/main" id="{26E20274-683F-4295-9220-F5DDE8340EBC}"/>
            </a:ext>
          </a:extLst>
        </xdr:cNvPr>
        <xdr:cNvCxnSpPr/>
      </xdr:nvCxnSpPr>
      <xdr:spPr bwMode="auto">
        <a:xfrm flipV="1">
          <a:off x="24651850" y="6094861"/>
          <a:ext cx="66996" cy="83827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28</xdr:col>
      <xdr:colOff>493159</xdr:colOff>
      <xdr:row>23</xdr:row>
      <xdr:rowOff>122951</xdr:rowOff>
    </xdr:from>
    <xdr:to>
      <xdr:col>28</xdr:col>
      <xdr:colOff>495368</xdr:colOff>
      <xdr:row>24</xdr:row>
      <xdr:rowOff>76568</xdr:rowOff>
    </xdr:to>
    <xdr:cxnSp macro="">
      <xdr:nvCxnSpPr>
        <xdr:cNvPr id="532615" name="Conector recto 532614">
          <a:extLst>
            <a:ext uri="{FF2B5EF4-FFF2-40B4-BE49-F238E27FC236}">
              <a16:creationId xmlns:a16="http://schemas.microsoft.com/office/drawing/2014/main" id="{B51F5D1F-E9B6-4BB7-A505-79E686A44C88}"/>
            </a:ext>
          </a:extLst>
        </xdr:cNvPr>
        <xdr:cNvCxnSpPr/>
      </xdr:nvCxnSpPr>
      <xdr:spPr bwMode="auto">
        <a:xfrm flipV="1">
          <a:off x="24653322" y="6171326"/>
          <a:ext cx="2209" cy="120305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18</xdr:col>
      <xdr:colOff>268631</xdr:colOff>
      <xdr:row>0</xdr:row>
      <xdr:rowOff>515492</xdr:rowOff>
    </xdr:from>
    <xdr:to>
      <xdr:col>18</xdr:col>
      <xdr:colOff>279517</xdr:colOff>
      <xdr:row>25</xdr:row>
      <xdr:rowOff>158369</xdr:rowOff>
    </xdr:to>
    <xdr:cxnSp macro="">
      <xdr:nvCxnSpPr>
        <xdr:cNvPr id="532616" name="Conector recto 532615">
          <a:extLst>
            <a:ext uri="{FF2B5EF4-FFF2-40B4-BE49-F238E27FC236}">
              <a16:creationId xmlns:a16="http://schemas.microsoft.com/office/drawing/2014/main" id="{A242DC34-3DD8-4650-A7F5-0D4CE18C7E5E}"/>
            </a:ext>
          </a:extLst>
        </xdr:cNvPr>
        <xdr:cNvCxnSpPr/>
      </xdr:nvCxnSpPr>
      <xdr:spPr bwMode="auto">
        <a:xfrm flipH="1" flipV="1">
          <a:off x="16577889" y="515492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18</xdr:col>
      <xdr:colOff>101482</xdr:colOff>
      <xdr:row>0</xdr:row>
      <xdr:rowOff>508118</xdr:rowOff>
    </xdr:from>
    <xdr:to>
      <xdr:col>18</xdr:col>
      <xdr:colOff>112368</xdr:colOff>
      <xdr:row>25</xdr:row>
      <xdr:rowOff>150995</xdr:rowOff>
    </xdr:to>
    <xdr:cxnSp macro="">
      <xdr:nvCxnSpPr>
        <xdr:cNvPr id="532617" name="Conector recto 532616">
          <a:extLst>
            <a:ext uri="{FF2B5EF4-FFF2-40B4-BE49-F238E27FC236}">
              <a16:creationId xmlns:a16="http://schemas.microsoft.com/office/drawing/2014/main" id="{B6B764ED-F9FD-4F8A-8A2B-404C53FD367F}"/>
            </a:ext>
          </a:extLst>
        </xdr:cNvPr>
        <xdr:cNvCxnSpPr/>
      </xdr:nvCxnSpPr>
      <xdr:spPr bwMode="auto">
        <a:xfrm flipH="1" flipV="1">
          <a:off x="16410740" y="508118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19</xdr:col>
      <xdr:colOff>666837</xdr:colOff>
      <xdr:row>0</xdr:row>
      <xdr:rowOff>508117</xdr:rowOff>
    </xdr:from>
    <xdr:to>
      <xdr:col>19</xdr:col>
      <xdr:colOff>677723</xdr:colOff>
      <xdr:row>25</xdr:row>
      <xdr:rowOff>150994</xdr:rowOff>
    </xdr:to>
    <xdr:cxnSp macro="">
      <xdr:nvCxnSpPr>
        <xdr:cNvPr id="532618" name="Conector recto 532617">
          <a:extLst>
            <a:ext uri="{FF2B5EF4-FFF2-40B4-BE49-F238E27FC236}">
              <a16:creationId xmlns:a16="http://schemas.microsoft.com/office/drawing/2014/main" id="{664CC19C-BB4F-44AE-AC19-C794F16EF045}"/>
            </a:ext>
          </a:extLst>
        </xdr:cNvPr>
        <xdr:cNvCxnSpPr/>
      </xdr:nvCxnSpPr>
      <xdr:spPr bwMode="auto">
        <a:xfrm flipH="1" flipV="1">
          <a:off x="17762676" y="508117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19</xdr:col>
      <xdr:colOff>499688</xdr:colOff>
      <xdr:row>0</xdr:row>
      <xdr:rowOff>500743</xdr:rowOff>
    </xdr:from>
    <xdr:to>
      <xdr:col>19</xdr:col>
      <xdr:colOff>510574</xdr:colOff>
      <xdr:row>25</xdr:row>
      <xdr:rowOff>143620</xdr:rowOff>
    </xdr:to>
    <xdr:cxnSp macro="">
      <xdr:nvCxnSpPr>
        <xdr:cNvPr id="532619" name="Conector recto 532618">
          <a:extLst>
            <a:ext uri="{FF2B5EF4-FFF2-40B4-BE49-F238E27FC236}">
              <a16:creationId xmlns:a16="http://schemas.microsoft.com/office/drawing/2014/main" id="{537D6C44-EC2D-4BA9-BBF6-83D565269E2F}"/>
            </a:ext>
          </a:extLst>
        </xdr:cNvPr>
        <xdr:cNvCxnSpPr/>
      </xdr:nvCxnSpPr>
      <xdr:spPr bwMode="auto">
        <a:xfrm flipH="1" flipV="1">
          <a:off x="17595527" y="500743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647173</xdr:colOff>
      <xdr:row>0</xdr:row>
      <xdr:rowOff>525325</xdr:rowOff>
    </xdr:from>
    <xdr:to>
      <xdr:col>16</xdr:col>
      <xdr:colOff>658059</xdr:colOff>
      <xdr:row>25</xdr:row>
      <xdr:rowOff>168202</xdr:rowOff>
    </xdr:to>
    <xdr:cxnSp macro="">
      <xdr:nvCxnSpPr>
        <xdr:cNvPr id="532620" name="Conector recto 532619">
          <a:extLst>
            <a:ext uri="{FF2B5EF4-FFF2-40B4-BE49-F238E27FC236}">
              <a16:creationId xmlns:a16="http://schemas.microsoft.com/office/drawing/2014/main" id="{749F3C41-2130-4D91-8AA3-AA9D17B73DBB}"/>
            </a:ext>
          </a:extLst>
        </xdr:cNvPr>
        <xdr:cNvCxnSpPr/>
      </xdr:nvCxnSpPr>
      <xdr:spPr bwMode="auto">
        <a:xfrm flipH="1" flipV="1">
          <a:off x="15383270" y="525325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16</xdr:col>
      <xdr:colOff>480024</xdr:colOff>
      <xdr:row>0</xdr:row>
      <xdr:rowOff>530241</xdr:rowOff>
    </xdr:from>
    <xdr:to>
      <xdr:col>16</xdr:col>
      <xdr:colOff>490910</xdr:colOff>
      <xdr:row>25</xdr:row>
      <xdr:rowOff>173118</xdr:rowOff>
    </xdr:to>
    <xdr:cxnSp macro="">
      <xdr:nvCxnSpPr>
        <xdr:cNvPr id="532621" name="Conector recto 532620">
          <a:extLst>
            <a:ext uri="{FF2B5EF4-FFF2-40B4-BE49-F238E27FC236}">
              <a16:creationId xmlns:a16="http://schemas.microsoft.com/office/drawing/2014/main" id="{64393EC5-1503-4D92-86B9-91758AB4977D}"/>
            </a:ext>
          </a:extLst>
        </xdr:cNvPr>
        <xdr:cNvCxnSpPr/>
      </xdr:nvCxnSpPr>
      <xdr:spPr bwMode="auto">
        <a:xfrm flipH="1" flipV="1">
          <a:off x="15216121" y="530241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15</xdr:col>
      <xdr:colOff>197348</xdr:colOff>
      <xdr:row>0</xdr:row>
      <xdr:rowOff>517950</xdr:rowOff>
    </xdr:from>
    <xdr:to>
      <xdr:col>15</xdr:col>
      <xdr:colOff>208234</xdr:colOff>
      <xdr:row>25</xdr:row>
      <xdr:rowOff>160827</xdr:rowOff>
    </xdr:to>
    <xdr:cxnSp macro="">
      <xdr:nvCxnSpPr>
        <xdr:cNvPr id="532622" name="Conector recto 532621">
          <a:extLst>
            <a:ext uri="{FF2B5EF4-FFF2-40B4-BE49-F238E27FC236}">
              <a16:creationId xmlns:a16="http://schemas.microsoft.com/office/drawing/2014/main" id="{0BBA82FF-4DC0-4FC7-9F8A-F97843145B9A}"/>
            </a:ext>
          </a:extLst>
        </xdr:cNvPr>
        <xdr:cNvCxnSpPr/>
      </xdr:nvCxnSpPr>
      <xdr:spPr bwMode="auto">
        <a:xfrm flipH="1" flipV="1">
          <a:off x="14146864" y="517950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>
    <xdr:from>
      <xdr:col>15</xdr:col>
      <xdr:colOff>30199</xdr:colOff>
      <xdr:row>0</xdr:row>
      <xdr:rowOff>510576</xdr:rowOff>
    </xdr:from>
    <xdr:to>
      <xdr:col>15</xdr:col>
      <xdr:colOff>41085</xdr:colOff>
      <xdr:row>25</xdr:row>
      <xdr:rowOff>153453</xdr:rowOff>
    </xdr:to>
    <xdr:cxnSp macro="">
      <xdr:nvCxnSpPr>
        <xdr:cNvPr id="532623" name="Conector recto 532622">
          <a:extLst>
            <a:ext uri="{FF2B5EF4-FFF2-40B4-BE49-F238E27FC236}">
              <a16:creationId xmlns:a16="http://schemas.microsoft.com/office/drawing/2014/main" id="{4F6AD0C5-0028-436D-BF29-B1959688AA39}"/>
            </a:ext>
          </a:extLst>
        </xdr:cNvPr>
        <xdr:cNvCxnSpPr/>
      </xdr:nvCxnSpPr>
      <xdr:spPr bwMode="auto">
        <a:xfrm flipH="1" flipV="1">
          <a:off x="13979715" y="510576"/>
          <a:ext cx="10886" cy="5996974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70C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13</xdr:col>
      <xdr:colOff>285193</xdr:colOff>
      <xdr:row>26</xdr:row>
      <xdr:rowOff>41968</xdr:rowOff>
    </xdr:from>
    <xdr:to>
      <xdr:col>21</xdr:col>
      <xdr:colOff>264514</xdr:colOff>
      <xdr:row>54</xdr:row>
      <xdr:rowOff>0</xdr:rowOff>
    </xdr:to>
    <xdr:pic>
      <xdr:nvPicPr>
        <xdr:cNvPr id="532627" name="Imagen 532626">
          <a:extLst>
            <a:ext uri="{FF2B5EF4-FFF2-40B4-BE49-F238E27FC236}">
              <a16:creationId xmlns:a16="http://schemas.microsoft.com/office/drawing/2014/main" id="{D9C73951-4CF7-60F3-3671-D2CC83A70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1548" y="6592710"/>
          <a:ext cx="6271966" cy="5439516"/>
        </a:xfrm>
        <a:prstGeom prst="rect">
          <a:avLst/>
        </a:prstGeom>
      </xdr:spPr>
    </xdr:pic>
    <xdr:clientData/>
  </xdr:twoCellAnchor>
  <xdr:twoCellAnchor editAs="oneCell">
    <xdr:from>
      <xdr:col>21</xdr:col>
      <xdr:colOff>737419</xdr:colOff>
      <xdr:row>26</xdr:row>
      <xdr:rowOff>12290</xdr:rowOff>
    </xdr:from>
    <xdr:to>
      <xdr:col>29</xdr:col>
      <xdr:colOff>730720</xdr:colOff>
      <xdr:row>54</xdr:row>
      <xdr:rowOff>24580</xdr:rowOff>
    </xdr:to>
    <xdr:pic>
      <xdr:nvPicPr>
        <xdr:cNvPr id="532629" name="Imagen 532628">
          <a:extLst>
            <a:ext uri="{FF2B5EF4-FFF2-40B4-BE49-F238E27FC236}">
              <a16:creationId xmlns:a16="http://schemas.microsoft.com/office/drawing/2014/main" id="{B4908B84-AE46-B6F1-0EEF-46A91FDA1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06419" y="6563032"/>
          <a:ext cx="6285946" cy="54937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0" name="Group 1">
          <a:extLst>
            <a:ext uri="{FF2B5EF4-FFF2-40B4-BE49-F238E27FC236}">
              <a16:creationId xmlns:a16="http://schemas.microsoft.com/office/drawing/2014/main" id="{5BC09FD7-EEB6-F2DF-6BFD-3AF0651706DC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495" name="Rectangle 2">
            <a:extLst>
              <a:ext uri="{FF2B5EF4-FFF2-40B4-BE49-F238E27FC236}">
                <a16:creationId xmlns:a16="http://schemas.microsoft.com/office/drawing/2014/main" id="{0E951AF1-EDF0-E676-33A6-42D5F9C2BB7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6" name="Rectangle 3">
            <a:extLst>
              <a:ext uri="{FF2B5EF4-FFF2-40B4-BE49-F238E27FC236}">
                <a16:creationId xmlns:a16="http://schemas.microsoft.com/office/drawing/2014/main" id="{34766A24-9140-7E56-F349-B35B1EA735EC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7" name="Rectangle 4">
            <a:extLst>
              <a:ext uri="{FF2B5EF4-FFF2-40B4-BE49-F238E27FC236}">
                <a16:creationId xmlns:a16="http://schemas.microsoft.com/office/drawing/2014/main" id="{4D422A5F-1FD9-F315-9E4B-4319F1E6A8A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8" name="Rectangle 5">
            <a:extLst>
              <a:ext uri="{FF2B5EF4-FFF2-40B4-BE49-F238E27FC236}">
                <a16:creationId xmlns:a16="http://schemas.microsoft.com/office/drawing/2014/main" id="{0CB121D2-27D2-251D-5A5E-3A7058361A0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9" name="Line 6">
            <a:extLst>
              <a:ext uri="{FF2B5EF4-FFF2-40B4-BE49-F238E27FC236}">
                <a16:creationId xmlns:a16="http://schemas.microsoft.com/office/drawing/2014/main" id="{463DA6DE-C51A-26D5-6414-4D97F7AB15F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00" name="Line 7">
            <a:extLst>
              <a:ext uri="{FF2B5EF4-FFF2-40B4-BE49-F238E27FC236}">
                <a16:creationId xmlns:a16="http://schemas.microsoft.com/office/drawing/2014/main" id="{1C562AB4-3AA0-697E-98EB-97C66CC6FC3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01" name="Line 8">
            <a:extLst>
              <a:ext uri="{FF2B5EF4-FFF2-40B4-BE49-F238E27FC236}">
                <a16:creationId xmlns:a16="http://schemas.microsoft.com/office/drawing/2014/main" id="{00F119C1-7350-F72A-5E1B-E882EB28E96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1" name="Group 9">
          <a:extLst>
            <a:ext uri="{FF2B5EF4-FFF2-40B4-BE49-F238E27FC236}">
              <a16:creationId xmlns:a16="http://schemas.microsoft.com/office/drawing/2014/main" id="{70C0F1B6-9960-DE3C-F68A-6F26FF5B7D0A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488" name="Rectangle 10">
            <a:extLst>
              <a:ext uri="{FF2B5EF4-FFF2-40B4-BE49-F238E27FC236}">
                <a16:creationId xmlns:a16="http://schemas.microsoft.com/office/drawing/2014/main" id="{6615DE4E-409E-6761-FF1F-0C8622AFDEF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89" name="Rectangle 11">
            <a:extLst>
              <a:ext uri="{FF2B5EF4-FFF2-40B4-BE49-F238E27FC236}">
                <a16:creationId xmlns:a16="http://schemas.microsoft.com/office/drawing/2014/main" id="{4972FB52-A1FC-23EC-A765-A5CDA8F4614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0" name="Rectangle 12">
            <a:extLst>
              <a:ext uri="{FF2B5EF4-FFF2-40B4-BE49-F238E27FC236}">
                <a16:creationId xmlns:a16="http://schemas.microsoft.com/office/drawing/2014/main" id="{9FAF2642-5167-CE14-F682-A8D6834014C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1" name="Rectangle 13">
            <a:extLst>
              <a:ext uri="{FF2B5EF4-FFF2-40B4-BE49-F238E27FC236}">
                <a16:creationId xmlns:a16="http://schemas.microsoft.com/office/drawing/2014/main" id="{D7154EFB-3AB0-3FC0-3FFD-250EFCDA667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92" name="Line 14">
            <a:extLst>
              <a:ext uri="{FF2B5EF4-FFF2-40B4-BE49-F238E27FC236}">
                <a16:creationId xmlns:a16="http://schemas.microsoft.com/office/drawing/2014/main" id="{813D4B3D-A261-94DE-7705-74D3EEC492F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93" name="Line 15">
            <a:extLst>
              <a:ext uri="{FF2B5EF4-FFF2-40B4-BE49-F238E27FC236}">
                <a16:creationId xmlns:a16="http://schemas.microsoft.com/office/drawing/2014/main" id="{8EE312B0-E356-2432-C251-5D3B933BB9C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94" name="Line 16">
            <a:extLst>
              <a:ext uri="{FF2B5EF4-FFF2-40B4-BE49-F238E27FC236}">
                <a16:creationId xmlns:a16="http://schemas.microsoft.com/office/drawing/2014/main" id="{7192F3EB-3BAC-5083-2EB3-1AAD139E973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528312" name="Group 17">
          <a:extLst>
            <a:ext uri="{FF2B5EF4-FFF2-40B4-BE49-F238E27FC236}">
              <a16:creationId xmlns:a16="http://schemas.microsoft.com/office/drawing/2014/main" id="{83264789-219D-1EC1-99DE-137E9EA7AFDE}"/>
            </a:ext>
          </a:extLst>
        </xdr:cNvPr>
        <xdr:cNvGrpSpPr>
          <a:grpSpLocks/>
        </xdr:cNvGrpSpPr>
      </xdr:nvGrpSpPr>
      <xdr:grpSpPr bwMode="auto">
        <a:xfrm>
          <a:off x="6536267" y="1316567"/>
          <a:ext cx="0" cy="385233"/>
          <a:chOff x="570" y="224"/>
          <a:chExt cx="377" cy="136"/>
        </a:xfrm>
      </xdr:grpSpPr>
      <xdr:sp macro="" textlink="">
        <xdr:nvSpPr>
          <xdr:cNvPr id="533475" name="Rectangle 18">
            <a:extLst>
              <a:ext uri="{FF2B5EF4-FFF2-40B4-BE49-F238E27FC236}">
                <a16:creationId xmlns:a16="http://schemas.microsoft.com/office/drawing/2014/main" id="{B7C20B14-157D-9CEE-79E2-BE0D1E31100E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6" name="Rectangle 19">
            <a:extLst>
              <a:ext uri="{FF2B5EF4-FFF2-40B4-BE49-F238E27FC236}">
                <a16:creationId xmlns:a16="http://schemas.microsoft.com/office/drawing/2014/main" id="{F5ECBD04-D151-313F-946A-8FC65B71A38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7" name="Rectangle 20">
            <a:extLst>
              <a:ext uri="{FF2B5EF4-FFF2-40B4-BE49-F238E27FC236}">
                <a16:creationId xmlns:a16="http://schemas.microsoft.com/office/drawing/2014/main" id="{BE6306F6-AA0B-CFC9-43EF-A9DF839CB934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8" name="Rectangle 21">
            <a:extLst>
              <a:ext uri="{FF2B5EF4-FFF2-40B4-BE49-F238E27FC236}">
                <a16:creationId xmlns:a16="http://schemas.microsoft.com/office/drawing/2014/main" id="{DD2896B8-6BD5-1616-0047-2269F7320438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9" name="Line 22">
            <a:extLst>
              <a:ext uri="{FF2B5EF4-FFF2-40B4-BE49-F238E27FC236}">
                <a16:creationId xmlns:a16="http://schemas.microsoft.com/office/drawing/2014/main" id="{59137857-BBF5-4024-57ED-84C57E8A1859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0" name="Line 23">
            <a:extLst>
              <a:ext uri="{FF2B5EF4-FFF2-40B4-BE49-F238E27FC236}">
                <a16:creationId xmlns:a16="http://schemas.microsoft.com/office/drawing/2014/main" id="{694FB989-91BC-809B-34CF-0A8E69D351E4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1" name="Line 24">
            <a:extLst>
              <a:ext uri="{FF2B5EF4-FFF2-40B4-BE49-F238E27FC236}">
                <a16:creationId xmlns:a16="http://schemas.microsoft.com/office/drawing/2014/main" id="{737018F2-977C-3DCD-06AE-F8F44C56BA04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2" name="Rectangle 25">
            <a:extLst>
              <a:ext uri="{FF2B5EF4-FFF2-40B4-BE49-F238E27FC236}">
                <a16:creationId xmlns:a16="http://schemas.microsoft.com/office/drawing/2014/main" id="{E79F7753-AFC4-2F9E-6AF2-74F271964779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83" name="Line 26">
            <a:extLst>
              <a:ext uri="{FF2B5EF4-FFF2-40B4-BE49-F238E27FC236}">
                <a16:creationId xmlns:a16="http://schemas.microsoft.com/office/drawing/2014/main" id="{59D7E91B-A6E0-5BF6-DA34-E935782609BF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4" name="Rectangle 27">
            <a:extLst>
              <a:ext uri="{FF2B5EF4-FFF2-40B4-BE49-F238E27FC236}">
                <a16:creationId xmlns:a16="http://schemas.microsoft.com/office/drawing/2014/main" id="{6C669FE3-D863-0227-2FB3-CAF3741B2371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85" name="Line 28">
            <a:extLst>
              <a:ext uri="{FF2B5EF4-FFF2-40B4-BE49-F238E27FC236}">
                <a16:creationId xmlns:a16="http://schemas.microsoft.com/office/drawing/2014/main" id="{82D77143-F6D3-DF67-EFEF-ADDEE3242A54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6" name="Line 29">
            <a:extLst>
              <a:ext uri="{FF2B5EF4-FFF2-40B4-BE49-F238E27FC236}">
                <a16:creationId xmlns:a16="http://schemas.microsoft.com/office/drawing/2014/main" id="{A1990C34-BC4E-097C-8043-745EB5CD250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87" name="Line 30">
            <a:extLst>
              <a:ext uri="{FF2B5EF4-FFF2-40B4-BE49-F238E27FC236}">
                <a16:creationId xmlns:a16="http://schemas.microsoft.com/office/drawing/2014/main" id="{0011C2C4-6362-E3D7-21B7-CCBF3D87FC7C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528313" name="Group 31">
          <a:extLst>
            <a:ext uri="{FF2B5EF4-FFF2-40B4-BE49-F238E27FC236}">
              <a16:creationId xmlns:a16="http://schemas.microsoft.com/office/drawing/2014/main" id="{6C645101-C9E5-0E38-0D99-8CC5DE9E2FF8}"/>
            </a:ext>
          </a:extLst>
        </xdr:cNvPr>
        <xdr:cNvGrpSpPr>
          <a:grpSpLocks/>
        </xdr:cNvGrpSpPr>
      </xdr:nvGrpSpPr>
      <xdr:grpSpPr bwMode="auto">
        <a:xfrm>
          <a:off x="6536267" y="1316567"/>
          <a:ext cx="0" cy="385233"/>
          <a:chOff x="570" y="224"/>
          <a:chExt cx="377" cy="136"/>
        </a:xfrm>
      </xdr:grpSpPr>
      <xdr:sp macro="" textlink="">
        <xdr:nvSpPr>
          <xdr:cNvPr id="533462" name="Rectangle 32">
            <a:extLst>
              <a:ext uri="{FF2B5EF4-FFF2-40B4-BE49-F238E27FC236}">
                <a16:creationId xmlns:a16="http://schemas.microsoft.com/office/drawing/2014/main" id="{A636D5AB-E9F8-CA07-9B56-9203FFAB291A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63" name="Rectangle 33">
            <a:extLst>
              <a:ext uri="{FF2B5EF4-FFF2-40B4-BE49-F238E27FC236}">
                <a16:creationId xmlns:a16="http://schemas.microsoft.com/office/drawing/2014/main" id="{70B98A0C-648D-3579-8AD3-C25B370526E4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64" name="Rectangle 34">
            <a:extLst>
              <a:ext uri="{FF2B5EF4-FFF2-40B4-BE49-F238E27FC236}">
                <a16:creationId xmlns:a16="http://schemas.microsoft.com/office/drawing/2014/main" id="{F616E3A7-765F-83E1-12E6-36AE578E5EF0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65" name="Rectangle 35">
            <a:extLst>
              <a:ext uri="{FF2B5EF4-FFF2-40B4-BE49-F238E27FC236}">
                <a16:creationId xmlns:a16="http://schemas.microsoft.com/office/drawing/2014/main" id="{84F15C18-DFDA-5ACB-FAE6-45663FE95389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66" name="Line 36">
            <a:extLst>
              <a:ext uri="{FF2B5EF4-FFF2-40B4-BE49-F238E27FC236}">
                <a16:creationId xmlns:a16="http://schemas.microsoft.com/office/drawing/2014/main" id="{79C96710-4798-EAE8-1CD4-7F42FD76E79A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7" name="Line 37">
            <a:extLst>
              <a:ext uri="{FF2B5EF4-FFF2-40B4-BE49-F238E27FC236}">
                <a16:creationId xmlns:a16="http://schemas.microsoft.com/office/drawing/2014/main" id="{F5B37A65-A542-52D5-EA68-9C48DA147BD6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8" name="Line 38">
            <a:extLst>
              <a:ext uri="{FF2B5EF4-FFF2-40B4-BE49-F238E27FC236}">
                <a16:creationId xmlns:a16="http://schemas.microsoft.com/office/drawing/2014/main" id="{1FDF35B3-058F-662E-D90D-F333F7F89FCB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9" name="Rectangle 39">
            <a:extLst>
              <a:ext uri="{FF2B5EF4-FFF2-40B4-BE49-F238E27FC236}">
                <a16:creationId xmlns:a16="http://schemas.microsoft.com/office/drawing/2014/main" id="{3A9744FB-836A-F0A4-9A05-4A6CBE7DDAA6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0" name="Line 40">
            <a:extLst>
              <a:ext uri="{FF2B5EF4-FFF2-40B4-BE49-F238E27FC236}">
                <a16:creationId xmlns:a16="http://schemas.microsoft.com/office/drawing/2014/main" id="{BD5D39DC-755B-DACB-8A88-DD837D2E110B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71" name="Rectangle 41">
            <a:extLst>
              <a:ext uri="{FF2B5EF4-FFF2-40B4-BE49-F238E27FC236}">
                <a16:creationId xmlns:a16="http://schemas.microsoft.com/office/drawing/2014/main" id="{158667EB-172C-9FAB-92BF-2674BA215DD9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72" name="Line 42">
            <a:extLst>
              <a:ext uri="{FF2B5EF4-FFF2-40B4-BE49-F238E27FC236}">
                <a16:creationId xmlns:a16="http://schemas.microsoft.com/office/drawing/2014/main" id="{02BE53A6-A113-F9B5-A4BD-84F92A067299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73" name="Line 43">
            <a:extLst>
              <a:ext uri="{FF2B5EF4-FFF2-40B4-BE49-F238E27FC236}">
                <a16:creationId xmlns:a16="http://schemas.microsoft.com/office/drawing/2014/main" id="{88D83103-699F-54E7-B5CB-A5BE9FB17E0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74" name="Line 44">
            <a:extLst>
              <a:ext uri="{FF2B5EF4-FFF2-40B4-BE49-F238E27FC236}">
                <a16:creationId xmlns:a16="http://schemas.microsoft.com/office/drawing/2014/main" id="{D9C2F179-4D24-F6F2-FA21-B21D970B7D19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528314" name="Group 45">
          <a:extLst>
            <a:ext uri="{FF2B5EF4-FFF2-40B4-BE49-F238E27FC236}">
              <a16:creationId xmlns:a16="http://schemas.microsoft.com/office/drawing/2014/main" id="{2AA910A1-7741-41D9-4CB4-4D62926943F5}"/>
            </a:ext>
          </a:extLst>
        </xdr:cNvPr>
        <xdr:cNvGrpSpPr>
          <a:grpSpLocks/>
        </xdr:cNvGrpSpPr>
      </xdr:nvGrpSpPr>
      <xdr:grpSpPr bwMode="auto">
        <a:xfrm>
          <a:off x="6536267" y="1316567"/>
          <a:ext cx="0" cy="385233"/>
          <a:chOff x="570" y="224"/>
          <a:chExt cx="377" cy="136"/>
        </a:xfrm>
      </xdr:grpSpPr>
      <xdr:sp macro="" textlink="">
        <xdr:nvSpPr>
          <xdr:cNvPr id="533449" name="Rectangle 46">
            <a:extLst>
              <a:ext uri="{FF2B5EF4-FFF2-40B4-BE49-F238E27FC236}">
                <a16:creationId xmlns:a16="http://schemas.microsoft.com/office/drawing/2014/main" id="{322DD0A4-8690-1F1C-8902-B434A7FAD5A1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0" name="Rectangle 47">
            <a:extLst>
              <a:ext uri="{FF2B5EF4-FFF2-40B4-BE49-F238E27FC236}">
                <a16:creationId xmlns:a16="http://schemas.microsoft.com/office/drawing/2014/main" id="{FA5F8EF0-7A62-6F9A-7417-271B5BB09547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1" name="Rectangle 48">
            <a:extLst>
              <a:ext uri="{FF2B5EF4-FFF2-40B4-BE49-F238E27FC236}">
                <a16:creationId xmlns:a16="http://schemas.microsoft.com/office/drawing/2014/main" id="{3D71D775-2D73-1FD3-84D7-C1E118B54B09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2" name="Rectangle 49">
            <a:extLst>
              <a:ext uri="{FF2B5EF4-FFF2-40B4-BE49-F238E27FC236}">
                <a16:creationId xmlns:a16="http://schemas.microsoft.com/office/drawing/2014/main" id="{7AD23615-BC6C-4E25-BAC5-611D2A6C8934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3" name="Line 50">
            <a:extLst>
              <a:ext uri="{FF2B5EF4-FFF2-40B4-BE49-F238E27FC236}">
                <a16:creationId xmlns:a16="http://schemas.microsoft.com/office/drawing/2014/main" id="{5648B7F0-A11E-5606-1DCA-A5AA7E6F70AE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54" name="Line 51">
            <a:extLst>
              <a:ext uri="{FF2B5EF4-FFF2-40B4-BE49-F238E27FC236}">
                <a16:creationId xmlns:a16="http://schemas.microsoft.com/office/drawing/2014/main" id="{DA5D2B5B-5FA7-FDE8-7A77-749A16DB5F44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55" name="Line 52">
            <a:extLst>
              <a:ext uri="{FF2B5EF4-FFF2-40B4-BE49-F238E27FC236}">
                <a16:creationId xmlns:a16="http://schemas.microsoft.com/office/drawing/2014/main" id="{11AC18FB-EC23-EDDC-44F6-D5F461A7B911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56" name="Rectangle 53">
            <a:extLst>
              <a:ext uri="{FF2B5EF4-FFF2-40B4-BE49-F238E27FC236}">
                <a16:creationId xmlns:a16="http://schemas.microsoft.com/office/drawing/2014/main" id="{ACB69103-60F9-4ACD-E7AD-C77D2681F1FE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7" name="Line 54">
            <a:extLst>
              <a:ext uri="{FF2B5EF4-FFF2-40B4-BE49-F238E27FC236}">
                <a16:creationId xmlns:a16="http://schemas.microsoft.com/office/drawing/2014/main" id="{CB5D80D9-8F17-E187-2FFD-AE3B2A4EA53D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58" name="Rectangle 55">
            <a:extLst>
              <a:ext uri="{FF2B5EF4-FFF2-40B4-BE49-F238E27FC236}">
                <a16:creationId xmlns:a16="http://schemas.microsoft.com/office/drawing/2014/main" id="{AEAC4EFB-F7F1-F6DE-7502-1747C376C994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59" name="Line 56">
            <a:extLst>
              <a:ext uri="{FF2B5EF4-FFF2-40B4-BE49-F238E27FC236}">
                <a16:creationId xmlns:a16="http://schemas.microsoft.com/office/drawing/2014/main" id="{8D1FC251-5951-5FB1-73AD-8485E57AB004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0" name="Line 57">
            <a:extLst>
              <a:ext uri="{FF2B5EF4-FFF2-40B4-BE49-F238E27FC236}">
                <a16:creationId xmlns:a16="http://schemas.microsoft.com/office/drawing/2014/main" id="{CDCC429D-F13E-C64D-2700-CB7CE189E4E7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61" name="Line 58">
            <a:extLst>
              <a:ext uri="{FF2B5EF4-FFF2-40B4-BE49-F238E27FC236}">
                <a16:creationId xmlns:a16="http://schemas.microsoft.com/office/drawing/2014/main" id="{C2067B4D-AC36-11FE-2EF0-3248D0F96F67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190500</xdr:rowOff>
    </xdr:from>
    <xdr:to>
      <xdr:col>8</xdr:col>
      <xdr:colOff>0</xdr:colOff>
      <xdr:row>3</xdr:row>
      <xdr:rowOff>0</xdr:rowOff>
    </xdr:to>
    <xdr:grpSp>
      <xdr:nvGrpSpPr>
        <xdr:cNvPr id="528315" name="Group 59">
          <a:extLst>
            <a:ext uri="{FF2B5EF4-FFF2-40B4-BE49-F238E27FC236}">
              <a16:creationId xmlns:a16="http://schemas.microsoft.com/office/drawing/2014/main" id="{ACC7E1A8-2F33-F8D3-103A-D859BC912846}"/>
            </a:ext>
          </a:extLst>
        </xdr:cNvPr>
        <xdr:cNvGrpSpPr>
          <a:grpSpLocks/>
        </xdr:cNvGrpSpPr>
      </xdr:nvGrpSpPr>
      <xdr:grpSpPr bwMode="auto">
        <a:xfrm>
          <a:off x="6536267" y="1316567"/>
          <a:ext cx="0" cy="385233"/>
          <a:chOff x="570" y="224"/>
          <a:chExt cx="377" cy="136"/>
        </a:xfrm>
      </xdr:grpSpPr>
      <xdr:sp macro="" textlink="">
        <xdr:nvSpPr>
          <xdr:cNvPr id="533436" name="Rectangle 60">
            <a:extLst>
              <a:ext uri="{FF2B5EF4-FFF2-40B4-BE49-F238E27FC236}">
                <a16:creationId xmlns:a16="http://schemas.microsoft.com/office/drawing/2014/main" id="{73C9D192-7683-0F34-BE54-49C3EAFAD76E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7" name="Rectangle 61">
            <a:extLst>
              <a:ext uri="{FF2B5EF4-FFF2-40B4-BE49-F238E27FC236}">
                <a16:creationId xmlns:a16="http://schemas.microsoft.com/office/drawing/2014/main" id="{978E3601-BD27-F715-429F-9C6EAE622C9B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8" name="Rectangle 62">
            <a:extLst>
              <a:ext uri="{FF2B5EF4-FFF2-40B4-BE49-F238E27FC236}">
                <a16:creationId xmlns:a16="http://schemas.microsoft.com/office/drawing/2014/main" id="{5F08992D-064C-72F9-9CAD-0A598B27205D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9" name="Rectangle 63">
            <a:extLst>
              <a:ext uri="{FF2B5EF4-FFF2-40B4-BE49-F238E27FC236}">
                <a16:creationId xmlns:a16="http://schemas.microsoft.com/office/drawing/2014/main" id="{720A3488-DDE1-BA7B-0AF3-A7C476C90CCA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40" name="Line 64">
            <a:extLst>
              <a:ext uri="{FF2B5EF4-FFF2-40B4-BE49-F238E27FC236}">
                <a16:creationId xmlns:a16="http://schemas.microsoft.com/office/drawing/2014/main" id="{25D34F7C-63CA-4DE9-A6AA-921023215B72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1" name="Line 65">
            <a:extLst>
              <a:ext uri="{FF2B5EF4-FFF2-40B4-BE49-F238E27FC236}">
                <a16:creationId xmlns:a16="http://schemas.microsoft.com/office/drawing/2014/main" id="{588FEF68-F03B-6F02-2F48-EA1655CD1722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2" name="Line 66">
            <a:extLst>
              <a:ext uri="{FF2B5EF4-FFF2-40B4-BE49-F238E27FC236}">
                <a16:creationId xmlns:a16="http://schemas.microsoft.com/office/drawing/2014/main" id="{D5EB252F-C5BA-CCBB-1DC0-A75368479569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3" name="Rectangle 67">
            <a:extLst>
              <a:ext uri="{FF2B5EF4-FFF2-40B4-BE49-F238E27FC236}">
                <a16:creationId xmlns:a16="http://schemas.microsoft.com/office/drawing/2014/main" id="{5C340C05-65F3-5888-E630-6351D1659B00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44" name="Line 68">
            <a:extLst>
              <a:ext uri="{FF2B5EF4-FFF2-40B4-BE49-F238E27FC236}">
                <a16:creationId xmlns:a16="http://schemas.microsoft.com/office/drawing/2014/main" id="{E41680C2-CFA9-3625-9F5D-7EEF55BAAABE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5" name="Rectangle 69">
            <a:extLst>
              <a:ext uri="{FF2B5EF4-FFF2-40B4-BE49-F238E27FC236}">
                <a16:creationId xmlns:a16="http://schemas.microsoft.com/office/drawing/2014/main" id="{24D35CE7-B658-6E87-03FE-EEC1CEBD3D12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46" name="Line 70">
            <a:extLst>
              <a:ext uri="{FF2B5EF4-FFF2-40B4-BE49-F238E27FC236}">
                <a16:creationId xmlns:a16="http://schemas.microsoft.com/office/drawing/2014/main" id="{13649CC8-233F-BC3F-268F-C06E0A50D111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7" name="Line 71">
            <a:extLst>
              <a:ext uri="{FF2B5EF4-FFF2-40B4-BE49-F238E27FC236}">
                <a16:creationId xmlns:a16="http://schemas.microsoft.com/office/drawing/2014/main" id="{4EE0CFC8-0D3C-76C1-BCA8-10DA3199782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48" name="Line 72">
            <a:extLst>
              <a:ext uri="{FF2B5EF4-FFF2-40B4-BE49-F238E27FC236}">
                <a16:creationId xmlns:a16="http://schemas.microsoft.com/office/drawing/2014/main" id="{2055883E-62AA-17EA-967D-5871A0A4657A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6" name="Group 73">
          <a:extLst>
            <a:ext uri="{FF2B5EF4-FFF2-40B4-BE49-F238E27FC236}">
              <a16:creationId xmlns:a16="http://schemas.microsoft.com/office/drawing/2014/main" id="{5EEB9669-31EA-658A-2EBF-D9DF83B899FA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429" name="Rectangle 74">
            <a:extLst>
              <a:ext uri="{FF2B5EF4-FFF2-40B4-BE49-F238E27FC236}">
                <a16:creationId xmlns:a16="http://schemas.microsoft.com/office/drawing/2014/main" id="{AC8C5043-1870-E09C-7061-84757D33154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0" name="Rectangle 75">
            <a:extLst>
              <a:ext uri="{FF2B5EF4-FFF2-40B4-BE49-F238E27FC236}">
                <a16:creationId xmlns:a16="http://schemas.microsoft.com/office/drawing/2014/main" id="{9F3EE139-16FB-4940-FC05-3A53F913CFE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1" name="Rectangle 76">
            <a:extLst>
              <a:ext uri="{FF2B5EF4-FFF2-40B4-BE49-F238E27FC236}">
                <a16:creationId xmlns:a16="http://schemas.microsoft.com/office/drawing/2014/main" id="{B00EB07F-4409-647C-9732-9E958C38CFF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2" name="Rectangle 77">
            <a:extLst>
              <a:ext uri="{FF2B5EF4-FFF2-40B4-BE49-F238E27FC236}">
                <a16:creationId xmlns:a16="http://schemas.microsoft.com/office/drawing/2014/main" id="{B89A5BB7-FF7C-5D08-ADB7-827563161B4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33" name="Line 78">
            <a:extLst>
              <a:ext uri="{FF2B5EF4-FFF2-40B4-BE49-F238E27FC236}">
                <a16:creationId xmlns:a16="http://schemas.microsoft.com/office/drawing/2014/main" id="{5FB7B05E-2CAD-823F-A145-BFF3AB3F421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34" name="Line 79">
            <a:extLst>
              <a:ext uri="{FF2B5EF4-FFF2-40B4-BE49-F238E27FC236}">
                <a16:creationId xmlns:a16="http://schemas.microsoft.com/office/drawing/2014/main" id="{034B5CA6-9DE3-DCC9-0E76-11EB765BF75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35" name="Line 80">
            <a:extLst>
              <a:ext uri="{FF2B5EF4-FFF2-40B4-BE49-F238E27FC236}">
                <a16:creationId xmlns:a16="http://schemas.microsoft.com/office/drawing/2014/main" id="{0EBDA665-0979-446F-E858-32E46DF6B67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7" name="Group 81">
          <a:extLst>
            <a:ext uri="{FF2B5EF4-FFF2-40B4-BE49-F238E27FC236}">
              <a16:creationId xmlns:a16="http://schemas.microsoft.com/office/drawing/2014/main" id="{4FD39116-F0E4-9E45-F2EE-BFA97DD6058D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422" name="Rectangle 82">
            <a:extLst>
              <a:ext uri="{FF2B5EF4-FFF2-40B4-BE49-F238E27FC236}">
                <a16:creationId xmlns:a16="http://schemas.microsoft.com/office/drawing/2014/main" id="{85160D07-B8FA-8A32-5B91-FE434B1FF73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23" name="Rectangle 83">
            <a:extLst>
              <a:ext uri="{FF2B5EF4-FFF2-40B4-BE49-F238E27FC236}">
                <a16:creationId xmlns:a16="http://schemas.microsoft.com/office/drawing/2014/main" id="{E288C3C7-FCB2-F759-E42F-E72FDCE6F23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24" name="Rectangle 84">
            <a:extLst>
              <a:ext uri="{FF2B5EF4-FFF2-40B4-BE49-F238E27FC236}">
                <a16:creationId xmlns:a16="http://schemas.microsoft.com/office/drawing/2014/main" id="{C19C400A-2291-B583-A819-DFAB71B3D09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25" name="Rectangle 85">
            <a:extLst>
              <a:ext uri="{FF2B5EF4-FFF2-40B4-BE49-F238E27FC236}">
                <a16:creationId xmlns:a16="http://schemas.microsoft.com/office/drawing/2014/main" id="{504D63BC-1694-7DCA-4CD8-2154C609434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26" name="Line 86">
            <a:extLst>
              <a:ext uri="{FF2B5EF4-FFF2-40B4-BE49-F238E27FC236}">
                <a16:creationId xmlns:a16="http://schemas.microsoft.com/office/drawing/2014/main" id="{C98BD244-DF16-02C3-514E-81B38CD26F6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27" name="Line 87">
            <a:extLst>
              <a:ext uri="{FF2B5EF4-FFF2-40B4-BE49-F238E27FC236}">
                <a16:creationId xmlns:a16="http://schemas.microsoft.com/office/drawing/2014/main" id="{4BE3A87E-1AE6-71D7-C822-3230C499A238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28" name="Line 88">
            <a:extLst>
              <a:ext uri="{FF2B5EF4-FFF2-40B4-BE49-F238E27FC236}">
                <a16:creationId xmlns:a16="http://schemas.microsoft.com/office/drawing/2014/main" id="{C3E35E81-AEF5-1301-134E-C1FE0CBC637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8" name="Group 89">
          <a:extLst>
            <a:ext uri="{FF2B5EF4-FFF2-40B4-BE49-F238E27FC236}">
              <a16:creationId xmlns:a16="http://schemas.microsoft.com/office/drawing/2014/main" id="{91698FD1-857E-34FF-8F18-138EBF2D3A77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415" name="Rectangle 90">
            <a:extLst>
              <a:ext uri="{FF2B5EF4-FFF2-40B4-BE49-F238E27FC236}">
                <a16:creationId xmlns:a16="http://schemas.microsoft.com/office/drawing/2014/main" id="{E2D065BF-F44B-C790-C9FF-667D541B861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6" name="Rectangle 91">
            <a:extLst>
              <a:ext uri="{FF2B5EF4-FFF2-40B4-BE49-F238E27FC236}">
                <a16:creationId xmlns:a16="http://schemas.microsoft.com/office/drawing/2014/main" id="{AA78D46C-1028-0491-8020-487F4C197C9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7" name="Rectangle 92">
            <a:extLst>
              <a:ext uri="{FF2B5EF4-FFF2-40B4-BE49-F238E27FC236}">
                <a16:creationId xmlns:a16="http://schemas.microsoft.com/office/drawing/2014/main" id="{8C36873F-B926-A5D5-F79F-0D6A1756650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8" name="Rectangle 93">
            <a:extLst>
              <a:ext uri="{FF2B5EF4-FFF2-40B4-BE49-F238E27FC236}">
                <a16:creationId xmlns:a16="http://schemas.microsoft.com/office/drawing/2014/main" id="{07AC1BA8-7D79-A00B-F4AD-AF094EAB487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9" name="Line 94">
            <a:extLst>
              <a:ext uri="{FF2B5EF4-FFF2-40B4-BE49-F238E27FC236}">
                <a16:creationId xmlns:a16="http://schemas.microsoft.com/office/drawing/2014/main" id="{4F27A917-07E9-3431-CBE9-38C8864D125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20" name="Line 95">
            <a:extLst>
              <a:ext uri="{FF2B5EF4-FFF2-40B4-BE49-F238E27FC236}">
                <a16:creationId xmlns:a16="http://schemas.microsoft.com/office/drawing/2014/main" id="{66BFB306-9AFC-5C26-F336-32F2AEF25F1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21" name="Line 96">
            <a:extLst>
              <a:ext uri="{FF2B5EF4-FFF2-40B4-BE49-F238E27FC236}">
                <a16:creationId xmlns:a16="http://schemas.microsoft.com/office/drawing/2014/main" id="{3B60F829-9043-F891-2355-A2B366A7F17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19" name="Group 97">
          <a:extLst>
            <a:ext uri="{FF2B5EF4-FFF2-40B4-BE49-F238E27FC236}">
              <a16:creationId xmlns:a16="http://schemas.microsoft.com/office/drawing/2014/main" id="{4BD27E26-72AA-9BC8-CF1B-9D3AD10AF46B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408" name="Rectangle 98">
            <a:extLst>
              <a:ext uri="{FF2B5EF4-FFF2-40B4-BE49-F238E27FC236}">
                <a16:creationId xmlns:a16="http://schemas.microsoft.com/office/drawing/2014/main" id="{4E487B5E-603F-8A3D-3B9D-173D12F36388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9" name="Rectangle 99">
            <a:extLst>
              <a:ext uri="{FF2B5EF4-FFF2-40B4-BE49-F238E27FC236}">
                <a16:creationId xmlns:a16="http://schemas.microsoft.com/office/drawing/2014/main" id="{A9E586E4-15A4-DBD5-B8D7-F3F3DF097C4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0" name="Rectangle 100">
            <a:extLst>
              <a:ext uri="{FF2B5EF4-FFF2-40B4-BE49-F238E27FC236}">
                <a16:creationId xmlns:a16="http://schemas.microsoft.com/office/drawing/2014/main" id="{4EB31590-6FB1-0134-B3F8-36FE2B7F291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1" name="Rectangle 101">
            <a:extLst>
              <a:ext uri="{FF2B5EF4-FFF2-40B4-BE49-F238E27FC236}">
                <a16:creationId xmlns:a16="http://schemas.microsoft.com/office/drawing/2014/main" id="{D41A5708-B0CF-0CCC-0D14-B35405BC729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12" name="Line 102">
            <a:extLst>
              <a:ext uri="{FF2B5EF4-FFF2-40B4-BE49-F238E27FC236}">
                <a16:creationId xmlns:a16="http://schemas.microsoft.com/office/drawing/2014/main" id="{855EA26A-6645-1797-FB02-8A9845308B1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13" name="Line 103">
            <a:extLst>
              <a:ext uri="{FF2B5EF4-FFF2-40B4-BE49-F238E27FC236}">
                <a16:creationId xmlns:a16="http://schemas.microsoft.com/office/drawing/2014/main" id="{6426BF3E-C517-B902-0C70-B30AAFABDBD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14" name="Line 104">
            <a:extLst>
              <a:ext uri="{FF2B5EF4-FFF2-40B4-BE49-F238E27FC236}">
                <a16:creationId xmlns:a16="http://schemas.microsoft.com/office/drawing/2014/main" id="{241FCE70-B832-27AC-1C4C-0CB2AB175E0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0" name="Group 105">
          <a:extLst>
            <a:ext uri="{FF2B5EF4-FFF2-40B4-BE49-F238E27FC236}">
              <a16:creationId xmlns:a16="http://schemas.microsoft.com/office/drawing/2014/main" id="{D666D363-0F56-EDBB-3C86-F1AA922BF3FF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401" name="Rectangle 106">
            <a:extLst>
              <a:ext uri="{FF2B5EF4-FFF2-40B4-BE49-F238E27FC236}">
                <a16:creationId xmlns:a16="http://schemas.microsoft.com/office/drawing/2014/main" id="{6AA9991A-8DA4-A2C2-11E8-2F8311EE1B45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2" name="Rectangle 107">
            <a:extLst>
              <a:ext uri="{FF2B5EF4-FFF2-40B4-BE49-F238E27FC236}">
                <a16:creationId xmlns:a16="http://schemas.microsoft.com/office/drawing/2014/main" id="{B426D192-ABF8-4C64-D253-E3F2D7F3A6E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3" name="Rectangle 108">
            <a:extLst>
              <a:ext uri="{FF2B5EF4-FFF2-40B4-BE49-F238E27FC236}">
                <a16:creationId xmlns:a16="http://schemas.microsoft.com/office/drawing/2014/main" id="{7B50FE50-60CE-A47D-3761-365FAAE5D47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4" name="Rectangle 109">
            <a:extLst>
              <a:ext uri="{FF2B5EF4-FFF2-40B4-BE49-F238E27FC236}">
                <a16:creationId xmlns:a16="http://schemas.microsoft.com/office/drawing/2014/main" id="{A26FC24A-FF0F-CA21-110E-5808251E643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405" name="Line 110">
            <a:extLst>
              <a:ext uri="{FF2B5EF4-FFF2-40B4-BE49-F238E27FC236}">
                <a16:creationId xmlns:a16="http://schemas.microsoft.com/office/drawing/2014/main" id="{4375CB71-35EB-5D6B-C3EE-1EC3DF41E74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06" name="Line 111">
            <a:extLst>
              <a:ext uri="{FF2B5EF4-FFF2-40B4-BE49-F238E27FC236}">
                <a16:creationId xmlns:a16="http://schemas.microsoft.com/office/drawing/2014/main" id="{F2633B99-BD80-3617-8E3C-A2C6A03C0D4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07" name="Line 112">
            <a:extLst>
              <a:ext uri="{FF2B5EF4-FFF2-40B4-BE49-F238E27FC236}">
                <a16:creationId xmlns:a16="http://schemas.microsoft.com/office/drawing/2014/main" id="{3DBD42CD-A455-44CE-D07D-7803BDD1533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1" name="Group 113">
          <a:extLst>
            <a:ext uri="{FF2B5EF4-FFF2-40B4-BE49-F238E27FC236}">
              <a16:creationId xmlns:a16="http://schemas.microsoft.com/office/drawing/2014/main" id="{3B7B3579-B870-6E1B-62CD-3D9FB6CCCA1C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94" name="Rectangle 114">
            <a:extLst>
              <a:ext uri="{FF2B5EF4-FFF2-40B4-BE49-F238E27FC236}">
                <a16:creationId xmlns:a16="http://schemas.microsoft.com/office/drawing/2014/main" id="{25F31CC3-19C0-32C4-010C-87AF420CB40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5" name="Rectangle 115">
            <a:extLst>
              <a:ext uri="{FF2B5EF4-FFF2-40B4-BE49-F238E27FC236}">
                <a16:creationId xmlns:a16="http://schemas.microsoft.com/office/drawing/2014/main" id="{8304A8D6-4BA8-6DA8-751D-032DA0BCCC2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6" name="Rectangle 116">
            <a:extLst>
              <a:ext uri="{FF2B5EF4-FFF2-40B4-BE49-F238E27FC236}">
                <a16:creationId xmlns:a16="http://schemas.microsoft.com/office/drawing/2014/main" id="{6557268F-AC23-B664-08B3-2E31C8B0162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7" name="Rectangle 117">
            <a:extLst>
              <a:ext uri="{FF2B5EF4-FFF2-40B4-BE49-F238E27FC236}">
                <a16:creationId xmlns:a16="http://schemas.microsoft.com/office/drawing/2014/main" id="{C8E27FFF-D283-CCFA-2D88-3844005EC23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8" name="Line 118">
            <a:extLst>
              <a:ext uri="{FF2B5EF4-FFF2-40B4-BE49-F238E27FC236}">
                <a16:creationId xmlns:a16="http://schemas.microsoft.com/office/drawing/2014/main" id="{7FFD7CDB-7AC4-0F56-9ACB-F91B0D0D6CB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99" name="Line 119">
            <a:extLst>
              <a:ext uri="{FF2B5EF4-FFF2-40B4-BE49-F238E27FC236}">
                <a16:creationId xmlns:a16="http://schemas.microsoft.com/office/drawing/2014/main" id="{181B9FDF-96D4-0C3D-1068-369215EF24D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400" name="Line 120">
            <a:extLst>
              <a:ext uri="{FF2B5EF4-FFF2-40B4-BE49-F238E27FC236}">
                <a16:creationId xmlns:a16="http://schemas.microsoft.com/office/drawing/2014/main" id="{75B33B6B-5CD7-22FA-18EE-9F7D2CE07A7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2" name="Group 121">
          <a:extLst>
            <a:ext uri="{FF2B5EF4-FFF2-40B4-BE49-F238E27FC236}">
              <a16:creationId xmlns:a16="http://schemas.microsoft.com/office/drawing/2014/main" id="{95DFF616-DE31-5D3F-7CFF-70372B4D3E36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87" name="Rectangle 122">
            <a:extLst>
              <a:ext uri="{FF2B5EF4-FFF2-40B4-BE49-F238E27FC236}">
                <a16:creationId xmlns:a16="http://schemas.microsoft.com/office/drawing/2014/main" id="{CD32DD85-A448-BB01-93EA-2851B702F04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8" name="Rectangle 123">
            <a:extLst>
              <a:ext uri="{FF2B5EF4-FFF2-40B4-BE49-F238E27FC236}">
                <a16:creationId xmlns:a16="http://schemas.microsoft.com/office/drawing/2014/main" id="{1F343E16-CFB5-A198-598C-4A9BBF098370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9" name="Rectangle 124">
            <a:extLst>
              <a:ext uri="{FF2B5EF4-FFF2-40B4-BE49-F238E27FC236}">
                <a16:creationId xmlns:a16="http://schemas.microsoft.com/office/drawing/2014/main" id="{C2BAC2A6-D253-EC0C-6F7A-BE70113D22D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0" name="Rectangle 125">
            <a:extLst>
              <a:ext uri="{FF2B5EF4-FFF2-40B4-BE49-F238E27FC236}">
                <a16:creationId xmlns:a16="http://schemas.microsoft.com/office/drawing/2014/main" id="{BB56075B-D665-9753-254A-0C95CDF216B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91" name="Line 126">
            <a:extLst>
              <a:ext uri="{FF2B5EF4-FFF2-40B4-BE49-F238E27FC236}">
                <a16:creationId xmlns:a16="http://schemas.microsoft.com/office/drawing/2014/main" id="{820F95EE-4ACE-2FAE-34A6-5E2A0D5C736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92" name="Line 127">
            <a:extLst>
              <a:ext uri="{FF2B5EF4-FFF2-40B4-BE49-F238E27FC236}">
                <a16:creationId xmlns:a16="http://schemas.microsoft.com/office/drawing/2014/main" id="{F617AF63-C152-E1BE-B28C-2D75E6CE732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93" name="Line 128">
            <a:extLst>
              <a:ext uri="{FF2B5EF4-FFF2-40B4-BE49-F238E27FC236}">
                <a16:creationId xmlns:a16="http://schemas.microsoft.com/office/drawing/2014/main" id="{6B3AEFEC-677D-50CA-4C78-2768AE691EE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3" name="Group 129">
          <a:extLst>
            <a:ext uri="{FF2B5EF4-FFF2-40B4-BE49-F238E27FC236}">
              <a16:creationId xmlns:a16="http://schemas.microsoft.com/office/drawing/2014/main" id="{E76F4618-4B34-A4DA-47FE-2AAC10A0BBE1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80" name="Rectangle 130">
            <a:extLst>
              <a:ext uri="{FF2B5EF4-FFF2-40B4-BE49-F238E27FC236}">
                <a16:creationId xmlns:a16="http://schemas.microsoft.com/office/drawing/2014/main" id="{B80343B7-D313-11D4-4B74-4E7721A1D77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1" name="Rectangle 131">
            <a:extLst>
              <a:ext uri="{FF2B5EF4-FFF2-40B4-BE49-F238E27FC236}">
                <a16:creationId xmlns:a16="http://schemas.microsoft.com/office/drawing/2014/main" id="{E77E8A45-9268-9B7D-9D50-267E777F474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2" name="Rectangle 132">
            <a:extLst>
              <a:ext uri="{FF2B5EF4-FFF2-40B4-BE49-F238E27FC236}">
                <a16:creationId xmlns:a16="http://schemas.microsoft.com/office/drawing/2014/main" id="{F87F6E01-5BF1-5B6B-BCAC-851958EFC45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3" name="Rectangle 133">
            <a:extLst>
              <a:ext uri="{FF2B5EF4-FFF2-40B4-BE49-F238E27FC236}">
                <a16:creationId xmlns:a16="http://schemas.microsoft.com/office/drawing/2014/main" id="{941D5F43-CAAA-E8E8-5E3D-396F24C2F87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84" name="Line 134">
            <a:extLst>
              <a:ext uri="{FF2B5EF4-FFF2-40B4-BE49-F238E27FC236}">
                <a16:creationId xmlns:a16="http://schemas.microsoft.com/office/drawing/2014/main" id="{43B7BE31-9020-4D00-411E-00052FA157F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85" name="Line 135">
            <a:extLst>
              <a:ext uri="{FF2B5EF4-FFF2-40B4-BE49-F238E27FC236}">
                <a16:creationId xmlns:a16="http://schemas.microsoft.com/office/drawing/2014/main" id="{8B941467-7BBC-3AE8-AAEA-7C4ECF16CE2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86" name="Line 136">
            <a:extLst>
              <a:ext uri="{FF2B5EF4-FFF2-40B4-BE49-F238E27FC236}">
                <a16:creationId xmlns:a16="http://schemas.microsoft.com/office/drawing/2014/main" id="{2CF5368F-4769-E2E3-2F43-270F3CDB988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4" name="Group 137">
          <a:extLst>
            <a:ext uri="{FF2B5EF4-FFF2-40B4-BE49-F238E27FC236}">
              <a16:creationId xmlns:a16="http://schemas.microsoft.com/office/drawing/2014/main" id="{95FCA0AA-0A00-7D5E-7FE2-3CC557B0BA39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73" name="Rectangle 138">
            <a:extLst>
              <a:ext uri="{FF2B5EF4-FFF2-40B4-BE49-F238E27FC236}">
                <a16:creationId xmlns:a16="http://schemas.microsoft.com/office/drawing/2014/main" id="{A41AA534-5706-DB39-9382-A70932D98C8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4" name="Rectangle 139">
            <a:extLst>
              <a:ext uri="{FF2B5EF4-FFF2-40B4-BE49-F238E27FC236}">
                <a16:creationId xmlns:a16="http://schemas.microsoft.com/office/drawing/2014/main" id="{6DE83540-CC3A-08AA-8391-963B99A9AA0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5" name="Rectangle 140">
            <a:extLst>
              <a:ext uri="{FF2B5EF4-FFF2-40B4-BE49-F238E27FC236}">
                <a16:creationId xmlns:a16="http://schemas.microsoft.com/office/drawing/2014/main" id="{3ACF3CE6-9F59-8458-A04D-1FAEE489B7F4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6" name="Rectangle 141">
            <a:extLst>
              <a:ext uri="{FF2B5EF4-FFF2-40B4-BE49-F238E27FC236}">
                <a16:creationId xmlns:a16="http://schemas.microsoft.com/office/drawing/2014/main" id="{913038F7-4972-2AA6-DA41-A79FB33BBEC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7" name="Line 142">
            <a:extLst>
              <a:ext uri="{FF2B5EF4-FFF2-40B4-BE49-F238E27FC236}">
                <a16:creationId xmlns:a16="http://schemas.microsoft.com/office/drawing/2014/main" id="{E5ABA815-5D54-5259-71AC-4F69999F76A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78" name="Line 143">
            <a:extLst>
              <a:ext uri="{FF2B5EF4-FFF2-40B4-BE49-F238E27FC236}">
                <a16:creationId xmlns:a16="http://schemas.microsoft.com/office/drawing/2014/main" id="{D823F7D3-C266-68F4-DEC5-5A45DD7746D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79" name="Line 144">
            <a:extLst>
              <a:ext uri="{FF2B5EF4-FFF2-40B4-BE49-F238E27FC236}">
                <a16:creationId xmlns:a16="http://schemas.microsoft.com/office/drawing/2014/main" id="{1FB6A952-58AC-C0AC-AB5F-453EC46F9D4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5" name="Group 145">
          <a:extLst>
            <a:ext uri="{FF2B5EF4-FFF2-40B4-BE49-F238E27FC236}">
              <a16:creationId xmlns:a16="http://schemas.microsoft.com/office/drawing/2014/main" id="{F1B6D51A-7623-E486-F5F9-A45D3808F0F0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66" name="Rectangle 146">
            <a:extLst>
              <a:ext uri="{FF2B5EF4-FFF2-40B4-BE49-F238E27FC236}">
                <a16:creationId xmlns:a16="http://schemas.microsoft.com/office/drawing/2014/main" id="{D8F8693C-AF6B-462F-CFBC-7ECC8C8A0D0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7" name="Rectangle 147">
            <a:extLst>
              <a:ext uri="{FF2B5EF4-FFF2-40B4-BE49-F238E27FC236}">
                <a16:creationId xmlns:a16="http://schemas.microsoft.com/office/drawing/2014/main" id="{F084D563-AC43-D3D9-66F4-5A055E51A34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8" name="Rectangle 148">
            <a:extLst>
              <a:ext uri="{FF2B5EF4-FFF2-40B4-BE49-F238E27FC236}">
                <a16:creationId xmlns:a16="http://schemas.microsoft.com/office/drawing/2014/main" id="{10C0E104-D04B-14B2-C9C2-1D60E28E118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9" name="Rectangle 149">
            <a:extLst>
              <a:ext uri="{FF2B5EF4-FFF2-40B4-BE49-F238E27FC236}">
                <a16:creationId xmlns:a16="http://schemas.microsoft.com/office/drawing/2014/main" id="{F22A4C66-DA78-DDDE-F89D-ABE4F315E69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70" name="Line 150">
            <a:extLst>
              <a:ext uri="{FF2B5EF4-FFF2-40B4-BE49-F238E27FC236}">
                <a16:creationId xmlns:a16="http://schemas.microsoft.com/office/drawing/2014/main" id="{5D14BC66-5C02-E2A6-DCA6-8A605C8B145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71" name="Line 151">
            <a:extLst>
              <a:ext uri="{FF2B5EF4-FFF2-40B4-BE49-F238E27FC236}">
                <a16:creationId xmlns:a16="http://schemas.microsoft.com/office/drawing/2014/main" id="{ADF13DF4-CEAC-D6E6-211F-B3F8F97C911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72" name="Line 152">
            <a:extLst>
              <a:ext uri="{FF2B5EF4-FFF2-40B4-BE49-F238E27FC236}">
                <a16:creationId xmlns:a16="http://schemas.microsoft.com/office/drawing/2014/main" id="{0EADB631-1E83-1A73-9B86-A1CFA3ADB35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6" name="Group 153">
          <a:extLst>
            <a:ext uri="{FF2B5EF4-FFF2-40B4-BE49-F238E27FC236}">
              <a16:creationId xmlns:a16="http://schemas.microsoft.com/office/drawing/2014/main" id="{6A4DA7FC-80FD-CF45-7D72-1CEC38AA540A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59" name="Rectangle 154">
            <a:extLst>
              <a:ext uri="{FF2B5EF4-FFF2-40B4-BE49-F238E27FC236}">
                <a16:creationId xmlns:a16="http://schemas.microsoft.com/office/drawing/2014/main" id="{20A47BB4-A9AE-7F86-438E-AFB47FA28CE5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0" name="Rectangle 155">
            <a:extLst>
              <a:ext uri="{FF2B5EF4-FFF2-40B4-BE49-F238E27FC236}">
                <a16:creationId xmlns:a16="http://schemas.microsoft.com/office/drawing/2014/main" id="{0529F02A-A1B3-9176-434D-81A841DF591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1" name="Rectangle 156">
            <a:extLst>
              <a:ext uri="{FF2B5EF4-FFF2-40B4-BE49-F238E27FC236}">
                <a16:creationId xmlns:a16="http://schemas.microsoft.com/office/drawing/2014/main" id="{4BCC5E87-A0C3-A0E2-5DB7-6A4FA78E9D8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2" name="Rectangle 157">
            <a:extLst>
              <a:ext uri="{FF2B5EF4-FFF2-40B4-BE49-F238E27FC236}">
                <a16:creationId xmlns:a16="http://schemas.microsoft.com/office/drawing/2014/main" id="{5CBA3E68-6D19-7AE6-2775-BFD4F9B7C40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63" name="Line 158">
            <a:extLst>
              <a:ext uri="{FF2B5EF4-FFF2-40B4-BE49-F238E27FC236}">
                <a16:creationId xmlns:a16="http://schemas.microsoft.com/office/drawing/2014/main" id="{9F1828E7-78B4-201D-B05C-A59A4249001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64" name="Line 159">
            <a:extLst>
              <a:ext uri="{FF2B5EF4-FFF2-40B4-BE49-F238E27FC236}">
                <a16:creationId xmlns:a16="http://schemas.microsoft.com/office/drawing/2014/main" id="{380B1387-DF75-8B29-53BD-F847532EE21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65" name="Line 160">
            <a:extLst>
              <a:ext uri="{FF2B5EF4-FFF2-40B4-BE49-F238E27FC236}">
                <a16:creationId xmlns:a16="http://schemas.microsoft.com/office/drawing/2014/main" id="{C208C379-20CE-E271-6687-F3F21F72A7CD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7" name="Group 161">
          <a:extLst>
            <a:ext uri="{FF2B5EF4-FFF2-40B4-BE49-F238E27FC236}">
              <a16:creationId xmlns:a16="http://schemas.microsoft.com/office/drawing/2014/main" id="{94CEB0D9-C256-1B60-27FF-4DA709DC2579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52" name="Rectangle 162">
            <a:extLst>
              <a:ext uri="{FF2B5EF4-FFF2-40B4-BE49-F238E27FC236}">
                <a16:creationId xmlns:a16="http://schemas.microsoft.com/office/drawing/2014/main" id="{D74DCBA2-FD9D-4DA0-3715-5F7B0CF35CF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53" name="Rectangle 163">
            <a:extLst>
              <a:ext uri="{FF2B5EF4-FFF2-40B4-BE49-F238E27FC236}">
                <a16:creationId xmlns:a16="http://schemas.microsoft.com/office/drawing/2014/main" id="{6FDAE0A3-53B6-A9AA-C9DE-7F9D0D3134E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54" name="Rectangle 164">
            <a:extLst>
              <a:ext uri="{FF2B5EF4-FFF2-40B4-BE49-F238E27FC236}">
                <a16:creationId xmlns:a16="http://schemas.microsoft.com/office/drawing/2014/main" id="{B084C3B0-0D01-39CA-5A45-8940775DD36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55" name="Rectangle 165">
            <a:extLst>
              <a:ext uri="{FF2B5EF4-FFF2-40B4-BE49-F238E27FC236}">
                <a16:creationId xmlns:a16="http://schemas.microsoft.com/office/drawing/2014/main" id="{63A8C7A8-3805-42C9-9349-268CFA45148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56" name="Line 166">
            <a:extLst>
              <a:ext uri="{FF2B5EF4-FFF2-40B4-BE49-F238E27FC236}">
                <a16:creationId xmlns:a16="http://schemas.microsoft.com/office/drawing/2014/main" id="{2E39DEF9-B359-FB23-EDAF-BA29EC637D3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57" name="Line 167">
            <a:extLst>
              <a:ext uri="{FF2B5EF4-FFF2-40B4-BE49-F238E27FC236}">
                <a16:creationId xmlns:a16="http://schemas.microsoft.com/office/drawing/2014/main" id="{CC809F1A-68F2-1260-9EEC-2ECB9B290F3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58" name="Line 168">
            <a:extLst>
              <a:ext uri="{FF2B5EF4-FFF2-40B4-BE49-F238E27FC236}">
                <a16:creationId xmlns:a16="http://schemas.microsoft.com/office/drawing/2014/main" id="{674F13D0-19A3-C70A-B3BF-902E4F3E39A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8" name="Group 169">
          <a:extLst>
            <a:ext uri="{FF2B5EF4-FFF2-40B4-BE49-F238E27FC236}">
              <a16:creationId xmlns:a16="http://schemas.microsoft.com/office/drawing/2014/main" id="{E7E2207A-73A6-76B8-FD79-8D86850EB509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45" name="Rectangle 170">
            <a:extLst>
              <a:ext uri="{FF2B5EF4-FFF2-40B4-BE49-F238E27FC236}">
                <a16:creationId xmlns:a16="http://schemas.microsoft.com/office/drawing/2014/main" id="{AC4BBC42-352A-6148-E672-1E4D49FB3F1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6" name="Rectangle 171">
            <a:extLst>
              <a:ext uri="{FF2B5EF4-FFF2-40B4-BE49-F238E27FC236}">
                <a16:creationId xmlns:a16="http://schemas.microsoft.com/office/drawing/2014/main" id="{98FB7949-09CF-66D6-5645-836A8BA0D9F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7" name="Rectangle 172">
            <a:extLst>
              <a:ext uri="{FF2B5EF4-FFF2-40B4-BE49-F238E27FC236}">
                <a16:creationId xmlns:a16="http://schemas.microsoft.com/office/drawing/2014/main" id="{EB646089-5758-F047-FE14-BB54C1E625C4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8" name="Rectangle 173">
            <a:extLst>
              <a:ext uri="{FF2B5EF4-FFF2-40B4-BE49-F238E27FC236}">
                <a16:creationId xmlns:a16="http://schemas.microsoft.com/office/drawing/2014/main" id="{39679B24-8438-78B9-E631-37E951A617E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9" name="Line 174">
            <a:extLst>
              <a:ext uri="{FF2B5EF4-FFF2-40B4-BE49-F238E27FC236}">
                <a16:creationId xmlns:a16="http://schemas.microsoft.com/office/drawing/2014/main" id="{247EBCBA-7F14-9747-1BED-8CF8055D695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50" name="Line 175">
            <a:extLst>
              <a:ext uri="{FF2B5EF4-FFF2-40B4-BE49-F238E27FC236}">
                <a16:creationId xmlns:a16="http://schemas.microsoft.com/office/drawing/2014/main" id="{9942DDDB-AAEA-1E58-1787-14A25909667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51" name="Line 176">
            <a:extLst>
              <a:ext uri="{FF2B5EF4-FFF2-40B4-BE49-F238E27FC236}">
                <a16:creationId xmlns:a16="http://schemas.microsoft.com/office/drawing/2014/main" id="{63D2EEDB-733D-B06C-9E48-0D39F3C087E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29" name="Group 177">
          <a:extLst>
            <a:ext uri="{FF2B5EF4-FFF2-40B4-BE49-F238E27FC236}">
              <a16:creationId xmlns:a16="http://schemas.microsoft.com/office/drawing/2014/main" id="{9EE801DD-7799-99B6-17EC-7F9643A2FEC5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38" name="Rectangle 178">
            <a:extLst>
              <a:ext uri="{FF2B5EF4-FFF2-40B4-BE49-F238E27FC236}">
                <a16:creationId xmlns:a16="http://schemas.microsoft.com/office/drawing/2014/main" id="{ED9D0C79-C88B-B150-7073-20A334FEB61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9" name="Rectangle 179">
            <a:extLst>
              <a:ext uri="{FF2B5EF4-FFF2-40B4-BE49-F238E27FC236}">
                <a16:creationId xmlns:a16="http://schemas.microsoft.com/office/drawing/2014/main" id="{908C83FA-79D9-B3FC-5CE4-080E7042B2A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0" name="Rectangle 180">
            <a:extLst>
              <a:ext uri="{FF2B5EF4-FFF2-40B4-BE49-F238E27FC236}">
                <a16:creationId xmlns:a16="http://schemas.microsoft.com/office/drawing/2014/main" id="{4CCDFB99-579D-AB0F-0A80-C310441B125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1" name="Rectangle 181">
            <a:extLst>
              <a:ext uri="{FF2B5EF4-FFF2-40B4-BE49-F238E27FC236}">
                <a16:creationId xmlns:a16="http://schemas.microsoft.com/office/drawing/2014/main" id="{B2E733AE-6B1D-CF2E-8720-B8786437175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42" name="Line 182">
            <a:extLst>
              <a:ext uri="{FF2B5EF4-FFF2-40B4-BE49-F238E27FC236}">
                <a16:creationId xmlns:a16="http://schemas.microsoft.com/office/drawing/2014/main" id="{3D5FBFD0-640E-3623-61C5-CD3ED5C78F9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43" name="Line 183">
            <a:extLst>
              <a:ext uri="{FF2B5EF4-FFF2-40B4-BE49-F238E27FC236}">
                <a16:creationId xmlns:a16="http://schemas.microsoft.com/office/drawing/2014/main" id="{E760728D-0964-B923-3645-A335324B6B4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44" name="Line 184">
            <a:extLst>
              <a:ext uri="{FF2B5EF4-FFF2-40B4-BE49-F238E27FC236}">
                <a16:creationId xmlns:a16="http://schemas.microsoft.com/office/drawing/2014/main" id="{9F6C54B6-5036-67F6-C802-41525D9BDE9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0" name="Group 185">
          <a:extLst>
            <a:ext uri="{FF2B5EF4-FFF2-40B4-BE49-F238E27FC236}">
              <a16:creationId xmlns:a16="http://schemas.microsoft.com/office/drawing/2014/main" id="{B68616CE-6D72-12BC-AB49-B84E3CD3ECFA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31" name="Rectangle 186">
            <a:extLst>
              <a:ext uri="{FF2B5EF4-FFF2-40B4-BE49-F238E27FC236}">
                <a16:creationId xmlns:a16="http://schemas.microsoft.com/office/drawing/2014/main" id="{26A67DF3-7A95-8BFF-E3A9-99943C1E1B97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2" name="Rectangle 187">
            <a:extLst>
              <a:ext uri="{FF2B5EF4-FFF2-40B4-BE49-F238E27FC236}">
                <a16:creationId xmlns:a16="http://schemas.microsoft.com/office/drawing/2014/main" id="{0B49331C-4F58-3827-0895-3AD98B70832F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3" name="Rectangle 188">
            <a:extLst>
              <a:ext uri="{FF2B5EF4-FFF2-40B4-BE49-F238E27FC236}">
                <a16:creationId xmlns:a16="http://schemas.microsoft.com/office/drawing/2014/main" id="{D428865B-DF24-103F-C426-62306A9A53B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4" name="Rectangle 189">
            <a:extLst>
              <a:ext uri="{FF2B5EF4-FFF2-40B4-BE49-F238E27FC236}">
                <a16:creationId xmlns:a16="http://schemas.microsoft.com/office/drawing/2014/main" id="{0A2CEB9B-CD88-3E33-902D-05131612857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35" name="Line 190">
            <a:extLst>
              <a:ext uri="{FF2B5EF4-FFF2-40B4-BE49-F238E27FC236}">
                <a16:creationId xmlns:a16="http://schemas.microsoft.com/office/drawing/2014/main" id="{A9A39206-E250-0A20-6228-CED73E9DB1D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36" name="Line 191">
            <a:extLst>
              <a:ext uri="{FF2B5EF4-FFF2-40B4-BE49-F238E27FC236}">
                <a16:creationId xmlns:a16="http://schemas.microsoft.com/office/drawing/2014/main" id="{57BC11DC-C7EA-1AC2-1DAC-570AB0A5D23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37" name="Line 192">
            <a:extLst>
              <a:ext uri="{FF2B5EF4-FFF2-40B4-BE49-F238E27FC236}">
                <a16:creationId xmlns:a16="http://schemas.microsoft.com/office/drawing/2014/main" id="{A825718B-6FDB-F274-B9D0-97DA46247C1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1" name="Group 193">
          <a:extLst>
            <a:ext uri="{FF2B5EF4-FFF2-40B4-BE49-F238E27FC236}">
              <a16:creationId xmlns:a16="http://schemas.microsoft.com/office/drawing/2014/main" id="{4086DFFC-CAC8-8403-C7BA-A635CA0E8BC5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24" name="Rectangle 194">
            <a:extLst>
              <a:ext uri="{FF2B5EF4-FFF2-40B4-BE49-F238E27FC236}">
                <a16:creationId xmlns:a16="http://schemas.microsoft.com/office/drawing/2014/main" id="{E75F9319-9CB9-6445-A7F7-F9536509CE6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5" name="Rectangle 195">
            <a:extLst>
              <a:ext uri="{FF2B5EF4-FFF2-40B4-BE49-F238E27FC236}">
                <a16:creationId xmlns:a16="http://schemas.microsoft.com/office/drawing/2014/main" id="{3CEDF1DE-1E46-DB87-92CE-2FC42D48662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6" name="Rectangle 196">
            <a:extLst>
              <a:ext uri="{FF2B5EF4-FFF2-40B4-BE49-F238E27FC236}">
                <a16:creationId xmlns:a16="http://schemas.microsoft.com/office/drawing/2014/main" id="{F4617F5A-25B1-A423-6DD7-9FF1BE01416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7" name="Rectangle 197">
            <a:extLst>
              <a:ext uri="{FF2B5EF4-FFF2-40B4-BE49-F238E27FC236}">
                <a16:creationId xmlns:a16="http://schemas.microsoft.com/office/drawing/2014/main" id="{D1A8B1B1-C307-175F-ADB4-5CDDF1D59F5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8" name="Line 198">
            <a:extLst>
              <a:ext uri="{FF2B5EF4-FFF2-40B4-BE49-F238E27FC236}">
                <a16:creationId xmlns:a16="http://schemas.microsoft.com/office/drawing/2014/main" id="{AF721E34-CB4D-3CCD-DCB8-B9394C8E236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29" name="Line 199">
            <a:extLst>
              <a:ext uri="{FF2B5EF4-FFF2-40B4-BE49-F238E27FC236}">
                <a16:creationId xmlns:a16="http://schemas.microsoft.com/office/drawing/2014/main" id="{1790F85B-D7AC-9521-6E01-335135335C18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30" name="Line 200">
            <a:extLst>
              <a:ext uri="{FF2B5EF4-FFF2-40B4-BE49-F238E27FC236}">
                <a16:creationId xmlns:a16="http://schemas.microsoft.com/office/drawing/2014/main" id="{681C1BC7-8868-93EB-EEDF-AB598E65F8D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2" name="Group 201">
          <a:extLst>
            <a:ext uri="{FF2B5EF4-FFF2-40B4-BE49-F238E27FC236}">
              <a16:creationId xmlns:a16="http://schemas.microsoft.com/office/drawing/2014/main" id="{7D643DD9-3CF0-29AB-2635-A1A4D4E08974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17" name="Rectangle 202">
            <a:extLst>
              <a:ext uri="{FF2B5EF4-FFF2-40B4-BE49-F238E27FC236}">
                <a16:creationId xmlns:a16="http://schemas.microsoft.com/office/drawing/2014/main" id="{60298E64-E6D0-3610-0C93-BFBD70AB711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8" name="Rectangle 203">
            <a:extLst>
              <a:ext uri="{FF2B5EF4-FFF2-40B4-BE49-F238E27FC236}">
                <a16:creationId xmlns:a16="http://schemas.microsoft.com/office/drawing/2014/main" id="{20B3B80D-6F7A-224C-6C2B-5A64EBEA6EA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9" name="Rectangle 204">
            <a:extLst>
              <a:ext uri="{FF2B5EF4-FFF2-40B4-BE49-F238E27FC236}">
                <a16:creationId xmlns:a16="http://schemas.microsoft.com/office/drawing/2014/main" id="{9005AF3F-D1B7-0EC3-BFC8-D51564A2344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0" name="Rectangle 205">
            <a:extLst>
              <a:ext uri="{FF2B5EF4-FFF2-40B4-BE49-F238E27FC236}">
                <a16:creationId xmlns:a16="http://schemas.microsoft.com/office/drawing/2014/main" id="{CDC742AC-9547-8632-2883-5FDCEA9F8AE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21" name="Line 206">
            <a:extLst>
              <a:ext uri="{FF2B5EF4-FFF2-40B4-BE49-F238E27FC236}">
                <a16:creationId xmlns:a16="http://schemas.microsoft.com/office/drawing/2014/main" id="{FCE052BE-E7DB-A6CD-455C-302283C3E25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22" name="Line 207">
            <a:extLst>
              <a:ext uri="{FF2B5EF4-FFF2-40B4-BE49-F238E27FC236}">
                <a16:creationId xmlns:a16="http://schemas.microsoft.com/office/drawing/2014/main" id="{7D1480A8-2CDD-7119-68A2-435A5ACA26E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23" name="Line 208">
            <a:extLst>
              <a:ext uri="{FF2B5EF4-FFF2-40B4-BE49-F238E27FC236}">
                <a16:creationId xmlns:a16="http://schemas.microsoft.com/office/drawing/2014/main" id="{D6740F65-DEB4-F7EE-C3B2-35682E5CA2F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3" name="Group 209">
          <a:extLst>
            <a:ext uri="{FF2B5EF4-FFF2-40B4-BE49-F238E27FC236}">
              <a16:creationId xmlns:a16="http://schemas.microsoft.com/office/drawing/2014/main" id="{A550FE62-69A6-59A3-9F45-9448A5C485F5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10" name="Rectangle 210">
            <a:extLst>
              <a:ext uri="{FF2B5EF4-FFF2-40B4-BE49-F238E27FC236}">
                <a16:creationId xmlns:a16="http://schemas.microsoft.com/office/drawing/2014/main" id="{DF38A77C-78D6-1934-1A6D-D7A96FDC7ED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1" name="Rectangle 211">
            <a:extLst>
              <a:ext uri="{FF2B5EF4-FFF2-40B4-BE49-F238E27FC236}">
                <a16:creationId xmlns:a16="http://schemas.microsoft.com/office/drawing/2014/main" id="{F7560A17-F9C6-706E-45DD-5F049B9E17E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2" name="Rectangle 212">
            <a:extLst>
              <a:ext uri="{FF2B5EF4-FFF2-40B4-BE49-F238E27FC236}">
                <a16:creationId xmlns:a16="http://schemas.microsoft.com/office/drawing/2014/main" id="{83488FC5-FEA4-F90C-13C1-6CC7AF6B724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3" name="Rectangle 213">
            <a:extLst>
              <a:ext uri="{FF2B5EF4-FFF2-40B4-BE49-F238E27FC236}">
                <a16:creationId xmlns:a16="http://schemas.microsoft.com/office/drawing/2014/main" id="{F665A41A-7385-92DF-1ED7-4BE8B46CB44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14" name="Line 214">
            <a:extLst>
              <a:ext uri="{FF2B5EF4-FFF2-40B4-BE49-F238E27FC236}">
                <a16:creationId xmlns:a16="http://schemas.microsoft.com/office/drawing/2014/main" id="{905BC94C-E2D7-F55C-14F9-DEBFE473C39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15" name="Line 215">
            <a:extLst>
              <a:ext uri="{FF2B5EF4-FFF2-40B4-BE49-F238E27FC236}">
                <a16:creationId xmlns:a16="http://schemas.microsoft.com/office/drawing/2014/main" id="{114FA7FA-9634-1508-B0A3-C8FDC627B77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16" name="Line 216">
            <a:extLst>
              <a:ext uri="{FF2B5EF4-FFF2-40B4-BE49-F238E27FC236}">
                <a16:creationId xmlns:a16="http://schemas.microsoft.com/office/drawing/2014/main" id="{95C835D1-2F11-5D8C-1AEC-ABBA01949AB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4" name="Group 217">
          <a:extLst>
            <a:ext uri="{FF2B5EF4-FFF2-40B4-BE49-F238E27FC236}">
              <a16:creationId xmlns:a16="http://schemas.microsoft.com/office/drawing/2014/main" id="{806ED82E-B65C-3865-6F6B-1F00417AB2A9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303" name="Rectangle 218">
            <a:extLst>
              <a:ext uri="{FF2B5EF4-FFF2-40B4-BE49-F238E27FC236}">
                <a16:creationId xmlns:a16="http://schemas.microsoft.com/office/drawing/2014/main" id="{7A9611E1-922A-C11B-B133-7FAADF57CA2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4" name="Rectangle 219">
            <a:extLst>
              <a:ext uri="{FF2B5EF4-FFF2-40B4-BE49-F238E27FC236}">
                <a16:creationId xmlns:a16="http://schemas.microsoft.com/office/drawing/2014/main" id="{D2610BB7-9840-9A65-A78A-CD03C1D38FB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5" name="Rectangle 220">
            <a:extLst>
              <a:ext uri="{FF2B5EF4-FFF2-40B4-BE49-F238E27FC236}">
                <a16:creationId xmlns:a16="http://schemas.microsoft.com/office/drawing/2014/main" id="{69503AB7-4C8D-15DF-7500-90946E9C197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6" name="Rectangle 221">
            <a:extLst>
              <a:ext uri="{FF2B5EF4-FFF2-40B4-BE49-F238E27FC236}">
                <a16:creationId xmlns:a16="http://schemas.microsoft.com/office/drawing/2014/main" id="{95446746-3733-1602-AD84-A690EA9D13B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7" name="Line 222">
            <a:extLst>
              <a:ext uri="{FF2B5EF4-FFF2-40B4-BE49-F238E27FC236}">
                <a16:creationId xmlns:a16="http://schemas.microsoft.com/office/drawing/2014/main" id="{8537CA26-20FD-492D-81CD-06F94DDA0AC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08" name="Line 223">
            <a:extLst>
              <a:ext uri="{FF2B5EF4-FFF2-40B4-BE49-F238E27FC236}">
                <a16:creationId xmlns:a16="http://schemas.microsoft.com/office/drawing/2014/main" id="{B818B2DD-E2E2-6941-4444-503624C98C4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09" name="Line 224">
            <a:extLst>
              <a:ext uri="{FF2B5EF4-FFF2-40B4-BE49-F238E27FC236}">
                <a16:creationId xmlns:a16="http://schemas.microsoft.com/office/drawing/2014/main" id="{D95F1B0B-25C8-E970-CC75-954090879BA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5" name="Group 225">
          <a:extLst>
            <a:ext uri="{FF2B5EF4-FFF2-40B4-BE49-F238E27FC236}">
              <a16:creationId xmlns:a16="http://schemas.microsoft.com/office/drawing/2014/main" id="{95D61376-9B32-CA3D-6130-61EB7345DAB1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296" name="Rectangle 226">
            <a:extLst>
              <a:ext uri="{FF2B5EF4-FFF2-40B4-BE49-F238E27FC236}">
                <a16:creationId xmlns:a16="http://schemas.microsoft.com/office/drawing/2014/main" id="{8927B8E5-7ACB-EF74-0A02-6D2755B36747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7" name="Rectangle 227">
            <a:extLst>
              <a:ext uri="{FF2B5EF4-FFF2-40B4-BE49-F238E27FC236}">
                <a16:creationId xmlns:a16="http://schemas.microsoft.com/office/drawing/2014/main" id="{7A3BF188-12CD-390A-FE2C-BBE8327DC24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8" name="Rectangle 228">
            <a:extLst>
              <a:ext uri="{FF2B5EF4-FFF2-40B4-BE49-F238E27FC236}">
                <a16:creationId xmlns:a16="http://schemas.microsoft.com/office/drawing/2014/main" id="{6F7CDF66-860D-0841-CBFD-44D6D8DB8AF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9" name="Rectangle 229">
            <a:extLst>
              <a:ext uri="{FF2B5EF4-FFF2-40B4-BE49-F238E27FC236}">
                <a16:creationId xmlns:a16="http://schemas.microsoft.com/office/drawing/2014/main" id="{CDC50DCD-D0E9-1CE2-7E97-322C46D445E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300" name="Line 230">
            <a:extLst>
              <a:ext uri="{FF2B5EF4-FFF2-40B4-BE49-F238E27FC236}">
                <a16:creationId xmlns:a16="http://schemas.microsoft.com/office/drawing/2014/main" id="{3A75D81B-C0CB-FF2E-9025-0C3F2031619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01" name="Line 231">
            <a:extLst>
              <a:ext uri="{FF2B5EF4-FFF2-40B4-BE49-F238E27FC236}">
                <a16:creationId xmlns:a16="http://schemas.microsoft.com/office/drawing/2014/main" id="{EC29D4F1-B199-99BE-2228-06FB712B7EF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302" name="Line 232">
            <a:extLst>
              <a:ext uri="{FF2B5EF4-FFF2-40B4-BE49-F238E27FC236}">
                <a16:creationId xmlns:a16="http://schemas.microsoft.com/office/drawing/2014/main" id="{D2376F37-72F2-0DD9-959D-89657D86671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6" name="Group 233">
          <a:extLst>
            <a:ext uri="{FF2B5EF4-FFF2-40B4-BE49-F238E27FC236}">
              <a16:creationId xmlns:a16="http://schemas.microsoft.com/office/drawing/2014/main" id="{997524B4-F058-F66D-CF1E-5C7884A7A9E6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289" name="Rectangle 234">
            <a:extLst>
              <a:ext uri="{FF2B5EF4-FFF2-40B4-BE49-F238E27FC236}">
                <a16:creationId xmlns:a16="http://schemas.microsoft.com/office/drawing/2014/main" id="{1AA74108-C2B5-CD95-E2A5-D09C26CF558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0" name="Rectangle 235">
            <a:extLst>
              <a:ext uri="{FF2B5EF4-FFF2-40B4-BE49-F238E27FC236}">
                <a16:creationId xmlns:a16="http://schemas.microsoft.com/office/drawing/2014/main" id="{DCD01194-0C0A-4427-3D65-C427071C346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1" name="Rectangle 236">
            <a:extLst>
              <a:ext uri="{FF2B5EF4-FFF2-40B4-BE49-F238E27FC236}">
                <a16:creationId xmlns:a16="http://schemas.microsoft.com/office/drawing/2014/main" id="{385D8673-2DEB-6D47-9211-6E51A4826FC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2" name="Rectangle 237">
            <a:extLst>
              <a:ext uri="{FF2B5EF4-FFF2-40B4-BE49-F238E27FC236}">
                <a16:creationId xmlns:a16="http://schemas.microsoft.com/office/drawing/2014/main" id="{65189FA8-293A-50FB-401D-35404CF79E5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93" name="Line 238">
            <a:extLst>
              <a:ext uri="{FF2B5EF4-FFF2-40B4-BE49-F238E27FC236}">
                <a16:creationId xmlns:a16="http://schemas.microsoft.com/office/drawing/2014/main" id="{1145844E-9AE4-8449-A84D-E9BC2D6724F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94" name="Line 239">
            <a:extLst>
              <a:ext uri="{FF2B5EF4-FFF2-40B4-BE49-F238E27FC236}">
                <a16:creationId xmlns:a16="http://schemas.microsoft.com/office/drawing/2014/main" id="{E445FD4A-5446-4BB5-36BD-6301A76D117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95" name="Line 240">
            <a:extLst>
              <a:ext uri="{FF2B5EF4-FFF2-40B4-BE49-F238E27FC236}">
                <a16:creationId xmlns:a16="http://schemas.microsoft.com/office/drawing/2014/main" id="{FA7EA04F-FA1A-A9C2-A295-0DB8F9DF511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7" name="Group 241">
          <a:extLst>
            <a:ext uri="{FF2B5EF4-FFF2-40B4-BE49-F238E27FC236}">
              <a16:creationId xmlns:a16="http://schemas.microsoft.com/office/drawing/2014/main" id="{2A243AED-98D4-DCA0-197A-CA53A4614446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282" name="Rectangle 242">
            <a:extLst>
              <a:ext uri="{FF2B5EF4-FFF2-40B4-BE49-F238E27FC236}">
                <a16:creationId xmlns:a16="http://schemas.microsoft.com/office/drawing/2014/main" id="{20F9B208-122B-65E5-95F9-FBD21627AD3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83" name="Rectangle 243">
            <a:extLst>
              <a:ext uri="{FF2B5EF4-FFF2-40B4-BE49-F238E27FC236}">
                <a16:creationId xmlns:a16="http://schemas.microsoft.com/office/drawing/2014/main" id="{79DE5E7D-FB3F-7636-8E34-49B7E2F4A42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84" name="Rectangle 244">
            <a:extLst>
              <a:ext uri="{FF2B5EF4-FFF2-40B4-BE49-F238E27FC236}">
                <a16:creationId xmlns:a16="http://schemas.microsoft.com/office/drawing/2014/main" id="{55253327-E4BB-17C6-2B45-112089E4067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85" name="Rectangle 245">
            <a:extLst>
              <a:ext uri="{FF2B5EF4-FFF2-40B4-BE49-F238E27FC236}">
                <a16:creationId xmlns:a16="http://schemas.microsoft.com/office/drawing/2014/main" id="{7272A441-1C8E-6145-EF9C-C4CB0B007A2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86" name="Line 246">
            <a:extLst>
              <a:ext uri="{FF2B5EF4-FFF2-40B4-BE49-F238E27FC236}">
                <a16:creationId xmlns:a16="http://schemas.microsoft.com/office/drawing/2014/main" id="{F4345160-35ED-5BFB-23B2-0D9B6B9A4921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87" name="Line 247">
            <a:extLst>
              <a:ext uri="{FF2B5EF4-FFF2-40B4-BE49-F238E27FC236}">
                <a16:creationId xmlns:a16="http://schemas.microsoft.com/office/drawing/2014/main" id="{7CF1A86C-B3D8-11E5-BDB0-F635BB87810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88" name="Line 248">
            <a:extLst>
              <a:ext uri="{FF2B5EF4-FFF2-40B4-BE49-F238E27FC236}">
                <a16:creationId xmlns:a16="http://schemas.microsoft.com/office/drawing/2014/main" id="{7713F4AE-6AAE-328E-5D8E-AAFE52DD378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8" name="Group 249">
          <a:extLst>
            <a:ext uri="{FF2B5EF4-FFF2-40B4-BE49-F238E27FC236}">
              <a16:creationId xmlns:a16="http://schemas.microsoft.com/office/drawing/2014/main" id="{28BFFB6C-68FA-8482-2530-500C31660DC0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275" name="Rectangle 250">
            <a:extLst>
              <a:ext uri="{FF2B5EF4-FFF2-40B4-BE49-F238E27FC236}">
                <a16:creationId xmlns:a16="http://schemas.microsoft.com/office/drawing/2014/main" id="{07565B93-2ADB-9A27-1593-F6DBE59DE71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6" name="Rectangle 251">
            <a:extLst>
              <a:ext uri="{FF2B5EF4-FFF2-40B4-BE49-F238E27FC236}">
                <a16:creationId xmlns:a16="http://schemas.microsoft.com/office/drawing/2014/main" id="{C2DFB39E-252F-3376-123C-207BAC21437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7" name="Rectangle 252">
            <a:extLst>
              <a:ext uri="{FF2B5EF4-FFF2-40B4-BE49-F238E27FC236}">
                <a16:creationId xmlns:a16="http://schemas.microsoft.com/office/drawing/2014/main" id="{A022D376-1C42-A345-6C90-ED6AB6B3C61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8" name="Rectangle 253">
            <a:extLst>
              <a:ext uri="{FF2B5EF4-FFF2-40B4-BE49-F238E27FC236}">
                <a16:creationId xmlns:a16="http://schemas.microsoft.com/office/drawing/2014/main" id="{D8D0815D-0DDE-2A2B-B4EA-C55979A30D9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9" name="Line 254">
            <a:extLst>
              <a:ext uri="{FF2B5EF4-FFF2-40B4-BE49-F238E27FC236}">
                <a16:creationId xmlns:a16="http://schemas.microsoft.com/office/drawing/2014/main" id="{3C4CDCE5-0614-9354-450C-09391A8DDEE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80" name="Line 255">
            <a:extLst>
              <a:ext uri="{FF2B5EF4-FFF2-40B4-BE49-F238E27FC236}">
                <a16:creationId xmlns:a16="http://schemas.microsoft.com/office/drawing/2014/main" id="{D7A4AF39-39AE-0BC4-5F58-FA9050D453F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81" name="Line 256">
            <a:extLst>
              <a:ext uri="{FF2B5EF4-FFF2-40B4-BE49-F238E27FC236}">
                <a16:creationId xmlns:a16="http://schemas.microsoft.com/office/drawing/2014/main" id="{7432F12E-6C49-CC5C-1001-2078D6910D5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39" name="Group 257">
          <a:extLst>
            <a:ext uri="{FF2B5EF4-FFF2-40B4-BE49-F238E27FC236}">
              <a16:creationId xmlns:a16="http://schemas.microsoft.com/office/drawing/2014/main" id="{72D24ECC-96DD-455E-77D1-CDEFF44BEFA7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268" name="Rectangle 258">
            <a:extLst>
              <a:ext uri="{FF2B5EF4-FFF2-40B4-BE49-F238E27FC236}">
                <a16:creationId xmlns:a16="http://schemas.microsoft.com/office/drawing/2014/main" id="{35A549F0-0786-DBD2-C15A-6D27CF5D289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9" name="Rectangle 259">
            <a:extLst>
              <a:ext uri="{FF2B5EF4-FFF2-40B4-BE49-F238E27FC236}">
                <a16:creationId xmlns:a16="http://schemas.microsoft.com/office/drawing/2014/main" id="{3AA86109-BEF9-CAB7-56E3-54CE97CA21B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0" name="Rectangle 260">
            <a:extLst>
              <a:ext uri="{FF2B5EF4-FFF2-40B4-BE49-F238E27FC236}">
                <a16:creationId xmlns:a16="http://schemas.microsoft.com/office/drawing/2014/main" id="{D8FCEFA6-51FB-D506-1212-B526F555BBA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1" name="Rectangle 261">
            <a:extLst>
              <a:ext uri="{FF2B5EF4-FFF2-40B4-BE49-F238E27FC236}">
                <a16:creationId xmlns:a16="http://schemas.microsoft.com/office/drawing/2014/main" id="{B08902D7-1BAE-CF52-C15D-CAFC9FFB6A9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72" name="Line 262">
            <a:extLst>
              <a:ext uri="{FF2B5EF4-FFF2-40B4-BE49-F238E27FC236}">
                <a16:creationId xmlns:a16="http://schemas.microsoft.com/office/drawing/2014/main" id="{8ECA8863-D730-220A-19BE-C48D4E3BFFC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73" name="Line 263">
            <a:extLst>
              <a:ext uri="{FF2B5EF4-FFF2-40B4-BE49-F238E27FC236}">
                <a16:creationId xmlns:a16="http://schemas.microsoft.com/office/drawing/2014/main" id="{0931B0D5-97B2-5277-83E1-2416F34CB43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74" name="Line 264">
            <a:extLst>
              <a:ext uri="{FF2B5EF4-FFF2-40B4-BE49-F238E27FC236}">
                <a16:creationId xmlns:a16="http://schemas.microsoft.com/office/drawing/2014/main" id="{2BE83E09-1760-C7DD-642C-7A44769DC44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40" name="Group 265">
          <a:extLst>
            <a:ext uri="{FF2B5EF4-FFF2-40B4-BE49-F238E27FC236}">
              <a16:creationId xmlns:a16="http://schemas.microsoft.com/office/drawing/2014/main" id="{0DB39405-FC12-3970-CB46-A42E28553F39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261" name="Rectangle 266">
            <a:extLst>
              <a:ext uri="{FF2B5EF4-FFF2-40B4-BE49-F238E27FC236}">
                <a16:creationId xmlns:a16="http://schemas.microsoft.com/office/drawing/2014/main" id="{DF70EE82-80F4-C435-1D98-F55A64B5F6D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2" name="Rectangle 267">
            <a:extLst>
              <a:ext uri="{FF2B5EF4-FFF2-40B4-BE49-F238E27FC236}">
                <a16:creationId xmlns:a16="http://schemas.microsoft.com/office/drawing/2014/main" id="{C9847749-B462-C9C5-C65F-38E2BEF8935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3" name="Rectangle 268">
            <a:extLst>
              <a:ext uri="{FF2B5EF4-FFF2-40B4-BE49-F238E27FC236}">
                <a16:creationId xmlns:a16="http://schemas.microsoft.com/office/drawing/2014/main" id="{06D07078-2ECB-595E-F06A-D929859930C9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4" name="Rectangle 269">
            <a:extLst>
              <a:ext uri="{FF2B5EF4-FFF2-40B4-BE49-F238E27FC236}">
                <a16:creationId xmlns:a16="http://schemas.microsoft.com/office/drawing/2014/main" id="{84CCE7C4-CDA7-1802-B6A0-6221B6A7723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65" name="Line 270">
            <a:extLst>
              <a:ext uri="{FF2B5EF4-FFF2-40B4-BE49-F238E27FC236}">
                <a16:creationId xmlns:a16="http://schemas.microsoft.com/office/drawing/2014/main" id="{05EE4B75-8DEF-9F2E-3772-6F79FEDD3ED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66" name="Line 271">
            <a:extLst>
              <a:ext uri="{FF2B5EF4-FFF2-40B4-BE49-F238E27FC236}">
                <a16:creationId xmlns:a16="http://schemas.microsoft.com/office/drawing/2014/main" id="{74B0B2FC-378F-CD2D-42AA-EA8936E3400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67" name="Line 272">
            <a:extLst>
              <a:ext uri="{FF2B5EF4-FFF2-40B4-BE49-F238E27FC236}">
                <a16:creationId xmlns:a16="http://schemas.microsoft.com/office/drawing/2014/main" id="{13DCC328-F764-9C31-6768-B842B9BF2B1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41" name="Group 273">
          <a:extLst>
            <a:ext uri="{FF2B5EF4-FFF2-40B4-BE49-F238E27FC236}">
              <a16:creationId xmlns:a16="http://schemas.microsoft.com/office/drawing/2014/main" id="{C34128CC-55AC-DD9B-E742-E405334B9CE7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254" name="Rectangle 274">
            <a:extLst>
              <a:ext uri="{FF2B5EF4-FFF2-40B4-BE49-F238E27FC236}">
                <a16:creationId xmlns:a16="http://schemas.microsoft.com/office/drawing/2014/main" id="{7BB5F1E7-4E48-4324-4D36-8393AC47C7F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5" name="Rectangle 275">
            <a:extLst>
              <a:ext uri="{FF2B5EF4-FFF2-40B4-BE49-F238E27FC236}">
                <a16:creationId xmlns:a16="http://schemas.microsoft.com/office/drawing/2014/main" id="{43770AA9-BCB1-47CD-2AE1-4D9C28578C4F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6" name="Rectangle 276">
            <a:extLst>
              <a:ext uri="{FF2B5EF4-FFF2-40B4-BE49-F238E27FC236}">
                <a16:creationId xmlns:a16="http://schemas.microsoft.com/office/drawing/2014/main" id="{E9519CB7-ECDA-38A3-89DB-03F78D2D8B24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7" name="Rectangle 277">
            <a:extLst>
              <a:ext uri="{FF2B5EF4-FFF2-40B4-BE49-F238E27FC236}">
                <a16:creationId xmlns:a16="http://schemas.microsoft.com/office/drawing/2014/main" id="{D53EE710-70AE-B445-3C57-44A4E54243D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8" name="Line 278">
            <a:extLst>
              <a:ext uri="{FF2B5EF4-FFF2-40B4-BE49-F238E27FC236}">
                <a16:creationId xmlns:a16="http://schemas.microsoft.com/office/drawing/2014/main" id="{B96FE85A-08C9-3737-C540-6B5195E95733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59" name="Line 279">
            <a:extLst>
              <a:ext uri="{FF2B5EF4-FFF2-40B4-BE49-F238E27FC236}">
                <a16:creationId xmlns:a16="http://schemas.microsoft.com/office/drawing/2014/main" id="{A6BA1EB6-12E8-1D70-569E-F72AE659665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60" name="Line 280">
            <a:extLst>
              <a:ext uri="{FF2B5EF4-FFF2-40B4-BE49-F238E27FC236}">
                <a16:creationId xmlns:a16="http://schemas.microsoft.com/office/drawing/2014/main" id="{4B189A9E-D972-0494-09FE-5FA2DB5BA97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0</xdr:colOff>
      <xdr:row>2</xdr:row>
      <xdr:rowOff>182880</xdr:rowOff>
    </xdr:from>
    <xdr:to>
      <xdr:col>8</xdr:col>
      <xdr:colOff>0</xdr:colOff>
      <xdr:row>3</xdr:row>
      <xdr:rowOff>0</xdr:rowOff>
    </xdr:to>
    <xdr:grpSp>
      <xdr:nvGrpSpPr>
        <xdr:cNvPr id="528342" name="Group 281">
          <a:extLst>
            <a:ext uri="{FF2B5EF4-FFF2-40B4-BE49-F238E27FC236}">
              <a16:creationId xmlns:a16="http://schemas.microsoft.com/office/drawing/2014/main" id="{F74E4C7E-12CD-5503-AA1A-348489DD4853}"/>
            </a:ext>
          </a:extLst>
        </xdr:cNvPr>
        <xdr:cNvGrpSpPr>
          <a:grpSpLocks/>
        </xdr:cNvGrpSpPr>
      </xdr:nvGrpSpPr>
      <xdr:grpSpPr bwMode="auto">
        <a:xfrm>
          <a:off x="6536267" y="1308947"/>
          <a:ext cx="0" cy="392853"/>
          <a:chOff x="632" y="220"/>
          <a:chExt cx="195" cy="136"/>
        </a:xfrm>
      </xdr:grpSpPr>
      <xdr:sp macro="" textlink="">
        <xdr:nvSpPr>
          <xdr:cNvPr id="533247" name="Rectangle 282">
            <a:extLst>
              <a:ext uri="{FF2B5EF4-FFF2-40B4-BE49-F238E27FC236}">
                <a16:creationId xmlns:a16="http://schemas.microsoft.com/office/drawing/2014/main" id="{2C15C5ED-11D7-444A-D030-D18DD71B16B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48" name="Rectangle 283">
            <a:extLst>
              <a:ext uri="{FF2B5EF4-FFF2-40B4-BE49-F238E27FC236}">
                <a16:creationId xmlns:a16="http://schemas.microsoft.com/office/drawing/2014/main" id="{82F4DDA0-697B-198E-9183-E9EE3809B3E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49" name="Rectangle 284">
            <a:extLst>
              <a:ext uri="{FF2B5EF4-FFF2-40B4-BE49-F238E27FC236}">
                <a16:creationId xmlns:a16="http://schemas.microsoft.com/office/drawing/2014/main" id="{B98AB33D-690C-88E1-8109-6C4EA182C9C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0" name="Rectangle 285">
            <a:extLst>
              <a:ext uri="{FF2B5EF4-FFF2-40B4-BE49-F238E27FC236}">
                <a16:creationId xmlns:a16="http://schemas.microsoft.com/office/drawing/2014/main" id="{26B672C9-E14E-960F-460B-5C63CE6CF25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51" name="Line 286">
            <a:extLst>
              <a:ext uri="{FF2B5EF4-FFF2-40B4-BE49-F238E27FC236}">
                <a16:creationId xmlns:a16="http://schemas.microsoft.com/office/drawing/2014/main" id="{1E0F3B63-161C-4922-936D-9390CFC5BC0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52" name="Line 287">
            <a:extLst>
              <a:ext uri="{FF2B5EF4-FFF2-40B4-BE49-F238E27FC236}">
                <a16:creationId xmlns:a16="http://schemas.microsoft.com/office/drawing/2014/main" id="{CE7ABA60-E160-05F4-1145-A4D1BFF7098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53" name="Line 288">
            <a:extLst>
              <a:ext uri="{FF2B5EF4-FFF2-40B4-BE49-F238E27FC236}">
                <a16:creationId xmlns:a16="http://schemas.microsoft.com/office/drawing/2014/main" id="{AF30F965-6EBE-01B3-15EF-646BC1CBFDC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0</xdr:colOff>
      <xdr:row>2</xdr:row>
      <xdr:rowOff>160020</xdr:rowOff>
    </xdr:from>
    <xdr:to>
      <xdr:col>5</xdr:col>
      <xdr:colOff>0</xdr:colOff>
      <xdr:row>3</xdr:row>
      <xdr:rowOff>0</xdr:rowOff>
    </xdr:to>
    <xdr:grpSp>
      <xdr:nvGrpSpPr>
        <xdr:cNvPr id="528343" name="Group 323">
          <a:extLst>
            <a:ext uri="{FF2B5EF4-FFF2-40B4-BE49-F238E27FC236}">
              <a16:creationId xmlns:a16="http://schemas.microsoft.com/office/drawing/2014/main" id="{177FC1F3-2089-CD2F-6C04-060994D2E6BA}"/>
            </a:ext>
          </a:extLst>
        </xdr:cNvPr>
        <xdr:cNvGrpSpPr>
          <a:grpSpLocks/>
        </xdr:cNvGrpSpPr>
      </xdr:nvGrpSpPr>
      <xdr:grpSpPr bwMode="auto">
        <a:xfrm>
          <a:off x="4572000" y="1286087"/>
          <a:ext cx="0" cy="415713"/>
          <a:chOff x="220" y="176"/>
          <a:chExt cx="556" cy="247"/>
        </a:xfrm>
      </xdr:grpSpPr>
      <xdr:sp macro="" textlink="">
        <xdr:nvSpPr>
          <xdr:cNvPr id="533224" name="Rectangle 324">
            <a:extLst>
              <a:ext uri="{FF2B5EF4-FFF2-40B4-BE49-F238E27FC236}">
                <a16:creationId xmlns:a16="http://schemas.microsoft.com/office/drawing/2014/main" id="{CE28F5AB-AEA3-1DF9-1141-33FE9F77590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25" name="Line 325">
            <a:extLst>
              <a:ext uri="{FF2B5EF4-FFF2-40B4-BE49-F238E27FC236}">
                <a16:creationId xmlns:a16="http://schemas.microsoft.com/office/drawing/2014/main" id="{D51B8046-0C2A-AD0D-92F8-5A92749E3DE4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26" name="Line 326">
            <a:extLst>
              <a:ext uri="{FF2B5EF4-FFF2-40B4-BE49-F238E27FC236}">
                <a16:creationId xmlns:a16="http://schemas.microsoft.com/office/drawing/2014/main" id="{97E54770-69E9-CC76-D74C-EC6713A126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27" name="Rectangle 327">
            <a:extLst>
              <a:ext uri="{FF2B5EF4-FFF2-40B4-BE49-F238E27FC236}">
                <a16:creationId xmlns:a16="http://schemas.microsoft.com/office/drawing/2014/main" id="{44DD861B-AAF5-24AA-758C-31FA810767D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28" name="Oval 328">
            <a:extLst>
              <a:ext uri="{FF2B5EF4-FFF2-40B4-BE49-F238E27FC236}">
                <a16:creationId xmlns:a16="http://schemas.microsoft.com/office/drawing/2014/main" id="{5099E0BF-0BAF-CC5F-4BCD-DF542D6854B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229" name="Oval 329">
            <a:extLst>
              <a:ext uri="{FF2B5EF4-FFF2-40B4-BE49-F238E27FC236}">
                <a16:creationId xmlns:a16="http://schemas.microsoft.com/office/drawing/2014/main" id="{D6FC5E17-459E-DB8D-CDE2-0B73AF6F30A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230" name="Rectangle 330">
            <a:extLst>
              <a:ext uri="{FF2B5EF4-FFF2-40B4-BE49-F238E27FC236}">
                <a16:creationId xmlns:a16="http://schemas.microsoft.com/office/drawing/2014/main" id="{C025AEC8-BCA0-B3A4-49F4-401039461D6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31" name="Rectangle 331">
            <a:extLst>
              <a:ext uri="{FF2B5EF4-FFF2-40B4-BE49-F238E27FC236}">
                <a16:creationId xmlns:a16="http://schemas.microsoft.com/office/drawing/2014/main" id="{1F4800AB-10C1-AC99-7661-A4596637999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32" name="Rectangle 332">
            <a:extLst>
              <a:ext uri="{FF2B5EF4-FFF2-40B4-BE49-F238E27FC236}">
                <a16:creationId xmlns:a16="http://schemas.microsoft.com/office/drawing/2014/main" id="{D7CA9CB2-673E-FDD6-3FDF-73D0D42497D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33" name="Rectangle 333">
            <a:extLst>
              <a:ext uri="{FF2B5EF4-FFF2-40B4-BE49-F238E27FC236}">
                <a16:creationId xmlns:a16="http://schemas.microsoft.com/office/drawing/2014/main" id="{07223E55-CA4F-24B2-799A-F27B5F961A7D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234" name="Group 334">
            <a:extLst>
              <a:ext uri="{FF2B5EF4-FFF2-40B4-BE49-F238E27FC236}">
                <a16:creationId xmlns:a16="http://schemas.microsoft.com/office/drawing/2014/main" id="{BE5F36D5-22CA-3BFD-E85A-B63DB52CCD5C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237" name="Rectangle 335">
              <a:extLst>
                <a:ext uri="{FF2B5EF4-FFF2-40B4-BE49-F238E27FC236}">
                  <a16:creationId xmlns:a16="http://schemas.microsoft.com/office/drawing/2014/main" id="{EE1FB9A1-CDF5-9330-8EDA-74C0AF43DF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38" name="Line 336">
              <a:extLst>
                <a:ext uri="{FF2B5EF4-FFF2-40B4-BE49-F238E27FC236}">
                  <a16:creationId xmlns:a16="http://schemas.microsoft.com/office/drawing/2014/main" id="{C2CBAAE1-BB83-F253-5459-2A932573D4D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239" name="Line 337">
              <a:extLst>
                <a:ext uri="{FF2B5EF4-FFF2-40B4-BE49-F238E27FC236}">
                  <a16:creationId xmlns:a16="http://schemas.microsoft.com/office/drawing/2014/main" id="{967989EF-E757-6BA1-9AFF-6F6EB9B736F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240" name="Rectangle 338">
              <a:extLst>
                <a:ext uri="{FF2B5EF4-FFF2-40B4-BE49-F238E27FC236}">
                  <a16:creationId xmlns:a16="http://schemas.microsoft.com/office/drawing/2014/main" id="{A5F4324B-D4B1-20CA-A12F-6CEB0E99AE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41" name="Oval 339">
              <a:extLst>
                <a:ext uri="{FF2B5EF4-FFF2-40B4-BE49-F238E27FC236}">
                  <a16:creationId xmlns:a16="http://schemas.microsoft.com/office/drawing/2014/main" id="{D57A0AA8-6FA3-1B1C-00CA-F06F79CC89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242" name="Oval 340">
              <a:extLst>
                <a:ext uri="{FF2B5EF4-FFF2-40B4-BE49-F238E27FC236}">
                  <a16:creationId xmlns:a16="http://schemas.microsoft.com/office/drawing/2014/main" id="{6706BAEB-81EC-FD40-849C-2E7625EAE99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243" name="Rectangle 341">
              <a:extLst>
                <a:ext uri="{FF2B5EF4-FFF2-40B4-BE49-F238E27FC236}">
                  <a16:creationId xmlns:a16="http://schemas.microsoft.com/office/drawing/2014/main" id="{ECDB2783-4C09-5473-2C5B-639B2B5D4C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44" name="Rectangle 342">
              <a:extLst>
                <a:ext uri="{FF2B5EF4-FFF2-40B4-BE49-F238E27FC236}">
                  <a16:creationId xmlns:a16="http://schemas.microsoft.com/office/drawing/2014/main" id="{61B72305-19E4-FC5F-1821-077FF0A178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45" name="Rectangle 343">
              <a:extLst>
                <a:ext uri="{FF2B5EF4-FFF2-40B4-BE49-F238E27FC236}">
                  <a16:creationId xmlns:a16="http://schemas.microsoft.com/office/drawing/2014/main" id="{60278F40-378A-D1B9-AE16-372EB656D3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46" name="Rectangle 344">
              <a:extLst>
                <a:ext uri="{FF2B5EF4-FFF2-40B4-BE49-F238E27FC236}">
                  <a16:creationId xmlns:a16="http://schemas.microsoft.com/office/drawing/2014/main" id="{D130A1EF-DA07-BCB6-974C-6AA12BF5E14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235" name="Rectangle 345">
            <a:extLst>
              <a:ext uri="{FF2B5EF4-FFF2-40B4-BE49-F238E27FC236}">
                <a16:creationId xmlns:a16="http://schemas.microsoft.com/office/drawing/2014/main" id="{97BE951F-FD68-E0A6-3778-1F721C9D1B0A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36" name="Rectangle 346">
            <a:extLst>
              <a:ext uri="{FF2B5EF4-FFF2-40B4-BE49-F238E27FC236}">
                <a16:creationId xmlns:a16="http://schemas.microsoft.com/office/drawing/2014/main" id="{FD3408AB-F5DA-FA1A-0BD3-78D2487B6B29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4" name="Group 405">
          <a:extLst>
            <a:ext uri="{FF2B5EF4-FFF2-40B4-BE49-F238E27FC236}">
              <a16:creationId xmlns:a16="http://schemas.microsoft.com/office/drawing/2014/main" id="{2899E74B-F1E1-4572-6E2A-2094E90E5E0A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3201" name="Rectangle 406">
            <a:extLst>
              <a:ext uri="{FF2B5EF4-FFF2-40B4-BE49-F238E27FC236}">
                <a16:creationId xmlns:a16="http://schemas.microsoft.com/office/drawing/2014/main" id="{AA351064-F300-B252-8AAF-AF1A73F78B4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02" name="Line 407">
            <a:extLst>
              <a:ext uri="{FF2B5EF4-FFF2-40B4-BE49-F238E27FC236}">
                <a16:creationId xmlns:a16="http://schemas.microsoft.com/office/drawing/2014/main" id="{9105EC70-FE88-54AB-F56E-F123FE81D442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03" name="Line 408">
            <a:extLst>
              <a:ext uri="{FF2B5EF4-FFF2-40B4-BE49-F238E27FC236}">
                <a16:creationId xmlns:a16="http://schemas.microsoft.com/office/drawing/2014/main" id="{B2A009E0-2295-65B2-A451-1857F5217F3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204" name="Rectangle 409">
            <a:extLst>
              <a:ext uri="{FF2B5EF4-FFF2-40B4-BE49-F238E27FC236}">
                <a16:creationId xmlns:a16="http://schemas.microsoft.com/office/drawing/2014/main" id="{4E2E163C-EBD3-822B-3B04-A0E0BB5C479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05" name="Oval 410">
            <a:extLst>
              <a:ext uri="{FF2B5EF4-FFF2-40B4-BE49-F238E27FC236}">
                <a16:creationId xmlns:a16="http://schemas.microsoft.com/office/drawing/2014/main" id="{378425C8-FE2C-C515-926B-ED5B85565ED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206" name="Oval 411">
            <a:extLst>
              <a:ext uri="{FF2B5EF4-FFF2-40B4-BE49-F238E27FC236}">
                <a16:creationId xmlns:a16="http://schemas.microsoft.com/office/drawing/2014/main" id="{F9863DAD-8296-A144-49E6-B08BA861F87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207" name="Rectangle 412">
            <a:extLst>
              <a:ext uri="{FF2B5EF4-FFF2-40B4-BE49-F238E27FC236}">
                <a16:creationId xmlns:a16="http://schemas.microsoft.com/office/drawing/2014/main" id="{639D762C-9B0F-105B-27A8-5B015C236EF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08" name="Rectangle 413">
            <a:extLst>
              <a:ext uri="{FF2B5EF4-FFF2-40B4-BE49-F238E27FC236}">
                <a16:creationId xmlns:a16="http://schemas.microsoft.com/office/drawing/2014/main" id="{9F615DD6-3609-9081-45E4-920F2500CB5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09" name="Rectangle 414">
            <a:extLst>
              <a:ext uri="{FF2B5EF4-FFF2-40B4-BE49-F238E27FC236}">
                <a16:creationId xmlns:a16="http://schemas.microsoft.com/office/drawing/2014/main" id="{33F00259-5FC9-4446-1B57-B0AD306BC16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10" name="Rectangle 415">
            <a:extLst>
              <a:ext uri="{FF2B5EF4-FFF2-40B4-BE49-F238E27FC236}">
                <a16:creationId xmlns:a16="http://schemas.microsoft.com/office/drawing/2014/main" id="{AE273AE4-A076-9C2E-517C-4D3366972EE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211" name="Group 416">
            <a:extLst>
              <a:ext uri="{FF2B5EF4-FFF2-40B4-BE49-F238E27FC236}">
                <a16:creationId xmlns:a16="http://schemas.microsoft.com/office/drawing/2014/main" id="{B680F576-7166-A555-6063-095E5420B441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214" name="Rectangle 417">
              <a:extLst>
                <a:ext uri="{FF2B5EF4-FFF2-40B4-BE49-F238E27FC236}">
                  <a16:creationId xmlns:a16="http://schemas.microsoft.com/office/drawing/2014/main" id="{ACF5EFEF-BA8F-7303-5C8B-11FCC4FE4A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15" name="Line 418">
              <a:extLst>
                <a:ext uri="{FF2B5EF4-FFF2-40B4-BE49-F238E27FC236}">
                  <a16:creationId xmlns:a16="http://schemas.microsoft.com/office/drawing/2014/main" id="{C6F32A2F-7D0F-B8BA-6300-5FB2A36B68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216" name="Line 419">
              <a:extLst>
                <a:ext uri="{FF2B5EF4-FFF2-40B4-BE49-F238E27FC236}">
                  <a16:creationId xmlns:a16="http://schemas.microsoft.com/office/drawing/2014/main" id="{A36AD6C8-2D43-C73A-D6C9-ED9748D509C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217" name="Rectangle 420">
              <a:extLst>
                <a:ext uri="{FF2B5EF4-FFF2-40B4-BE49-F238E27FC236}">
                  <a16:creationId xmlns:a16="http://schemas.microsoft.com/office/drawing/2014/main" id="{23581AC1-E1E1-BA11-20C4-39E75C5F50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18" name="Oval 421">
              <a:extLst>
                <a:ext uri="{FF2B5EF4-FFF2-40B4-BE49-F238E27FC236}">
                  <a16:creationId xmlns:a16="http://schemas.microsoft.com/office/drawing/2014/main" id="{83475E16-715B-7CC0-AC2D-A4CA6A70C85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219" name="Oval 422">
              <a:extLst>
                <a:ext uri="{FF2B5EF4-FFF2-40B4-BE49-F238E27FC236}">
                  <a16:creationId xmlns:a16="http://schemas.microsoft.com/office/drawing/2014/main" id="{1C50FA46-B014-DA17-4B9D-E78A5609CB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220" name="Rectangle 423">
              <a:extLst>
                <a:ext uri="{FF2B5EF4-FFF2-40B4-BE49-F238E27FC236}">
                  <a16:creationId xmlns:a16="http://schemas.microsoft.com/office/drawing/2014/main" id="{B2835D5F-4C44-0A27-D1E8-9E99DF4465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21" name="Rectangle 424">
              <a:extLst>
                <a:ext uri="{FF2B5EF4-FFF2-40B4-BE49-F238E27FC236}">
                  <a16:creationId xmlns:a16="http://schemas.microsoft.com/office/drawing/2014/main" id="{53AA5276-CFBC-E874-67B4-2C9C4E3361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22" name="Rectangle 425">
              <a:extLst>
                <a:ext uri="{FF2B5EF4-FFF2-40B4-BE49-F238E27FC236}">
                  <a16:creationId xmlns:a16="http://schemas.microsoft.com/office/drawing/2014/main" id="{E5E4968C-FBE9-7748-E4FF-4EC8F9ED2F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23" name="Rectangle 426">
              <a:extLst>
                <a:ext uri="{FF2B5EF4-FFF2-40B4-BE49-F238E27FC236}">
                  <a16:creationId xmlns:a16="http://schemas.microsoft.com/office/drawing/2014/main" id="{BCD4375A-9B99-15A4-1392-1919420057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212" name="Rectangle 427">
            <a:extLst>
              <a:ext uri="{FF2B5EF4-FFF2-40B4-BE49-F238E27FC236}">
                <a16:creationId xmlns:a16="http://schemas.microsoft.com/office/drawing/2014/main" id="{2ABE3F4D-FE6D-D026-D759-56BC5409914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213" name="Rectangle 428">
            <a:extLst>
              <a:ext uri="{FF2B5EF4-FFF2-40B4-BE49-F238E27FC236}">
                <a16:creationId xmlns:a16="http://schemas.microsoft.com/office/drawing/2014/main" id="{F3F0C005-E2C3-001D-2579-D27B0918C4B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5" name="Group 429">
          <a:extLst>
            <a:ext uri="{FF2B5EF4-FFF2-40B4-BE49-F238E27FC236}">
              <a16:creationId xmlns:a16="http://schemas.microsoft.com/office/drawing/2014/main" id="{17EB0274-0598-39E4-4FE9-AD20FBD5E7FC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3178" name="Rectangle 430">
            <a:extLst>
              <a:ext uri="{FF2B5EF4-FFF2-40B4-BE49-F238E27FC236}">
                <a16:creationId xmlns:a16="http://schemas.microsoft.com/office/drawing/2014/main" id="{92F5815F-89D4-0C96-7686-DEE7ECA51DE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79" name="Line 431">
            <a:extLst>
              <a:ext uri="{FF2B5EF4-FFF2-40B4-BE49-F238E27FC236}">
                <a16:creationId xmlns:a16="http://schemas.microsoft.com/office/drawing/2014/main" id="{8F8AE74A-3D51-983B-BC4F-119528B1E29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80" name="Line 432">
            <a:extLst>
              <a:ext uri="{FF2B5EF4-FFF2-40B4-BE49-F238E27FC236}">
                <a16:creationId xmlns:a16="http://schemas.microsoft.com/office/drawing/2014/main" id="{A1E118E8-3C03-21E9-A273-D68D050D9C1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81" name="Rectangle 433">
            <a:extLst>
              <a:ext uri="{FF2B5EF4-FFF2-40B4-BE49-F238E27FC236}">
                <a16:creationId xmlns:a16="http://schemas.microsoft.com/office/drawing/2014/main" id="{F63C7ED1-F040-B657-55C0-9954ACF2162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82" name="Oval 434">
            <a:extLst>
              <a:ext uri="{FF2B5EF4-FFF2-40B4-BE49-F238E27FC236}">
                <a16:creationId xmlns:a16="http://schemas.microsoft.com/office/drawing/2014/main" id="{023AE509-3D4E-1B2E-B9E0-2AA76CDA9C8D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83" name="Oval 435">
            <a:extLst>
              <a:ext uri="{FF2B5EF4-FFF2-40B4-BE49-F238E27FC236}">
                <a16:creationId xmlns:a16="http://schemas.microsoft.com/office/drawing/2014/main" id="{14D443F2-70F7-F9FA-9BDC-741647244039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84" name="Rectangle 436">
            <a:extLst>
              <a:ext uri="{FF2B5EF4-FFF2-40B4-BE49-F238E27FC236}">
                <a16:creationId xmlns:a16="http://schemas.microsoft.com/office/drawing/2014/main" id="{4D2300C4-13DD-FBAB-B8D5-0F9E50A05F45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85" name="Rectangle 437">
            <a:extLst>
              <a:ext uri="{FF2B5EF4-FFF2-40B4-BE49-F238E27FC236}">
                <a16:creationId xmlns:a16="http://schemas.microsoft.com/office/drawing/2014/main" id="{F7AFB884-40BE-14A3-3085-3C6647104F9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86" name="Rectangle 438">
            <a:extLst>
              <a:ext uri="{FF2B5EF4-FFF2-40B4-BE49-F238E27FC236}">
                <a16:creationId xmlns:a16="http://schemas.microsoft.com/office/drawing/2014/main" id="{C6CBF2C5-2E6D-B3DA-BD5F-35F71C409C4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87" name="Rectangle 439">
            <a:extLst>
              <a:ext uri="{FF2B5EF4-FFF2-40B4-BE49-F238E27FC236}">
                <a16:creationId xmlns:a16="http://schemas.microsoft.com/office/drawing/2014/main" id="{70397B32-9715-4041-0D69-BF2CEDC1DDB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188" name="Group 440">
            <a:extLst>
              <a:ext uri="{FF2B5EF4-FFF2-40B4-BE49-F238E27FC236}">
                <a16:creationId xmlns:a16="http://schemas.microsoft.com/office/drawing/2014/main" id="{B27FD9A8-2DE5-A8B5-F972-B5F61AE9E3B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191" name="Rectangle 441">
              <a:extLst>
                <a:ext uri="{FF2B5EF4-FFF2-40B4-BE49-F238E27FC236}">
                  <a16:creationId xmlns:a16="http://schemas.microsoft.com/office/drawing/2014/main" id="{EEEBC092-CBCC-440C-D4F7-12EE761A1E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92" name="Line 442">
              <a:extLst>
                <a:ext uri="{FF2B5EF4-FFF2-40B4-BE49-F238E27FC236}">
                  <a16:creationId xmlns:a16="http://schemas.microsoft.com/office/drawing/2014/main" id="{0C57146C-F3FD-0B2B-19D0-3E5EAE59AD2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93" name="Line 443">
              <a:extLst>
                <a:ext uri="{FF2B5EF4-FFF2-40B4-BE49-F238E27FC236}">
                  <a16:creationId xmlns:a16="http://schemas.microsoft.com/office/drawing/2014/main" id="{6D29B503-9238-18C5-652B-EA91FE71183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94" name="Rectangle 444">
              <a:extLst>
                <a:ext uri="{FF2B5EF4-FFF2-40B4-BE49-F238E27FC236}">
                  <a16:creationId xmlns:a16="http://schemas.microsoft.com/office/drawing/2014/main" id="{B2B4AB3F-876B-E588-EABD-CEC4AE7E24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95" name="Oval 445">
              <a:extLst>
                <a:ext uri="{FF2B5EF4-FFF2-40B4-BE49-F238E27FC236}">
                  <a16:creationId xmlns:a16="http://schemas.microsoft.com/office/drawing/2014/main" id="{CE4B981E-E4AE-2C9F-95F6-34CFBC009A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96" name="Oval 446">
              <a:extLst>
                <a:ext uri="{FF2B5EF4-FFF2-40B4-BE49-F238E27FC236}">
                  <a16:creationId xmlns:a16="http://schemas.microsoft.com/office/drawing/2014/main" id="{D32D6AF3-BDAD-5EEC-17FA-8C7B92A572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97" name="Rectangle 447">
              <a:extLst>
                <a:ext uri="{FF2B5EF4-FFF2-40B4-BE49-F238E27FC236}">
                  <a16:creationId xmlns:a16="http://schemas.microsoft.com/office/drawing/2014/main" id="{2F782287-611B-C0B6-B223-11075B7D79C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98" name="Rectangle 448">
              <a:extLst>
                <a:ext uri="{FF2B5EF4-FFF2-40B4-BE49-F238E27FC236}">
                  <a16:creationId xmlns:a16="http://schemas.microsoft.com/office/drawing/2014/main" id="{AB626E7D-4680-FB2F-8969-87E18863043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99" name="Rectangle 449">
              <a:extLst>
                <a:ext uri="{FF2B5EF4-FFF2-40B4-BE49-F238E27FC236}">
                  <a16:creationId xmlns:a16="http://schemas.microsoft.com/office/drawing/2014/main" id="{9184A931-DC07-CB1D-E172-55E8A8A681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200" name="Rectangle 450">
              <a:extLst>
                <a:ext uri="{FF2B5EF4-FFF2-40B4-BE49-F238E27FC236}">
                  <a16:creationId xmlns:a16="http://schemas.microsoft.com/office/drawing/2014/main" id="{90D01824-E817-7F71-962A-B15D1137C9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189" name="Rectangle 451">
            <a:extLst>
              <a:ext uri="{FF2B5EF4-FFF2-40B4-BE49-F238E27FC236}">
                <a16:creationId xmlns:a16="http://schemas.microsoft.com/office/drawing/2014/main" id="{E196B7A6-C851-B882-C4D8-5C772191E84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90" name="Rectangle 452">
            <a:extLst>
              <a:ext uri="{FF2B5EF4-FFF2-40B4-BE49-F238E27FC236}">
                <a16:creationId xmlns:a16="http://schemas.microsoft.com/office/drawing/2014/main" id="{9D05F867-2621-62F0-AEF0-97F3775DF70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6" name="Group 453">
          <a:extLst>
            <a:ext uri="{FF2B5EF4-FFF2-40B4-BE49-F238E27FC236}">
              <a16:creationId xmlns:a16="http://schemas.microsoft.com/office/drawing/2014/main" id="{D6CDB6F0-E804-C8A1-92EB-58FFE9620DC1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3155" name="Rectangle 454">
            <a:extLst>
              <a:ext uri="{FF2B5EF4-FFF2-40B4-BE49-F238E27FC236}">
                <a16:creationId xmlns:a16="http://schemas.microsoft.com/office/drawing/2014/main" id="{E10AF2A2-ACB2-4E40-DBCE-238A68915AB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56" name="Line 455">
            <a:extLst>
              <a:ext uri="{FF2B5EF4-FFF2-40B4-BE49-F238E27FC236}">
                <a16:creationId xmlns:a16="http://schemas.microsoft.com/office/drawing/2014/main" id="{AB6516E3-5594-08AD-CE2B-ADC633560114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57" name="Line 456">
            <a:extLst>
              <a:ext uri="{FF2B5EF4-FFF2-40B4-BE49-F238E27FC236}">
                <a16:creationId xmlns:a16="http://schemas.microsoft.com/office/drawing/2014/main" id="{E64313A8-1EAD-AA12-FF9F-A4F56C50AB8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58" name="Rectangle 457">
            <a:extLst>
              <a:ext uri="{FF2B5EF4-FFF2-40B4-BE49-F238E27FC236}">
                <a16:creationId xmlns:a16="http://schemas.microsoft.com/office/drawing/2014/main" id="{7E4B1B89-FC1D-A3EB-DAF1-7A1C34A94CB8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59" name="Oval 458">
            <a:extLst>
              <a:ext uri="{FF2B5EF4-FFF2-40B4-BE49-F238E27FC236}">
                <a16:creationId xmlns:a16="http://schemas.microsoft.com/office/drawing/2014/main" id="{65600345-83FD-3DA6-1985-C7C134AA799A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60" name="Oval 459">
            <a:extLst>
              <a:ext uri="{FF2B5EF4-FFF2-40B4-BE49-F238E27FC236}">
                <a16:creationId xmlns:a16="http://schemas.microsoft.com/office/drawing/2014/main" id="{EFCD2537-139F-8922-6FAA-41B89A531FC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61" name="Rectangle 460">
            <a:extLst>
              <a:ext uri="{FF2B5EF4-FFF2-40B4-BE49-F238E27FC236}">
                <a16:creationId xmlns:a16="http://schemas.microsoft.com/office/drawing/2014/main" id="{8B1EC624-B511-3039-848B-D6539AC49E5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62" name="Rectangle 461">
            <a:extLst>
              <a:ext uri="{FF2B5EF4-FFF2-40B4-BE49-F238E27FC236}">
                <a16:creationId xmlns:a16="http://schemas.microsoft.com/office/drawing/2014/main" id="{6CFEEE13-96A8-A05A-65E6-C3BE565258B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63" name="Rectangle 462">
            <a:extLst>
              <a:ext uri="{FF2B5EF4-FFF2-40B4-BE49-F238E27FC236}">
                <a16:creationId xmlns:a16="http://schemas.microsoft.com/office/drawing/2014/main" id="{E51C5BD5-D776-DF3B-77F2-CE69C92B62F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64" name="Rectangle 463">
            <a:extLst>
              <a:ext uri="{FF2B5EF4-FFF2-40B4-BE49-F238E27FC236}">
                <a16:creationId xmlns:a16="http://schemas.microsoft.com/office/drawing/2014/main" id="{59FC4525-CAE9-883B-677D-000D2D452E9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165" name="Group 464">
            <a:extLst>
              <a:ext uri="{FF2B5EF4-FFF2-40B4-BE49-F238E27FC236}">
                <a16:creationId xmlns:a16="http://schemas.microsoft.com/office/drawing/2014/main" id="{28F72B3B-C682-B4AC-50F4-D0080C436A59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168" name="Rectangle 465">
              <a:extLst>
                <a:ext uri="{FF2B5EF4-FFF2-40B4-BE49-F238E27FC236}">
                  <a16:creationId xmlns:a16="http://schemas.microsoft.com/office/drawing/2014/main" id="{4A7659F7-220A-B5CA-164A-AEABADBEB7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69" name="Line 466">
              <a:extLst>
                <a:ext uri="{FF2B5EF4-FFF2-40B4-BE49-F238E27FC236}">
                  <a16:creationId xmlns:a16="http://schemas.microsoft.com/office/drawing/2014/main" id="{7ACA9869-A945-E119-E0BF-FB1F54862B2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70" name="Line 467">
              <a:extLst>
                <a:ext uri="{FF2B5EF4-FFF2-40B4-BE49-F238E27FC236}">
                  <a16:creationId xmlns:a16="http://schemas.microsoft.com/office/drawing/2014/main" id="{1B19EB58-470C-BFCA-280B-4BFAB01DD98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71" name="Rectangle 468">
              <a:extLst>
                <a:ext uri="{FF2B5EF4-FFF2-40B4-BE49-F238E27FC236}">
                  <a16:creationId xmlns:a16="http://schemas.microsoft.com/office/drawing/2014/main" id="{EF4D7D6E-B87A-AB87-6557-3722BC35AAD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72" name="Oval 469">
              <a:extLst>
                <a:ext uri="{FF2B5EF4-FFF2-40B4-BE49-F238E27FC236}">
                  <a16:creationId xmlns:a16="http://schemas.microsoft.com/office/drawing/2014/main" id="{8476F470-3511-DFBD-886B-2E224FB3FC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73" name="Oval 470">
              <a:extLst>
                <a:ext uri="{FF2B5EF4-FFF2-40B4-BE49-F238E27FC236}">
                  <a16:creationId xmlns:a16="http://schemas.microsoft.com/office/drawing/2014/main" id="{A71ED12F-FC6C-5008-B3C5-B35A0FE6AC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74" name="Rectangle 471">
              <a:extLst>
                <a:ext uri="{FF2B5EF4-FFF2-40B4-BE49-F238E27FC236}">
                  <a16:creationId xmlns:a16="http://schemas.microsoft.com/office/drawing/2014/main" id="{12D7DA71-CEB8-23DF-B638-B78B93B1CA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75" name="Rectangle 472">
              <a:extLst>
                <a:ext uri="{FF2B5EF4-FFF2-40B4-BE49-F238E27FC236}">
                  <a16:creationId xmlns:a16="http://schemas.microsoft.com/office/drawing/2014/main" id="{3A4A8DF4-FDDB-E8F7-2B09-CBB128D7B7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76" name="Rectangle 473">
              <a:extLst>
                <a:ext uri="{FF2B5EF4-FFF2-40B4-BE49-F238E27FC236}">
                  <a16:creationId xmlns:a16="http://schemas.microsoft.com/office/drawing/2014/main" id="{FF02687A-3C68-99BF-1EA4-E520F5F0581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77" name="Rectangle 474">
              <a:extLst>
                <a:ext uri="{FF2B5EF4-FFF2-40B4-BE49-F238E27FC236}">
                  <a16:creationId xmlns:a16="http://schemas.microsoft.com/office/drawing/2014/main" id="{1507598C-2942-5218-8F00-8232600882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166" name="Rectangle 475">
            <a:extLst>
              <a:ext uri="{FF2B5EF4-FFF2-40B4-BE49-F238E27FC236}">
                <a16:creationId xmlns:a16="http://schemas.microsoft.com/office/drawing/2014/main" id="{E57110AE-A152-9683-5054-E08828073D7B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67" name="Rectangle 476">
            <a:extLst>
              <a:ext uri="{FF2B5EF4-FFF2-40B4-BE49-F238E27FC236}">
                <a16:creationId xmlns:a16="http://schemas.microsoft.com/office/drawing/2014/main" id="{B7A366E2-CFE8-1405-99E9-EA244228290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7" name="Group 477">
          <a:extLst>
            <a:ext uri="{FF2B5EF4-FFF2-40B4-BE49-F238E27FC236}">
              <a16:creationId xmlns:a16="http://schemas.microsoft.com/office/drawing/2014/main" id="{FCBADBF6-BD9A-1544-5BA7-95F8C1473C4B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3132" name="Rectangle 478">
            <a:extLst>
              <a:ext uri="{FF2B5EF4-FFF2-40B4-BE49-F238E27FC236}">
                <a16:creationId xmlns:a16="http://schemas.microsoft.com/office/drawing/2014/main" id="{6B10D937-F61A-372A-20D3-B05C3153739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33" name="Line 479">
            <a:extLst>
              <a:ext uri="{FF2B5EF4-FFF2-40B4-BE49-F238E27FC236}">
                <a16:creationId xmlns:a16="http://schemas.microsoft.com/office/drawing/2014/main" id="{A4E900BF-7042-2133-B462-74F4069F3B0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34" name="Line 480">
            <a:extLst>
              <a:ext uri="{FF2B5EF4-FFF2-40B4-BE49-F238E27FC236}">
                <a16:creationId xmlns:a16="http://schemas.microsoft.com/office/drawing/2014/main" id="{2DE5F93C-132E-21BC-CA43-1555A4A87D2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35" name="Rectangle 481">
            <a:extLst>
              <a:ext uri="{FF2B5EF4-FFF2-40B4-BE49-F238E27FC236}">
                <a16:creationId xmlns:a16="http://schemas.microsoft.com/office/drawing/2014/main" id="{54D2940E-C4AC-C80E-A176-9E119A4682AB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36" name="Oval 482">
            <a:extLst>
              <a:ext uri="{FF2B5EF4-FFF2-40B4-BE49-F238E27FC236}">
                <a16:creationId xmlns:a16="http://schemas.microsoft.com/office/drawing/2014/main" id="{669AE2E9-4F5B-91D0-4BB7-C55AD1FB05C8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37" name="Oval 483">
            <a:extLst>
              <a:ext uri="{FF2B5EF4-FFF2-40B4-BE49-F238E27FC236}">
                <a16:creationId xmlns:a16="http://schemas.microsoft.com/office/drawing/2014/main" id="{BA794A79-65D7-2242-9BEA-FA3473E1C003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38" name="Rectangle 484">
            <a:extLst>
              <a:ext uri="{FF2B5EF4-FFF2-40B4-BE49-F238E27FC236}">
                <a16:creationId xmlns:a16="http://schemas.microsoft.com/office/drawing/2014/main" id="{F3D300BD-2AF1-7764-7D14-57F613635C5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39" name="Rectangle 485">
            <a:extLst>
              <a:ext uri="{FF2B5EF4-FFF2-40B4-BE49-F238E27FC236}">
                <a16:creationId xmlns:a16="http://schemas.microsoft.com/office/drawing/2014/main" id="{A9A28381-9B33-33DA-62C3-18A0DCB0B56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40" name="Rectangle 486">
            <a:extLst>
              <a:ext uri="{FF2B5EF4-FFF2-40B4-BE49-F238E27FC236}">
                <a16:creationId xmlns:a16="http://schemas.microsoft.com/office/drawing/2014/main" id="{C3A39D28-B285-D489-3524-3F9C217C4DC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41" name="Rectangle 487">
            <a:extLst>
              <a:ext uri="{FF2B5EF4-FFF2-40B4-BE49-F238E27FC236}">
                <a16:creationId xmlns:a16="http://schemas.microsoft.com/office/drawing/2014/main" id="{FE8FCBA1-A55D-46EC-55B0-D0D6CB8D844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142" name="Group 488">
            <a:extLst>
              <a:ext uri="{FF2B5EF4-FFF2-40B4-BE49-F238E27FC236}">
                <a16:creationId xmlns:a16="http://schemas.microsoft.com/office/drawing/2014/main" id="{DD32B6F9-C257-D59D-7595-903175AE2A8F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145" name="Rectangle 489">
              <a:extLst>
                <a:ext uri="{FF2B5EF4-FFF2-40B4-BE49-F238E27FC236}">
                  <a16:creationId xmlns:a16="http://schemas.microsoft.com/office/drawing/2014/main" id="{EEF6C681-1BAF-9AE4-7AE7-6051C4B3363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46" name="Line 490">
              <a:extLst>
                <a:ext uri="{FF2B5EF4-FFF2-40B4-BE49-F238E27FC236}">
                  <a16:creationId xmlns:a16="http://schemas.microsoft.com/office/drawing/2014/main" id="{6A9899D4-7B2E-1C63-5F82-345F331315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47" name="Line 491">
              <a:extLst>
                <a:ext uri="{FF2B5EF4-FFF2-40B4-BE49-F238E27FC236}">
                  <a16:creationId xmlns:a16="http://schemas.microsoft.com/office/drawing/2014/main" id="{B8B8F5BA-3561-63FA-EA48-83AC9968E7F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48" name="Rectangle 492">
              <a:extLst>
                <a:ext uri="{FF2B5EF4-FFF2-40B4-BE49-F238E27FC236}">
                  <a16:creationId xmlns:a16="http://schemas.microsoft.com/office/drawing/2014/main" id="{B7FFC2CC-0C90-7581-FC66-115529C046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49" name="Oval 493">
              <a:extLst>
                <a:ext uri="{FF2B5EF4-FFF2-40B4-BE49-F238E27FC236}">
                  <a16:creationId xmlns:a16="http://schemas.microsoft.com/office/drawing/2014/main" id="{E80EBBC4-3A44-A4D0-ABEC-1A337EB1BB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50" name="Oval 494">
              <a:extLst>
                <a:ext uri="{FF2B5EF4-FFF2-40B4-BE49-F238E27FC236}">
                  <a16:creationId xmlns:a16="http://schemas.microsoft.com/office/drawing/2014/main" id="{852EED03-651E-02CB-DBC2-F7E46762DF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51" name="Rectangle 495">
              <a:extLst>
                <a:ext uri="{FF2B5EF4-FFF2-40B4-BE49-F238E27FC236}">
                  <a16:creationId xmlns:a16="http://schemas.microsoft.com/office/drawing/2014/main" id="{E69E9CA4-1D16-C58E-5C10-8CF9FD12A7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52" name="Rectangle 496">
              <a:extLst>
                <a:ext uri="{FF2B5EF4-FFF2-40B4-BE49-F238E27FC236}">
                  <a16:creationId xmlns:a16="http://schemas.microsoft.com/office/drawing/2014/main" id="{98662B81-E3C9-2240-6B01-5E2DCE6689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53" name="Rectangle 497">
              <a:extLst>
                <a:ext uri="{FF2B5EF4-FFF2-40B4-BE49-F238E27FC236}">
                  <a16:creationId xmlns:a16="http://schemas.microsoft.com/office/drawing/2014/main" id="{F23165F9-9CB4-52A0-7EC2-926B48242E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54" name="Rectangle 498">
              <a:extLst>
                <a:ext uri="{FF2B5EF4-FFF2-40B4-BE49-F238E27FC236}">
                  <a16:creationId xmlns:a16="http://schemas.microsoft.com/office/drawing/2014/main" id="{6C14D185-D711-AFDB-DCC1-2E755D2856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143" name="Rectangle 499">
            <a:extLst>
              <a:ext uri="{FF2B5EF4-FFF2-40B4-BE49-F238E27FC236}">
                <a16:creationId xmlns:a16="http://schemas.microsoft.com/office/drawing/2014/main" id="{9D71047A-343B-0A72-1382-4330B3AA8C6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44" name="Rectangle 500">
            <a:extLst>
              <a:ext uri="{FF2B5EF4-FFF2-40B4-BE49-F238E27FC236}">
                <a16:creationId xmlns:a16="http://schemas.microsoft.com/office/drawing/2014/main" id="{284A9FE4-0A1D-EB67-8773-64E235E5E177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48" name="Group 501">
          <a:extLst>
            <a:ext uri="{FF2B5EF4-FFF2-40B4-BE49-F238E27FC236}">
              <a16:creationId xmlns:a16="http://schemas.microsoft.com/office/drawing/2014/main" id="{3E035D6B-B208-59EB-6B2A-811F4B08F186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3109" name="Rectangle 502">
            <a:extLst>
              <a:ext uri="{FF2B5EF4-FFF2-40B4-BE49-F238E27FC236}">
                <a16:creationId xmlns:a16="http://schemas.microsoft.com/office/drawing/2014/main" id="{4AAFD617-36A8-AEDD-E86E-665D6D28EAC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0" name="Line 503">
            <a:extLst>
              <a:ext uri="{FF2B5EF4-FFF2-40B4-BE49-F238E27FC236}">
                <a16:creationId xmlns:a16="http://schemas.microsoft.com/office/drawing/2014/main" id="{E9AEB668-6E43-0CB0-1A2E-BA59990393B5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11" name="Line 504">
            <a:extLst>
              <a:ext uri="{FF2B5EF4-FFF2-40B4-BE49-F238E27FC236}">
                <a16:creationId xmlns:a16="http://schemas.microsoft.com/office/drawing/2014/main" id="{2F77E56C-CBB9-2B55-04D7-91AD0CF236F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12" name="Rectangle 505">
            <a:extLst>
              <a:ext uri="{FF2B5EF4-FFF2-40B4-BE49-F238E27FC236}">
                <a16:creationId xmlns:a16="http://schemas.microsoft.com/office/drawing/2014/main" id="{858A069E-0091-4A91-5246-23C31E7DBF7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3" name="Oval 506">
            <a:extLst>
              <a:ext uri="{FF2B5EF4-FFF2-40B4-BE49-F238E27FC236}">
                <a16:creationId xmlns:a16="http://schemas.microsoft.com/office/drawing/2014/main" id="{8262166D-7E45-F970-876A-4E4425C4AB8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14" name="Oval 507">
            <a:extLst>
              <a:ext uri="{FF2B5EF4-FFF2-40B4-BE49-F238E27FC236}">
                <a16:creationId xmlns:a16="http://schemas.microsoft.com/office/drawing/2014/main" id="{7240790E-7A27-F15A-F0A5-4D27845854A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15" name="Rectangle 508">
            <a:extLst>
              <a:ext uri="{FF2B5EF4-FFF2-40B4-BE49-F238E27FC236}">
                <a16:creationId xmlns:a16="http://schemas.microsoft.com/office/drawing/2014/main" id="{E7814A5A-AF2D-18D4-E92A-1748EA7B0337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6" name="Rectangle 509">
            <a:extLst>
              <a:ext uri="{FF2B5EF4-FFF2-40B4-BE49-F238E27FC236}">
                <a16:creationId xmlns:a16="http://schemas.microsoft.com/office/drawing/2014/main" id="{D53D0B94-BB91-83E6-796A-4E1F6153852C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7" name="Rectangle 510">
            <a:extLst>
              <a:ext uri="{FF2B5EF4-FFF2-40B4-BE49-F238E27FC236}">
                <a16:creationId xmlns:a16="http://schemas.microsoft.com/office/drawing/2014/main" id="{423E1010-3A88-ADE7-D7AA-788907F3946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18" name="Rectangle 511">
            <a:extLst>
              <a:ext uri="{FF2B5EF4-FFF2-40B4-BE49-F238E27FC236}">
                <a16:creationId xmlns:a16="http://schemas.microsoft.com/office/drawing/2014/main" id="{8AAF083E-D42F-3F20-12DF-971E1B24A09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119" name="Group 512">
            <a:extLst>
              <a:ext uri="{FF2B5EF4-FFF2-40B4-BE49-F238E27FC236}">
                <a16:creationId xmlns:a16="http://schemas.microsoft.com/office/drawing/2014/main" id="{DB8A823A-3760-8C08-B1BF-6056D66AC1F5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122" name="Rectangle 513">
              <a:extLst>
                <a:ext uri="{FF2B5EF4-FFF2-40B4-BE49-F238E27FC236}">
                  <a16:creationId xmlns:a16="http://schemas.microsoft.com/office/drawing/2014/main" id="{90E8F7B2-C6D0-40E6-BD23-451871FFFA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23" name="Line 514">
              <a:extLst>
                <a:ext uri="{FF2B5EF4-FFF2-40B4-BE49-F238E27FC236}">
                  <a16:creationId xmlns:a16="http://schemas.microsoft.com/office/drawing/2014/main" id="{87E814CC-55C7-FDAC-B288-6A8EE328BD3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24" name="Line 515">
              <a:extLst>
                <a:ext uri="{FF2B5EF4-FFF2-40B4-BE49-F238E27FC236}">
                  <a16:creationId xmlns:a16="http://schemas.microsoft.com/office/drawing/2014/main" id="{F2146A6B-32BC-D299-E700-38B047223AD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125" name="Rectangle 516">
              <a:extLst>
                <a:ext uri="{FF2B5EF4-FFF2-40B4-BE49-F238E27FC236}">
                  <a16:creationId xmlns:a16="http://schemas.microsoft.com/office/drawing/2014/main" id="{8EE77A72-DA3F-42CA-FDE2-1CE2C8F002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26" name="Oval 517">
              <a:extLst>
                <a:ext uri="{FF2B5EF4-FFF2-40B4-BE49-F238E27FC236}">
                  <a16:creationId xmlns:a16="http://schemas.microsoft.com/office/drawing/2014/main" id="{32B937F8-5712-AF59-5C0A-A503255611C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27" name="Oval 518">
              <a:extLst>
                <a:ext uri="{FF2B5EF4-FFF2-40B4-BE49-F238E27FC236}">
                  <a16:creationId xmlns:a16="http://schemas.microsoft.com/office/drawing/2014/main" id="{D0964EE1-99FB-CB0C-B1B9-DC8ADE7609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128" name="Rectangle 519">
              <a:extLst>
                <a:ext uri="{FF2B5EF4-FFF2-40B4-BE49-F238E27FC236}">
                  <a16:creationId xmlns:a16="http://schemas.microsoft.com/office/drawing/2014/main" id="{EF1CAEDB-1299-FC5F-D081-52DF917C1B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29" name="Rectangle 520">
              <a:extLst>
                <a:ext uri="{FF2B5EF4-FFF2-40B4-BE49-F238E27FC236}">
                  <a16:creationId xmlns:a16="http://schemas.microsoft.com/office/drawing/2014/main" id="{B06A23E8-DE90-9EC2-DBD9-905C50452F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30" name="Rectangle 521">
              <a:extLst>
                <a:ext uri="{FF2B5EF4-FFF2-40B4-BE49-F238E27FC236}">
                  <a16:creationId xmlns:a16="http://schemas.microsoft.com/office/drawing/2014/main" id="{D8B4D2CA-FAB4-F116-20E6-393E5ACD781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131" name="Rectangle 522">
              <a:extLst>
                <a:ext uri="{FF2B5EF4-FFF2-40B4-BE49-F238E27FC236}">
                  <a16:creationId xmlns:a16="http://schemas.microsoft.com/office/drawing/2014/main" id="{34C26443-8C96-9B26-3B09-DDD58141AB3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120" name="Rectangle 523">
            <a:extLst>
              <a:ext uri="{FF2B5EF4-FFF2-40B4-BE49-F238E27FC236}">
                <a16:creationId xmlns:a16="http://schemas.microsoft.com/office/drawing/2014/main" id="{21D85944-2EC1-3A37-A13E-CDB523F92FB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21" name="Rectangle 524">
            <a:extLst>
              <a:ext uri="{FF2B5EF4-FFF2-40B4-BE49-F238E27FC236}">
                <a16:creationId xmlns:a16="http://schemas.microsoft.com/office/drawing/2014/main" id="{EDE5BCA8-9CEA-1836-CCE9-2A815A5CE833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528349" name="Group 525">
          <a:extLst>
            <a:ext uri="{FF2B5EF4-FFF2-40B4-BE49-F238E27FC236}">
              <a16:creationId xmlns:a16="http://schemas.microsoft.com/office/drawing/2014/main" id="{E4B1CA5F-3057-20ED-BABD-4A35F0A56EAF}"/>
            </a:ext>
          </a:extLst>
        </xdr:cNvPr>
        <xdr:cNvGrpSpPr>
          <a:grpSpLocks/>
        </xdr:cNvGrpSpPr>
      </xdr:nvGrpSpPr>
      <xdr:grpSpPr bwMode="auto">
        <a:xfrm>
          <a:off x="6536267" y="1278467"/>
          <a:ext cx="0" cy="423333"/>
          <a:chOff x="333" y="153"/>
          <a:chExt cx="219" cy="333"/>
        </a:xfrm>
      </xdr:grpSpPr>
      <xdr:sp macro="" textlink="">
        <xdr:nvSpPr>
          <xdr:cNvPr id="533099" name="Rectangle 526">
            <a:extLst>
              <a:ext uri="{FF2B5EF4-FFF2-40B4-BE49-F238E27FC236}">
                <a16:creationId xmlns:a16="http://schemas.microsoft.com/office/drawing/2014/main" id="{449337AA-351F-03EE-90AB-FEDBB76B8377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0" name="Line 527">
            <a:extLst>
              <a:ext uri="{FF2B5EF4-FFF2-40B4-BE49-F238E27FC236}">
                <a16:creationId xmlns:a16="http://schemas.microsoft.com/office/drawing/2014/main" id="{D0612802-276A-0549-1607-A7812A1E729C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01" name="Line 528">
            <a:extLst>
              <a:ext uri="{FF2B5EF4-FFF2-40B4-BE49-F238E27FC236}">
                <a16:creationId xmlns:a16="http://schemas.microsoft.com/office/drawing/2014/main" id="{CCDD5782-63FB-946E-32E6-E47F2A7E26F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102" name="Rectangle 529">
            <a:extLst>
              <a:ext uri="{FF2B5EF4-FFF2-40B4-BE49-F238E27FC236}">
                <a16:creationId xmlns:a16="http://schemas.microsoft.com/office/drawing/2014/main" id="{0599C251-6A1D-531F-E474-84A1024FD75B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3" name="Oval 530">
            <a:extLst>
              <a:ext uri="{FF2B5EF4-FFF2-40B4-BE49-F238E27FC236}">
                <a16:creationId xmlns:a16="http://schemas.microsoft.com/office/drawing/2014/main" id="{7511B4B1-A254-40B4-7F70-52660B45CBCA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04" name="Oval 531">
            <a:extLst>
              <a:ext uri="{FF2B5EF4-FFF2-40B4-BE49-F238E27FC236}">
                <a16:creationId xmlns:a16="http://schemas.microsoft.com/office/drawing/2014/main" id="{974CF574-89AA-372B-0C14-8E1B2BDCB9CA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105" name="Rectangle 532">
            <a:extLst>
              <a:ext uri="{FF2B5EF4-FFF2-40B4-BE49-F238E27FC236}">
                <a16:creationId xmlns:a16="http://schemas.microsoft.com/office/drawing/2014/main" id="{71A64536-8974-B2E6-422B-3D95DD4FBFC2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6" name="Rectangle 533">
            <a:extLst>
              <a:ext uri="{FF2B5EF4-FFF2-40B4-BE49-F238E27FC236}">
                <a16:creationId xmlns:a16="http://schemas.microsoft.com/office/drawing/2014/main" id="{49C7D333-482E-D6FB-E1DD-3A03B36D9020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7" name="Rectangle 534">
            <a:extLst>
              <a:ext uri="{FF2B5EF4-FFF2-40B4-BE49-F238E27FC236}">
                <a16:creationId xmlns:a16="http://schemas.microsoft.com/office/drawing/2014/main" id="{442FDB26-839F-877D-1778-02142F06D19C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108" name="Rectangle 535">
            <a:extLst>
              <a:ext uri="{FF2B5EF4-FFF2-40B4-BE49-F238E27FC236}">
                <a16:creationId xmlns:a16="http://schemas.microsoft.com/office/drawing/2014/main" id="{7E10CF96-EA35-2339-5281-6065613E1A28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152400</xdr:rowOff>
    </xdr:from>
    <xdr:to>
      <xdr:col>8</xdr:col>
      <xdr:colOff>0</xdr:colOff>
      <xdr:row>3</xdr:row>
      <xdr:rowOff>0</xdr:rowOff>
    </xdr:to>
    <xdr:grpSp>
      <xdr:nvGrpSpPr>
        <xdr:cNvPr id="528350" name="Group 536">
          <a:extLst>
            <a:ext uri="{FF2B5EF4-FFF2-40B4-BE49-F238E27FC236}">
              <a16:creationId xmlns:a16="http://schemas.microsoft.com/office/drawing/2014/main" id="{885D2C24-EFF0-43FE-590E-403F9146E142}"/>
            </a:ext>
          </a:extLst>
        </xdr:cNvPr>
        <xdr:cNvGrpSpPr>
          <a:grpSpLocks/>
        </xdr:cNvGrpSpPr>
      </xdr:nvGrpSpPr>
      <xdr:grpSpPr bwMode="auto">
        <a:xfrm>
          <a:off x="6536267" y="1278467"/>
          <a:ext cx="0" cy="423333"/>
          <a:chOff x="333" y="153"/>
          <a:chExt cx="219" cy="333"/>
        </a:xfrm>
      </xdr:grpSpPr>
      <xdr:sp macro="" textlink="">
        <xdr:nvSpPr>
          <xdr:cNvPr id="533089" name="Rectangle 537">
            <a:extLst>
              <a:ext uri="{FF2B5EF4-FFF2-40B4-BE49-F238E27FC236}">
                <a16:creationId xmlns:a16="http://schemas.microsoft.com/office/drawing/2014/main" id="{95E7BE8C-3E72-D57A-0845-4E641102FA24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0" name="Line 538">
            <a:extLst>
              <a:ext uri="{FF2B5EF4-FFF2-40B4-BE49-F238E27FC236}">
                <a16:creationId xmlns:a16="http://schemas.microsoft.com/office/drawing/2014/main" id="{112CB672-DBA0-2F2B-D3A2-88C7FF88FCC6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091" name="Line 539">
            <a:extLst>
              <a:ext uri="{FF2B5EF4-FFF2-40B4-BE49-F238E27FC236}">
                <a16:creationId xmlns:a16="http://schemas.microsoft.com/office/drawing/2014/main" id="{A6CCBCD5-79A3-5FF5-8284-5980AE6EA3EA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092" name="Rectangle 540">
            <a:extLst>
              <a:ext uri="{FF2B5EF4-FFF2-40B4-BE49-F238E27FC236}">
                <a16:creationId xmlns:a16="http://schemas.microsoft.com/office/drawing/2014/main" id="{828B7D69-CB12-0AEA-E36C-06C8DF294175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3" name="Oval 541">
            <a:extLst>
              <a:ext uri="{FF2B5EF4-FFF2-40B4-BE49-F238E27FC236}">
                <a16:creationId xmlns:a16="http://schemas.microsoft.com/office/drawing/2014/main" id="{0F7ACEFF-EDCD-D5F0-D73A-ACEC974CD651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094" name="Oval 542">
            <a:extLst>
              <a:ext uri="{FF2B5EF4-FFF2-40B4-BE49-F238E27FC236}">
                <a16:creationId xmlns:a16="http://schemas.microsoft.com/office/drawing/2014/main" id="{E8482713-77CB-609F-50C1-B8CB33ECB98A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095" name="Rectangle 543">
            <a:extLst>
              <a:ext uri="{FF2B5EF4-FFF2-40B4-BE49-F238E27FC236}">
                <a16:creationId xmlns:a16="http://schemas.microsoft.com/office/drawing/2014/main" id="{A9A47199-1FF7-6258-54F1-B36ECAD027BA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6" name="Rectangle 544">
            <a:extLst>
              <a:ext uri="{FF2B5EF4-FFF2-40B4-BE49-F238E27FC236}">
                <a16:creationId xmlns:a16="http://schemas.microsoft.com/office/drawing/2014/main" id="{0ABA49F3-EB46-3A51-FC7A-CF2AADE91354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7" name="Rectangle 545">
            <a:extLst>
              <a:ext uri="{FF2B5EF4-FFF2-40B4-BE49-F238E27FC236}">
                <a16:creationId xmlns:a16="http://schemas.microsoft.com/office/drawing/2014/main" id="{716C58BA-99D5-D36C-195F-6DF589420631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098" name="Rectangle 546">
            <a:extLst>
              <a:ext uri="{FF2B5EF4-FFF2-40B4-BE49-F238E27FC236}">
                <a16:creationId xmlns:a16="http://schemas.microsoft.com/office/drawing/2014/main" id="{8EAA08C2-9E96-1F2E-2B9D-409C2093DEFA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1" name="Group 547">
          <a:extLst>
            <a:ext uri="{FF2B5EF4-FFF2-40B4-BE49-F238E27FC236}">
              <a16:creationId xmlns:a16="http://schemas.microsoft.com/office/drawing/2014/main" id="{15912EB9-5F06-5026-FE4F-A35824BCE820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381000"/>
          <a:chOff x="335" y="195"/>
          <a:chExt cx="352" cy="282"/>
        </a:xfrm>
      </xdr:grpSpPr>
      <xdr:grpSp>
        <xdr:nvGrpSpPr>
          <xdr:cNvPr id="533067" name="Group 548">
            <a:extLst>
              <a:ext uri="{FF2B5EF4-FFF2-40B4-BE49-F238E27FC236}">
                <a16:creationId xmlns:a16="http://schemas.microsoft.com/office/drawing/2014/main" id="{CC2686B6-0EED-E38B-4B21-F6E6ED38DEF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079" name="Rectangle 549">
              <a:extLst>
                <a:ext uri="{FF2B5EF4-FFF2-40B4-BE49-F238E27FC236}">
                  <a16:creationId xmlns:a16="http://schemas.microsoft.com/office/drawing/2014/main" id="{1EC893E6-663F-C963-3111-2E04F2B541C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0" name="Line 550">
              <a:extLst>
                <a:ext uri="{FF2B5EF4-FFF2-40B4-BE49-F238E27FC236}">
                  <a16:creationId xmlns:a16="http://schemas.microsoft.com/office/drawing/2014/main" id="{F0DFF911-A81C-F64A-756A-27F5C68908A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81" name="Line 551">
              <a:extLst>
                <a:ext uri="{FF2B5EF4-FFF2-40B4-BE49-F238E27FC236}">
                  <a16:creationId xmlns:a16="http://schemas.microsoft.com/office/drawing/2014/main" id="{5818351F-F315-3A9B-6659-926E5364FC0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82" name="Rectangle 552">
              <a:extLst>
                <a:ext uri="{FF2B5EF4-FFF2-40B4-BE49-F238E27FC236}">
                  <a16:creationId xmlns:a16="http://schemas.microsoft.com/office/drawing/2014/main" id="{9AA13156-C09C-12A4-1CFA-D9223B25A1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3" name="Oval 553">
              <a:extLst>
                <a:ext uri="{FF2B5EF4-FFF2-40B4-BE49-F238E27FC236}">
                  <a16:creationId xmlns:a16="http://schemas.microsoft.com/office/drawing/2014/main" id="{74241AB5-D3BA-F270-B86C-2C8BE370AB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84" name="Oval 554">
              <a:extLst>
                <a:ext uri="{FF2B5EF4-FFF2-40B4-BE49-F238E27FC236}">
                  <a16:creationId xmlns:a16="http://schemas.microsoft.com/office/drawing/2014/main" id="{D6F80C40-4A2A-501E-7F07-D3A22A6146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85" name="Rectangle 555">
              <a:extLst>
                <a:ext uri="{FF2B5EF4-FFF2-40B4-BE49-F238E27FC236}">
                  <a16:creationId xmlns:a16="http://schemas.microsoft.com/office/drawing/2014/main" id="{1ED38523-298C-4BEE-0EEA-7576E6BC1D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6" name="Rectangle 556">
              <a:extLst>
                <a:ext uri="{FF2B5EF4-FFF2-40B4-BE49-F238E27FC236}">
                  <a16:creationId xmlns:a16="http://schemas.microsoft.com/office/drawing/2014/main" id="{579957E7-E9A4-E2BD-B1D5-60369EE73F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7" name="Rectangle 557">
              <a:extLst>
                <a:ext uri="{FF2B5EF4-FFF2-40B4-BE49-F238E27FC236}">
                  <a16:creationId xmlns:a16="http://schemas.microsoft.com/office/drawing/2014/main" id="{D0D434E6-5BD2-93FA-E2DC-803C3F599E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88" name="Rectangle 558">
              <a:extLst>
                <a:ext uri="{FF2B5EF4-FFF2-40B4-BE49-F238E27FC236}">
                  <a16:creationId xmlns:a16="http://schemas.microsoft.com/office/drawing/2014/main" id="{49F4258E-1835-AC48-EE9A-6272F127DDD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068" name="Group 559">
            <a:extLst>
              <a:ext uri="{FF2B5EF4-FFF2-40B4-BE49-F238E27FC236}">
                <a16:creationId xmlns:a16="http://schemas.microsoft.com/office/drawing/2014/main" id="{0578BD0D-8C55-A3D9-0EC2-68AA5B8885C7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069" name="Rectangle 560">
              <a:extLst>
                <a:ext uri="{FF2B5EF4-FFF2-40B4-BE49-F238E27FC236}">
                  <a16:creationId xmlns:a16="http://schemas.microsoft.com/office/drawing/2014/main" id="{AEF13DC9-5813-A7AA-1B2D-B47556BE59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0" name="Line 561">
              <a:extLst>
                <a:ext uri="{FF2B5EF4-FFF2-40B4-BE49-F238E27FC236}">
                  <a16:creationId xmlns:a16="http://schemas.microsoft.com/office/drawing/2014/main" id="{D94EEA03-DDA3-1D92-3024-5A4F6D189E8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71" name="Line 562">
              <a:extLst>
                <a:ext uri="{FF2B5EF4-FFF2-40B4-BE49-F238E27FC236}">
                  <a16:creationId xmlns:a16="http://schemas.microsoft.com/office/drawing/2014/main" id="{3B78486C-BF94-845E-8024-7C7ABCC3501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72" name="Rectangle 563">
              <a:extLst>
                <a:ext uri="{FF2B5EF4-FFF2-40B4-BE49-F238E27FC236}">
                  <a16:creationId xmlns:a16="http://schemas.microsoft.com/office/drawing/2014/main" id="{2C949101-B43A-460A-7DE5-0CE27351A0A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3" name="Oval 564">
              <a:extLst>
                <a:ext uri="{FF2B5EF4-FFF2-40B4-BE49-F238E27FC236}">
                  <a16:creationId xmlns:a16="http://schemas.microsoft.com/office/drawing/2014/main" id="{D859D71B-2234-B838-B905-4644E27D27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74" name="Oval 565">
              <a:extLst>
                <a:ext uri="{FF2B5EF4-FFF2-40B4-BE49-F238E27FC236}">
                  <a16:creationId xmlns:a16="http://schemas.microsoft.com/office/drawing/2014/main" id="{83A97CAD-5ED2-24AA-AA37-928F7BE93B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75" name="Rectangle 566">
              <a:extLst>
                <a:ext uri="{FF2B5EF4-FFF2-40B4-BE49-F238E27FC236}">
                  <a16:creationId xmlns:a16="http://schemas.microsoft.com/office/drawing/2014/main" id="{979E8EBB-9938-B86B-AB05-3F7AE1A475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6" name="Rectangle 567">
              <a:extLst>
                <a:ext uri="{FF2B5EF4-FFF2-40B4-BE49-F238E27FC236}">
                  <a16:creationId xmlns:a16="http://schemas.microsoft.com/office/drawing/2014/main" id="{9CE08185-1C0C-4478-D895-10A7E0EFC1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7" name="Rectangle 568">
              <a:extLst>
                <a:ext uri="{FF2B5EF4-FFF2-40B4-BE49-F238E27FC236}">
                  <a16:creationId xmlns:a16="http://schemas.microsoft.com/office/drawing/2014/main" id="{61D0634B-249D-098A-6507-B3B8F19770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78" name="Rectangle 569">
              <a:extLst>
                <a:ext uri="{FF2B5EF4-FFF2-40B4-BE49-F238E27FC236}">
                  <a16:creationId xmlns:a16="http://schemas.microsoft.com/office/drawing/2014/main" id="{F959BA12-D5AE-511C-9185-A50C4908CC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2" name="Group 570">
          <a:extLst>
            <a:ext uri="{FF2B5EF4-FFF2-40B4-BE49-F238E27FC236}">
              <a16:creationId xmlns:a16="http://schemas.microsoft.com/office/drawing/2014/main" id="{95AB9775-0C5D-0812-7ED2-AF39EF5CA633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381000"/>
          <a:chOff x="335" y="195"/>
          <a:chExt cx="352" cy="282"/>
        </a:xfrm>
      </xdr:grpSpPr>
      <xdr:grpSp>
        <xdr:nvGrpSpPr>
          <xdr:cNvPr id="533045" name="Group 571">
            <a:extLst>
              <a:ext uri="{FF2B5EF4-FFF2-40B4-BE49-F238E27FC236}">
                <a16:creationId xmlns:a16="http://schemas.microsoft.com/office/drawing/2014/main" id="{F61B70C0-F69F-BF31-38C4-8015FCB2F06A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057" name="Rectangle 572">
              <a:extLst>
                <a:ext uri="{FF2B5EF4-FFF2-40B4-BE49-F238E27FC236}">
                  <a16:creationId xmlns:a16="http://schemas.microsoft.com/office/drawing/2014/main" id="{EAB12D91-08E0-C155-01E3-95A0C1EDAE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8" name="Line 573">
              <a:extLst>
                <a:ext uri="{FF2B5EF4-FFF2-40B4-BE49-F238E27FC236}">
                  <a16:creationId xmlns:a16="http://schemas.microsoft.com/office/drawing/2014/main" id="{33C63BBE-BB60-4A40-1B6D-3FA46114D8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59" name="Line 574">
              <a:extLst>
                <a:ext uri="{FF2B5EF4-FFF2-40B4-BE49-F238E27FC236}">
                  <a16:creationId xmlns:a16="http://schemas.microsoft.com/office/drawing/2014/main" id="{A91A1007-5C6C-5A00-5929-1E76711DC01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60" name="Rectangle 575">
              <a:extLst>
                <a:ext uri="{FF2B5EF4-FFF2-40B4-BE49-F238E27FC236}">
                  <a16:creationId xmlns:a16="http://schemas.microsoft.com/office/drawing/2014/main" id="{3C9913B7-3329-604D-76BD-2B761F9FD81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61" name="Oval 576">
              <a:extLst>
                <a:ext uri="{FF2B5EF4-FFF2-40B4-BE49-F238E27FC236}">
                  <a16:creationId xmlns:a16="http://schemas.microsoft.com/office/drawing/2014/main" id="{05367FF6-2DB6-651E-C04F-F3502E340E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62" name="Oval 577">
              <a:extLst>
                <a:ext uri="{FF2B5EF4-FFF2-40B4-BE49-F238E27FC236}">
                  <a16:creationId xmlns:a16="http://schemas.microsoft.com/office/drawing/2014/main" id="{CA4E8B57-0D56-B545-CEA8-23E7B3660B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63" name="Rectangle 578">
              <a:extLst>
                <a:ext uri="{FF2B5EF4-FFF2-40B4-BE49-F238E27FC236}">
                  <a16:creationId xmlns:a16="http://schemas.microsoft.com/office/drawing/2014/main" id="{AF66C91C-210E-02DA-0A53-AF1CC424A1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64" name="Rectangle 579">
              <a:extLst>
                <a:ext uri="{FF2B5EF4-FFF2-40B4-BE49-F238E27FC236}">
                  <a16:creationId xmlns:a16="http://schemas.microsoft.com/office/drawing/2014/main" id="{9263988F-4C1A-5FA1-B402-D8969C56423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65" name="Rectangle 580">
              <a:extLst>
                <a:ext uri="{FF2B5EF4-FFF2-40B4-BE49-F238E27FC236}">
                  <a16:creationId xmlns:a16="http://schemas.microsoft.com/office/drawing/2014/main" id="{F726A9D3-4B97-902D-DBCE-0737D96FE2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66" name="Rectangle 581">
              <a:extLst>
                <a:ext uri="{FF2B5EF4-FFF2-40B4-BE49-F238E27FC236}">
                  <a16:creationId xmlns:a16="http://schemas.microsoft.com/office/drawing/2014/main" id="{4FA3EAA1-3135-3EAF-66EF-0A192F1EB3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046" name="Group 582">
            <a:extLst>
              <a:ext uri="{FF2B5EF4-FFF2-40B4-BE49-F238E27FC236}">
                <a16:creationId xmlns:a16="http://schemas.microsoft.com/office/drawing/2014/main" id="{5AFB6030-3FDB-5074-05D7-B6316A9FEE87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047" name="Rectangle 583">
              <a:extLst>
                <a:ext uri="{FF2B5EF4-FFF2-40B4-BE49-F238E27FC236}">
                  <a16:creationId xmlns:a16="http://schemas.microsoft.com/office/drawing/2014/main" id="{564B4728-5B41-DD1F-7865-7F86C3C5F1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48" name="Line 584">
              <a:extLst>
                <a:ext uri="{FF2B5EF4-FFF2-40B4-BE49-F238E27FC236}">
                  <a16:creationId xmlns:a16="http://schemas.microsoft.com/office/drawing/2014/main" id="{C169649A-15B1-664E-6BE7-6DD5B2F7F0E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49" name="Line 585">
              <a:extLst>
                <a:ext uri="{FF2B5EF4-FFF2-40B4-BE49-F238E27FC236}">
                  <a16:creationId xmlns:a16="http://schemas.microsoft.com/office/drawing/2014/main" id="{2DA37D72-CE45-6EBD-4F32-3885810C676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50" name="Rectangle 586">
              <a:extLst>
                <a:ext uri="{FF2B5EF4-FFF2-40B4-BE49-F238E27FC236}">
                  <a16:creationId xmlns:a16="http://schemas.microsoft.com/office/drawing/2014/main" id="{77E6B195-3412-0D64-0857-4CA97C877B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1" name="Oval 587">
              <a:extLst>
                <a:ext uri="{FF2B5EF4-FFF2-40B4-BE49-F238E27FC236}">
                  <a16:creationId xmlns:a16="http://schemas.microsoft.com/office/drawing/2014/main" id="{2EBC76F6-23DF-EFF9-A857-7EE7E00B99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52" name="Oval 588">
              <a:extLst>
                <a:ext uri="{FF2B5EF4-FFF2-40B4-BE49-F238E27FC236}">
                  <a16:creationId xmlns:a16="http://schemas.microsoft.com/office/drawing/2014/main" id="{9272A7C9-5ECA-049B-032D-E0F79CCBDF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53" name="Rectangle 589">
              <a:extLst>
                <a:ext uri="{FF2B5EF4-FFF2-40B4-BE49-F238E27FC236}">
                  <a16:creationId xmlns:a16="http://schemas.microsoft.com/office/drawing/2014/main" id="{2582EC4F-1F40-59DC-0112-AE1903F9A9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4" name="Rectangle 590">
              <a:extLst>
                <a:ext uri="{FF2B5EF4-FFF2-40B4-BE49-F238E27FC236}">
                  <a16:creationId xmlns:a16="http://schemas.microsoft.com/office/drawing/2014/main" id="{80011A66-1DEF-EF2F-0CCF-D7F545B012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5" name="Rectangle 591">
              <a:extLst>
                <a:ext uri="{FF2B5EF4-FFF2-40B4-BE49-F238E27FC236}">
                  <a16:creationId xmlns:a16="http://schemas.microsoft.com/office/drawing/2014/main" id="{301AA54C-68FB-4CAD-8243-48DB3C0C52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56" name="Rectangle 592">
              <a:extLst>
                <a:ext uri="{FF2B5EF4-FFF2-40B4-BE49-F238E27FC236}">
                  <a16:creationId xmlns:a16="http://schemas.microsoft.com/office/drawing/2014/main" id="{DAD58469-9C46-514A-D0D7-6CAF1B7635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3" name="Group 593">
          <a:extLst>
            <a:ext uri="{FF2B5EF4-FFF2-40B4-BE49-F238E27FC236}">
              <a16:creationId xmlns:a16="http://schemas.microsoft.com/office/drawing/2014/main" id="{9F3EA255-5016-2000-9561-3BEDD3E59ABB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381000"/>
          <a:chOff x="335" y="195"/>
          <a:chExt cx="352" cy="282"/>
        </a:xfrm>
      </xdr:grpSpPr>
      <xdr:grpSp>
        <xdr:nvGrpSpPr>
          <xdr:cNvPr id="533023" name="Group 594">
            <a:extLst>
              <a:ext uri="{FF2B5EF4-FFF2-40B4-BE49-F238E27FC236}">
                <a16:creationId xmlns:a16="http://schemas.microsoft.com/office/drawing/2014/main" id="{DB336051-9081-952C-82CC-0FA7C029F11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035" name="Rectangle 595">
              <a:extLst>
                <a:ext uri="{FF2B5EF4-FFF2-40B4-BE49-F238E27FC236}">
                  <a16:creationId xmlns:a16="http://schemas.microsoft.com/office/drawing/2014/main" id="{E8C48A5E-B2DF-BEF7-832D-026DC4F503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6" name="Line 596">
              <a:extLst>
                <a:ext uri="{FF2B5EF4-FFF2-40B4-BE49-F238E27FC236}">
                  <a16:creationId xmlns:a16="http://schemas.microsoft.com/office/drawing/2014/main" id="{B8F0AB54-91BF-A827-F3B2-4298183A15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37" name="Line 597">
              <a:extLst>
                <a:ext uri="{FF2B5EF4-FFF2-40B4-BE49-F238E27FC236}">
                  <a16:creationId xmlns:a16="http://schemas.microsoft.com/office/drawing/2014/main" id="{5FF197AC-402B-02D8-201C-21CF8D56344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38" name="Rectangle 598">
              <a:extLst>
                <a:ext uri="{FF2B5EF4-FFF2-40B4-BE49-F238E27FC236}">
                  <a16:creationId xmlns:a16="http://schemas.microsoft.com/office/drawing/2014/main" id="{01BF4C21-07C4-A94A-4D6B-AD772FEFE4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9" name="Oval 599">
              <a:extLst>
                <a:ext uri="{FF2B5EF4-FFF2-40B4-BE49-F238E27FC236}">
                  <a16:creationId xmlns:a16="http://schemas.microsoft.com/office/drawing/2014/main" id="{EF199AD8-58C8-946E-2A38-ED1D1D7C3E3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40" name="Oval 600">
              <a:extLst>
                <a:ext uri="{FF2B5EF4-FFF2-40B4-BE49-F238E27FC236}">
                  <a16:creationId xmlns:a16="http://schemas.microsoft.com/office/drawing/2014/main" id="{32056AC5-3BB3-5E9B-688D-409A698F2EA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41" name="Rectangle 601">
              <a:extLst>
                <a:ext uri="{FF2B5EF4-FFF2-40B4-BE49-F238E27FC236}">
                  <a16:creationId xmlns:a16="http://schemas.microsoft.com/office/drawing/2014/main" id="{0DC73C94-A32D-F7DD-6177-2B7E926796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42" name="Rectangle 602">
              <a:extLst>
                <a:ext uri="{FF2B5EF4-FFF2-40B4-BE49-F238E27FC236}">
                  <a16:creationId xmlns:a16="http://schemas.microsoft.com/office/drawing/2014/main" id="{4E5CE83E-C52E-C319-A393-F23D4EA917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43" name="Rectangle 603">
              <a:extLst>
                <a:ext uri="{FF2B5EF4-FFF2-40B4-BE49-F238E27FC236}">
                  <a16:creationId xmlns:a16="http://schemas.microsoft.com/office/drawing/2014/main" id="{CE95069C-878A-B7BF-D683-17E1CB3FA8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44" name="Rectangle 604">
              <a:extLst>
                <a:ext uri="{FF2B5EF4-FFF2-40B4-BE49-F238E27FC236}">
                  <a16:creationId xmlns:a16="http://schemas.microsoft.com/office/drawing/2014/main" id="{AF63BC04-750B-78A9-6443-11BFE7A1CC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024" name="Group 605">
            <a:extLst>
              <a:ext uri="{FF2B5EF4-FFF2-40B4-BE49-F238E27FC236}">
                <a16:creationId xmlns:a16="http://schemas.microsoft.com/office/drawing/2014/main" id="{48815CD9-93C0-EA87-226D-8A5DB61BCEB5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025" name="Rectangle 606">
              <a:extLst>
                <a:ext uri="{FF2B5EF4-FFF2-40B4-BE49-F238E27FC236}">
                  <a16:creationId xmlns:a16="http://schemas.microsoft.com/office/drawing/2014/main" id="{608D00D8-0C58-E277-1867-0CA1CF6C95E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6" name="Line 607">
              <a:extLst>
                <a:ext uri="{FF2B5EF4-FFF2-40B4-BE49-F238E27FC236}">
                  <a16:creationId xmlns:a16="http://schemas.microsoft.com/office/drawing/2014/main" id="{AE8103F8-430C-493F-9176-B324DEBDC1B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27" name="Line 608">
              <a:extLst>
                <a:ext uri="{FF2B5EF4-FFF2-40B4-BE49-F238E27FC236}">
                  <a16:creationId xmlns:a16="http://schemas.microsoft.com/office/drawing/2014/main" id="{55DA5DFD-B9B0-A94F-CF0D-C9310AADAC7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28" name="Rectangle 609">
              <a:extLst>
                <a:ext uri="{FF2B5EF4-FFF2-40B4-BE49-F238E27FC236}">
                  <a16:creationId xmlns:a16="http://schemas.microsoft.com/office/drawing/2014/main" id="{8B5F9CEE-B088-2898-3D2E-1B5647E779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9" name="Oval 610">
              <a:extLst>
                <a:ext uri="{FF2B5EF4-FFF2-40B4-BE49-F238E27FC236}">
                  <a16:creationId xmlns:a16="http://schemas.microsoft.com/office/drawing/2014/main" id="{8E338B46-6210-C1D7-0EDE-78674E765F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30" name="Oval 611">
              <a:extLst>
                <a:ext uri="{FF2B5EF4-FFF2-40B4-BE49-F238E27FC236}">
                  <a16:creationId xmlns:a16="http://schemas.microsoft.com/office/drawing/2014/main" id="{236D258E-CD35-A4E5-14F3-A41E1CE14D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31" name="Rectangle 612">
              <a:extLst>
                <a:ext uri="{FF2B5EF4-FFF2-40B4-BE49-F238E27FC236}">
                  <a16:creationId xmlns:a16="http://schemas.microsoft.com/office/drawing/2014/main" id="{9E9080C2-A14C-77A8-A625-DB651CD518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2" name="Rectangle 613">
              <a:extLst>
                <a:ext uri="{FF2B5EF4-FFF2-40B4-BE49-F238E27FC236}">
                  <a16:creationId xmlns:a16="http://schemas.microsoft.com/office/drawing/2014/main" id="{CAB23273-B09A-2E44-AC57-814F1796C6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3" name="Rectangle 614">
              <a:extLst>
                <a:ext uri="{FF2B5EF4-FFF2-40B4-BE49-F238E27FC236}">
                  <a16:creationId xmlns:a16="http://schemas.microsoft.com/office/drawing/2014/main" id="{845C4FF3-33DE-82D3-B3AA-8E796AB049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34" name="Rectangle 615">
              <a:extLst>
                <a:ext uri="{FF2B5EF4-FFF2-40B4-BE49-F238E27FC236}">
                  <a16:creationId xmlns:a16="http://schemas.microsoft.com/office/drawing/2014/main" id="{B47A0EEC-06D9-E8B5-BEF6-86DC319A73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4" name="Group 616">
          <a:extLst>
            <a:ext uri="{FF2B5EF4-FFF2-40B4-BE49-F238E27FC236}">
              <a16:creationId xmlns:a16="http://schemas.microsoft.com/office/drawing/2014/main" id="{DED60E58-C073-82B6-C3B4-7B76A77F0B06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381000"/>
          <a:chOff x="335" y="195"/>
          <a:chExt cx="352" cy="282"/>
        </a:xfrm>
      </xdr:grpSpPr>
      <xdr:grpSp>
        <xdr:nvGrpSpPr>
          <xdr:cNvPr id="533001" name="Group 617">
            <a:extLst>
              <a:ext uri="{FF2B5EF4-FFF2-40B4-BE49-F238E27FC236}">
                <a16:creationId xmlns:a16="http://schemas.microsoft.com/office/drawing/2014/main" id="{EE1A57E3-1774-C431-A2E9-EFCA5ECAC0B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013" name="Rectangle 618">
              <a:extLst>
                <a:ext uri="{FF2B5EF4-FFF2-40B4-BE49-F238E27FC236}">
                  <a16:creationId xmlns:a16="http://schemas.microsoft.com/office/drawing/2014/main" id="{7D1F0141-FF33-BF78-9792-1FF54851CCE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4" name="Line 619">
              <a:extLst>
                <a:ext uri="{FF2B5EF4-FFF2-40B4-BE49-F238E27FC236}">
                  <a16:creationId xmlns:a16="http://schemas.microsoft.com/office/drawing/2014/main" id="{085B9DF5-D739-1B5D-577E-324F2951EE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15" name="Line 620">
              <a:extLst>
                <a:ext uri="{FF2B5EF4-FFF2-40B4-BE49-F238E27FC236}">
                  <a16:creationId xmlns:a16="http://schemas.microsoft.com/office/drawing/2014/main" id="{B2228205-78E6-84B2-77CC-8B61A66A907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16" name="Rectangle 621">
              <a:extLst>
                <a:ext uri="{FF2B5EF4-FFF2-40B4-BE49-F238E27FC236}">
                  <a16:creationId xmlns:a16="http://schemas.microsoft.com/office/drawing/2014/main" id="{AE72170A-9C06-338F-C314-6E3D3C27FFA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7" name="Oval 622">
              <a:extLst>
                <a:ext uri="{FF2B5EF4-FFF2-40B4-BE49-F238E27FC236}">
                  <a16:creationId xmlns:a16="http://schemas.microsoft.com/office/drawing/2014/main" id="{7BD645A8-FECA-94E8-81E0-DEBBC57710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18" name="Oval 623">
              <a:extLst>
                <a:ext uri="{FF2B5EF4-FFF2-40B4-BE49-F238E27FC236}">
                  <a16:creationId xmlns:a16="http://schemas.microsoft.com/office/drawing/2014/main" id="{D625A727-7584-903E-C3E7-77441A5200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19" name="Rectangle 624">
              <a:extLst>
                <a:ext uri="{FF2B5EF4-FFF2-40B4-BE49-F238E27FC236}">
                  <a16:creationId xmlns:a16="http://schemas.microsoft.com/office/drawing/2014/main" id="{30E02398-3DC5-C207-26BF-F1E09E6BD2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0" name="Rectangle 625">
              <a:extLst>
                <a:ext uri="{FF2B5EF4-FFF2-40B4-BE49-F238E27FC236}">
                  <a16:creationId xmlns:a16="http://schemas.microsoft.com/office/drawing/2014/main" id="{79B801BC-FB7F-230F-40A7-F43D0EC3FF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1" name="Rectangle 626">
              <a:extLst>
                <a:ext uri="{FF2B5EF4-FFF2-40B4-BE49-F238E27FC236}">
                  <a16:creationId xmlns:a16="http://schemas.microsoft.com/office/drawing/2014/main" id="{BA8EDADC-76B4-43A7-D86E-337134BE47D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22" name="Rectangle 627">
              <a:extLst>
                <a:ext uri="{FF2B5EF4-FFF2-40B4-BE49-F238E27FC236}">
                  <a16:creationId xmlns:a16="http://schemas.microsoft.com/office/drawing/2014/main" id="{3147B013-6984-F49C-163A-0D23C824CE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002" name="Group 628">
            <a:extLst>
              <a:ext uri="{FF2B5EF4-FFF2-40B4-BE49-F238E27FC236}">
                <a16:creationId xmlns:a16="http://schemas.microsoft.com/office/drawing/2014/main" id="{2EAAB642-6112-C7BC-B72E-EA448FD5F04B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003" name="Rectangle 629">
              <a:extLst>
                <a:ext uri="{FF2B5EF4-FFF2-40B4-BE49-F238E27FC236}">
                  <a16:creationId xmlns:a16="http://schemas.microsoft.com/office/drawing/2014/main" id="{93E55FF9-E87B-2173-DC44-6C566140C7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04" name="Line 630">
              <a:extLst>
                <a:ext uri="{FF2B5EF4-FFF2-40B4-BE49-F238E27FC236}">
                  <a16:creationId xmlns:a16="http://schemas.microsoft.com/office/drawing/2014/main" id="{CB955648-C914-3C06-98B0-C3140864956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05" name="Line 631">
              <a:extLst>
                <a:ext uri="{FF2B5EF4-FFF2-40B4-BE49-F238E27FC236}">
                  <a16:creationId xmlns:a16="http://schemas.microsoft.com/office/drawing/2014/main" id="{215BC163-5D81-BF7B-8A40-A066D5A3174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006" name="Rectangle 632">
              <a:extLst>
                <a:ext uri="{FF2B5EF4-FFF2-40B4-BE49-F238E27FC236}">
                  <a16:creationId xmlns:a16="http://schemas.microsoft.com/office/drawing/2014/main" id="{8684B9E5-2DFD-36C7-3C6F-F5E2EAD8B0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07" name="Oval 633">
              <a:extLst>
                <a:ext uri="{FF2B5EF4-FFF2-40B4-BE49-F238E27FC236}">
                  <a16:creationId xmlns:a16="http://schemas.microsoft.com/office/drawing/2014/main" id="{DD0C1DD5-5532-8EFD-68B5-5AEA6D1689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08" name="Oval 634">
              <a:extLst>
                <a:ext uri="{FF2B5EF4-FFF2-40B4-BE49-F238E27FC236}">
                  <a16:creationId xmlns:a16="http://schemas.microsoft.com/office/drawing/2014/main" id="{69BB2BFC-9BE8-E6C5-52F6-ACAEA57F7F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009" name="Rectangle 635">
              <a:extLst>
                <a:ext uri="{FF2B5EF4-FFF2-40B4-BE49-F238E27FC236}">
                  <a16:creationId xmlns:a16="http://schemas.microsoft.com/office/drawing/2014/main" id="{8E9D29B0-DFD3-5F81-6CBE-B76C461DCA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0" name="Rectangle 636">
              <a:extLst>
                <a:ext uri="{FF2B5EF4-FFF2-40B4-BE49-F238E27FC236}">
                  <a16:creationId xmlns:a16="http://schemas.microsoft.com/office/drawing/2014/main" id="{C7E1BD9C-4773-9339-6618-373D36EB82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1" name="Rectangle 637">
              <a:extLst>
                <a:ext uri="{FF2B5EF4-FFF2-40B4-BE49-F238E27FC236}">
                  <a16:creationId xmlns:a16="http://schemas.microsoft.com/office/drawing/2014/main" id="{FE5607EA-8D8B-920D-D25F-E8FCC8302A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12" name="Rectangle 638">
              <a:extLst>
                <a:ext uri="{FF2B5EF4-FFF2-40B4-BE49-F238E27FC236}">
                  <a16:creationId xmlns:a16="http://schemas.microsoft.com/office/drawing/2014/main" id="{5F7B96ED-A81B-EE29-42BA-F7C162DCD83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5" name="Group 639">
          <a:extLst>
            <a:ext uri="{FF2B5EF4-FFF2-40B4-BE49-F238E27FC236}">
              <a16:creationId xmlns:a16="http://schemas.microsoft.com/office/drawing/2014/main" id="{86C7F489-8EBD-C144-E855-02DAC476BCE8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381000"/>
          <a:chOff x="335" y="195"/>
          <a:chExt cx="352" cy="282"/>
        </a:xfrm>
      </xdr:grpSpPr>
      <xdr:grpSp>
        <xdr:nvGrpSpPr>
          <xdr:cNvPr id="532979" name="Group 640">
            <a:extLst>
              <a:ext uri="{FF2B5EF4-FFF2-40B4-BE49-F238E27FC236}">
                <a16:creationId xmlns:a16="http://schemas.microsoft.com/office/drawing/2014/main" id="{750688A1-D1F8-C2D9-B652-6702E4E647C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2991" name="Rectangle 641">
              <a:extLst>
                <a:ext uri="{FF2B5EF4-FFF2-40B4-BE49-F238E27FC236}">
                  <a16:creationId xmlns:a16="http://schemas.microsoft.com/office/drawing/2014/main" id="{F26E313C-3D16-DFBB-BD53-75AE26D36A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2" name="Line 642">
              <a:extLst>
                <a:ext uri="{FF2B5EF4-FFF2-40B4-BE49-F238E27FC236}">
                  <a16:creationId xmlns:a16="http://schemas.microsoft.com/office/drawing/2014/main" id="{AAB74143-177D-3192-C75C-A44534CA639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93" name="Line 643">
              <a:extLst>
                <a:ext uri="{FF2B5EF4-FFF2-40B4-BE49-F238E27FC236}">
                  <a16:creationId xmlns:a16="http://schemas.microsoft.com/office/drawing/2014/main" id="{C8CBF9C7-ED85-D557-051D-5AAC9B0F0E8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94" name="Rectangle 644">
              <a:extLst>
                <a:ext uri="{FF2B5EF4-FFF2-40B4-BE49-F238E27FC236}">
                  <a16:creationId xmlns:a16="http://schemas.microsoft.com/office/drawing/2014/main" id="{CD47464E-2AFF-A5F3-A2E8-8A5D90B1D7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5" name="Oval 645">
              <a:extLst>
                <a:ext uri="{FF2B5EF4-FFF2-40B4-BE49-F238E27FC236}">
                  <a16:creationId xmlns:a16="http://schemas.microsoft.com/office/drawing/2014/main" id="{296ED02C-9B31-F418-0FD8-A55575B152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96" name="Oval 646">
              <a:extLst>
                <a:ext uri="{FF2B5EF4-FFF2-40B4-BE49-F238E27FC236}">
                  <a16:creationId xmlns:a16="http://schemas.microsoft.com/office/drawing/2014/main" id="{3A65568E-6D3A-68C3-0E78-809B36A0E80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97" name="Rectangle 647">
              <a:extLst>
                <a:ext uri="{FF2B5EF4-FFF2-40B4-BE49-F238E27FC236}">
                  <a16:creationId xmlns:a16="http://schemas.microsoft.com/office/drawing/2014/main" id="{06032E8F-E289-EA32-6F2C-492937FAD0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8" name="Rectangle 648">
              <a:extLst>
                <a:ext uri="{FF2B5EF4-FFF2-40B4-BE49-F238E27FC236}">
                  <a16:creationId xmlns:a16="http://schemas.microsoft.com/office/drawing/2014/main" id="{DE37F2E3-957E-5FC3-BAD1-B2985B4EF5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9" name="Rectangle 649">
              <a:extLst>
                <a:ext uri="{FF2B5EF4-FFF2-40B4-BE49-F238E27FC236}">
                  <a16:creationId xmlns:a16="http://schemas.microsoft.com/office/drawing/2014/main" id="{D330C6EE-5698-9C81-7261-472FBDC30B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000" name="Rectangle 650">
              <a:extLst>
                <a:ext uri="{FF2B5EF4-FFF2-40B4-BE49-F238E27FC236}">
                  <a16:creationId xmlns:a16="http://schemas.microsoft.com/office/drawing/2014/main" id="{AA81F25D-97AF-716E-7765-1E48CDC32F2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2980" name="Group 651">
            <a:extLst>
              <a:ext uri="{FF2B5EF4-FFF2-40B4-BE49-F238E27FC236}">
                <a16:creationId xmlns:a16="http://schemas.microsoft.com/office/drawing/2014/main" id="{2F1AF271-6636-C813-B09B-23271ACCE535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2981" name="Rectangle 652">
              <a:extLst>
                <a:ext uri="{FF2B5EF4-FFF2-40B4-BE49-F238E27FC236}">
                  <a16:creationId xmlns:a16="http://schemas.microsoft.com/office/drawing/2014/main" id="{C9329DD3-99CA-E43D-D1C9-61AA16491D9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82" name="Line 653">
              <a:extLst>
                <a:ext uri="{FF2B5EF4-FFF2-40B4-BE49-F238E27FC236}">
                  <a16:creationId xmlns:a16="http://schemas.microsoft.com/office/drawing/2014/main" id="{81F67BCC-81C5-9297-B010-3564DD6C1B5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83" name="Line 654">
              <a:extLst>
                <a:ext uri="{FF2B5EF4-FFF2-40B4-BE49-F238E27FC236}">
                  <a16:creationId xmlns:a16="http://schemas.microsoft.com/office/drawing/2014/main" id="{4AEAD8D1-5E50-E239-4DBB-C17D8A6C818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84" name="Rectangle 655">
              <a:extLst>
                <a:ext uri="{FF2B5EF4-FFF2-40B4-BE49-F238E27FC236}">
                  <a16:creationId xmlns:a16="http://schemas.microsoft.com/office/drawing/2014/main" id="{9F4A3123-911B-3B94-D0C4-75D07A75C2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85" name="Oval 656">
              <a:extLst>
                <a:ext uri="{FF2B5EF4-FFF2-40B4-BE49-F238E27FC236}">
                  <a16:creationId xmlns:a16="http://schemas.microsoft.com/office/drawing/2014/main" id="{DAC6F029-9E1D-4DDE-C133-779E3FB722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86" name="Oval 657">
              <a:extLst>
                <a:ext uri="{FF2B5EF4-FFF2-40B4-BE49-F238E27FC236}">
                  <a16:creationId xmlns:a16="http://schemas.microsoft.com/office/drawing/2014/main" id="{7044781D-787D-C9B1-F42D-2480BD8C09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87" name="Rectangle 658">
              <a:extLst>
                <a:ext uri="{FF2B5EF4-FFF2-40B4-BE49-F238E27FC236}">
                  <a16:creationId xmlns:a16="http://schemas.microsoft.com/office/drawing/2014/main" id="{1BDAB57D-BF46-74EA-FBE5-B3AB137317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88" name="Rectangle 659">
              <a:extLst>
                <a:ext uri="{FF2B5EF4-FFF2-40B4-BE49-F238E27FC236}">
                  <a16:creationId xmlns:a16="http://schemas.microsoft.com/office/drawing/2014/main" id="{32CFD0FF-325C-7296-4E19-65C10131F7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89" name="Rectangle 660">
              <a:extLst>
                <a:ext uri="{FF2B5EF4-FFF2-40B4-BE49-F238E27FC236}">
                  <a16:creationId xmlns:a16="http://schemas.microsoft.com/office/drawing/2014/main" id="{23B975D6-DB3E-7B67-C37E-FBAC162F09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90" name="Rectangle 661">
              <a:extLst>
                <a:ext uri="{FF2B5EF4-FFF2-40B4-BE49-F238E27FC236}">
                  <a16:creationId xmlns:a16="http://schemas.microsoft.com/office/drawing/2014/main" id="{D1CC9529-7008-3B62-1563-BA3272F023B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6" name="Group 662">
          <a:extLst>
            <a:ext uri="{FF2B5EF4-FFF2-40B4-BE49-F238E27FC236}">
              <a16:creationId xmlns:a16="http://schemas.microsoft.com/office/drawing/2014/main" id="{BB188E47-1388-E671-72FC-0E097E3EC92D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381000"/>
          <a:chOff x="335" y="195"/>
          <a:chExt cx="352" cy="282"/>
        </a:xfrm>
      </xdr:grpSpPr>
      <xdr:grpSp>
        <xdr:nvGrpSpPr>
          <xdr:cNvPr id="532957" name="Group 663">
            <a:extLst>
              <a:ext uri="{FF2B5EF4-FFF2-40B4-BE49-F238E27FC236}">
                <a16:creationId xmlns:a16="http://schemas.microsoft.com/office/drawing/2014/main" id="{65A78734-071F-642C-E2BA-3F96838C8278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2969" name="Rectangle 664">
              <a:extLst>
                <a:ext uri="{FF2B5EF4-FFF2-40B4-BE49-F238E27FC236}">
                  <a16:creationId xmlns:a16="http://schemas.microsoft.com/office/drawing/2014/main" id="{30FF2C14-527B-5EDF-E431-A67BA9E939F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0" name="Line 665">
              <a:extLst>
                <a:ext uri="{FF2B5EF4-FFF2-40B4-BE49-F238E27FC236}">
                  <a16:creationId xmlns:a16="http://schemas.microsoft.com/office/drawing/2014/main" id="{F4B32009-583A-12A4-BFE7-AC67E15FEB4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71" name="Line 666">
              <a:extLst>
                <a:ext uri="{FF2B5EF4-FFF2-40B4-BE49-F238E27FC236}">
                  <a16:creationId xmlns:a16="http://schemas.microsoft.com/office/drawing/2014/main" id="{C55AF337-2C8E-CF2F-F4DF-79984D2C842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72" name="Rectangle 667">
              <a:extLst>
                <a:ext uri="{FF2B5EF4-FFF2-40B4-BE49-F238E27FC236}">
                  <a16:creationId xmlns:a16="http://schemas.microsoft.com/office/drawing/2014/main" id="{EB1832FF-AF9C-1BA9-2426-004942A5A6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3" name="Oval 668">
              <a:extLst>
                <a:ext uri="{FF2B5EF4-FFF2-40B4-BE49-F238E27FC236}">
                  <a16:creationId xmlns:a16="http://schemas.microsoft.com/office/drawing/2014/main" id="{BA122994-CD6B-D023-20AD-A9C353E187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74" name="Oval 669">
              <a:extLst>
                <a:ext uri="{FF2B5EF4-FFF2-40B4-BE49-F238E27FC236}">
                  <a16:creationId xmlns:a16="http://schemas.microsoft.com/office/drawing/2014/main" id="{9FB4A752-A48A-DB8B-D357-8A7C778DC1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75" name="Rectangle 670">
              <a:extLst>
                <a:ext uri="{FF2B5EF4-FFF2-40B4-BE49-F238E27FC236}">
                  <a16:creationId xmlns:a16="http://schemas.microsoft.com/office/drawing/2014/main" id="{D5D165EF-90D2-2F96-924D-40436259879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6" name="Rectangle 671">
              <a:extLst>
                <a:ext uri="{FF2B5EF4-FFF2-40B4-BE49-F238E27FC236}">
                  <a16:creationId xmlns:a16="http://schemas.microsoft.com/office/drawing/2014/main" id="{19387631-361D-A042-0647-12D732F67B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7" name="Rectangle 672">
              <a:extLst>
                <a:ext uri="{FF2B5EF4-FFF2-40B4-BE49-F238E27FC236}">
                  <a16:creationId xmlns:a16="http://schemas.microsoft.com/office/drawing/2014/main" id="{2D579A27-1EA2-A48D-725F-74A27EDC17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78" name="Rectangle 673">
              <a:extLst>
                <a:ext uri="{FF2B5EF4-FFF2-40B4-BE49-F238E27FC236}">
                  <a16:creationId xmlns:a16="http://schemas.microsoft.com/office/drawing/2014/main" id="{DB0A96EA-9E13-98F5-D0CB-80AB929C21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2958" name="Group 674">
            <a:extLst>
              <a:ext uri="{FF2B5EF4-FFF2-40B4-BE49-F238E27FC236}">
                <a16:creationId xmlns:a16="http://schemas.microsoft.com/office/drawing/2014/main" id="{24459778-DAFD-737D-20D6-ED2FE89B17E9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2959" name="Rectangle 675">
              <a:extLst>
                <a:ext uri="{FF2B5EF4-FFF2-40B4-BE49-F238E27FC236}">
                  <a16:creationId xmlns:a16="http://schemas.microsoft.com/office/drawing/2014/main" id="{715D98FD-EFAC-7105-73FC-88235AAFE3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0" name="Line 676">
              <a:extLst>
                <a:ext uri="{FF2B5EF4-FFF2-40B4-BE49-F238E27FC236}">
                  <a16:creationId xmlns:a16="http://schemas.microsoft.com/office/drawing/2014/main" id="{96588582-C59C-F2E5-FF4C-8EB5EFE9B6C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61" name="Line 677">
              <a:extLst>
                <a:ext uri="{FF2B5EF4-FFF2-40B4-BE49-F238E27FC236}">
                  <a16:creationId xmlns:a16="http://schemas.microsoft.com/office/drawing/2014/main" id="{08CF4558-3607-A8FE-BAC6-4D67CEAED96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62" name="Rectangle 678">
              <a:extLst>
                <a:ext uri="{FF2B5EF4-FFF2-40B4-BE49-F238E27FC236}">
                  <a16:creationId xmlns:a16="http://schemas.microsoft.com/office/drawing/2014/main" id="{E218814D-1A7B-7AAB-D4F0-F0CABB122B4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3" name="Oval 679">
              <a:extLst>
                <a:ext uri="{FF2B5EF4-FFF2-40B4-BE49-F238E27FC236}">
                  <a16:creationId xmlns:a16="http://schemas.microsoft.com/office/drawing/2014/main" id="{DE15E0A3-CAA6-2801-DCD1-1D0D847193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64" name="Oval 680">
              <a:extLst>
                <a:ext uri="{FF2B5EF4-FFF2-40B4-BE49-F238E27FC236}">
                  <a16:creationId xmlns:a16="http://schemas.microsoft.com/office/drawing/2014/main" id="{3EF37813-CA3F-E4B4-AEC2-C2AC9B1F1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65" name="Rectangle 681">
              <a:extLst>
                <a:ext uri="{FF2B5EF4-FFF2-40B4-BE49-F238E27FC236}">
                  <a16:creationId xmlns:a16="http://schemas.microsoft.com/office/drawing/2014/main" id="{A75A96AB-3D27-D6F6-7786-2C6E69596ED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6" name="Rectangle 682">
              <a:extLst>
                <a:ext uri="{FF2B5EF4-FFF2-40B4-BE49-F238E27FC236}">
                  <a16:creationId xmlns:a16="http://schemas.microsoft.com/office/drawing/2014/main" id="{9FB1B7CE-6564-CC98-01BB-7AB899B8C5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7" name="Rectangle 683">
              <a:extLst>
                <a:ext uri="{FF2B5EF4-FFF2-40B4-BE49-F238E27FC236}">
                  <a16:creationId xmlns:a16="http://schemas.microsoft.com/office/drawing/2014/main" id="{93B04D33-1153-DBE1-045F-071821251C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68" name="Rectangle 684">
              <a:extLst>
                <a:ext uri="{FF2B5EF4-FFF2-40B4-BE49-F238E27FC236}">
                  <a16:creationId xmlns:a16="http://schemas.microsoft.com/office/drawing/2014/main" id="{DAC5E52B-158B-C7BF-04DB-105C4FBCCC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2</xdr:row>
      <xdr:rowOff>541020</xdr:rowOff>
    </xdr:to>
    <xdr:grpSp>
      <xdr:nvGrpSpPr>
        <xdr:cNvPr id="528357" name="Group 685">
          <a:extLst>
            <a:ext uri="{FF2B5EF4-FFF2-40B4-BE49-F238E27FC236}">
              <a16:creationId xmlns:a16="http://schemas.microsoft.com/office/drawing/2014/main" id="{72CDC196-50BE-4F3D-C02F-98419740AEBD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381000"/>
          <a:chOff x="335" y="195"/>
          <a:chExt cx="352" cy="282"/>
        </a:xfrm>
      </xdr:grpSpPr>
      <xdr:grpSp>
        <xdr:nvGrpSpPr>
          <xdr:cNvPr id="532935" name="Group 686">
            <a:extLst>
              <a:ext uri="{FF2B5EF4-FFF2-40B4-BE49-F238E27FC236}">
                <a16:creationId xmlns:a16="http://schemas.microsoft.com/office/drawing/2014/main" id="{A99371C8-27F8-3204-88CB-C9197DEEC995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2947" name="Rectangle 687">
              <a:extLst>
                <a:ext uri="{FF2B5EF4-FFF2-40B4-BE49-F238E27FC236}">
                  <a16:creationId xmlns:a16="http://schemas.microsoft.com/office/drawing/2014/main" id="{3B7E13F4-7482-8F97-2E6D-52A6F92A708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8" name="Line 688">
              <a:extLst>
                <a:ext uri="{FF2B5EF4-FFF2-40B4-BE49-F238E27FC236}">
                  <a16:creationId xmlns:a16="http://schemas.microsoft.com/office/drawing/2014/main" id="{9563B101-F4D4-DE30-E24E-01062F30B0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49" name="Line 689">
              <a:extLst>
                <a:ext uri="{FF2B5EF4-FFF2-40B4-BE49-F238E27FC236}">
                  <a16:creationId xmlns:a16="http://schemas.microsoft.com/office/drawing/2014/main" id="{17187CD8-93AB-1148-0CB8-CA04DF9930B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50" name="Rectangle 690">
              <a:extLst>
                <a:ext uri="{FF2B5EF4-FFF2-40B4-BE49-F238E27FC236}">
                  <a16:creationId xmlns:a16="http://schemas.microsoft.com/office/drawing/2014/main" id="{8608C3DE-502C-FBDE-DA0C-7EFBA5CD21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51" name="Oval 691">
              <a:extLst>
                <a:ext uri="{FF2B5EF4-FFF2-40B4-BE49-F238E27FC236}">
                  <a16:creationId xmlns:a16="http://schemas.microsoft.com/office/drawing/2014/main" id="{F05D049A-8991-1973-4FF4-7F080E0CAB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52" name="Oval 692">
              <a:extLst>
                <a:ext uri="{FF2B5EF4-FFF2-40B4-BE49-F238E27FC236}">
                  <a16:creationId xmlns:a16="http://schemas.microsoft.com/office/drawing/2014/main" id="{19C53E55-29C5-E16C-2AC3-88A450502A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53" name="Rectangle 693">
              <a:extLst>
                <a:ext uri="{FF2B5EF4-FFF2-40B4-BE49-F238E27FC236}">
                  <a16:creationId xmlns:a16="http://schemas.microsoft.com/office/drawing/2014/main" id="{25111943-9F94-7141-E889-D17C833D7E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54" name="Rectangle 694">
              <a:extLst>
                <a:ext uri="{FF2B5EF4-FFF2-40B4-BE49-F238E27FC236}">
                  <a16:creationId xmlns:a16="http://schemas.microsoft.com/office/drawing/2014/main" id="{737338B9-F92C-29AD-E325-FDC8B7E0C5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55" name="Rectangle 695">
              <a:extLst>
                <a:ext uri="{FF2B5EF4-FFF2-40B4-BE49-F238E27FC236}">
                  <a16:creationId xmlns:a16="http://schemas.microsoft.com/office/drawing/2014/main" id="{358A41BD-A106-7B9B-AE68-3492ECB5EA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56" name="Rectangle 696">
              <a:extLst>
                <a:ext uri="{FF2B5EF4-FFF2-40B4-BE49-F238E27FC236}">
                  <a16:creationId xmlns:a16="http://schemas.microsoft.com/office/drawing/2014/main" id="{F39A6785-EBE6-1D97-45BE-C7DB6FB381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2936" name="Group 697">
            <a:extLst>
              <a:ext uri="{FF2B5EF4-FFF2-40B4-BE49-F238E27FC236}">
                <a16:creationId xmlns:a16="http://schemas.microsoft.com/office/drawing/2014/main" id="{4AA86A1B-ACC9-2B1B-787F-113761B940BE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2937" name="Rectangle 698">
              <a:extLst>
                <a:ext uri="{FF2B5EF4-FFF2-40B4-BE49-F238E27FC236}">
                  <a16:creationId xmlns:a16="http://schemas.microsoft.com/office/drawing/2014/main" id="{1BEDE7A8-FA49-9AC9-D977-BF9E7929E3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38" name="Line 699">
              <a:extLst>
                <a:ext uri="{FF2B5EF4-FFF2-40B4-BE49-F238E27FC236}">
                  <a16:creationId xmlns:a16="http://schemas.microsoft.com/office/drawing/2014/main" id="{DBA4BA14-1A96-1B46-DC3B-8DF96EDEC64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39" name="Line 700">
              <a:extLst>
                <a:ext uri="{FF2B5EF4-FFF2-40B4-BE49-F238E27FC236}">
                  <a16:creationId xmlns:a16="http://schemas.microsoft.com/office/drawing/2014/main" id="{D0DB242E-8B81-AD3D-E89D-3D3BB17B924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40" name="Rectangle 701">
              <a:extLst>
                <a:ext uri="{FF2B5EF4-FFF2-40B4-BE49-F238E27FC236}">
                  <a16:creationId xmlns:a16="http://schemas.microsoft.com/office/drawing/2014/main" id="{1E09989F-1097-9F53-7843-6EF7F40D10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1" name="Oval 702">
              <a:extLst>
                <a:ext uri="{FF2B5EF4-FFF2-40B4-BE49-F238E27FC236}">
                  <a16:creationId xmlns:a16="http://schemas.microsoft.com/office/drawing/2014/main" id="{E802E143-DCB4-9B20-5CB4-EDDFA811AF3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42" name="Oval 703">
              <a:extLst>
                <a:ext uri="{FF2B5EF4-FFF2-40B4-BE49-F238E27FC236}">
                  <a16:creationId xmlns:a16="http://schemas.microsoft.com/office/drawing/2014/main" id="{DC24803D-1653-9FD0-AE3A-C55D08BE56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43" name="Rectangle 704">
              <a:extLst>
                <a:ext uri="{FF2B5EF4-FFF2-40B4-BE49-F238E27FC236}">
                  <a16:creationId xmlns:a16="http://schemas.microsoft.com/office/drawing/2014/main" id="{D78BBF27-0BE9-A6E4-BB46-B0028EA889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4" name="Rectangle 705">
              <a:extLst>
                <a:ext uri="{FF2B5EF4-FFF2-40B4-BE49-F238E27FC236}">
                  <a16:creationId xmlns:a16="http://schemas.microsoft.com/office/drawing/2014/main" id="{45429912-DE5C-5118-C27F-B2C58264FE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5" name="Rectangle 706">
              <a:extLst>
                <a:ext uri="{FF2B5EF4-FFF2-40B4-BE49-F238E27FC236}">
                  <a16:creationId xmlns:a16="http://schemas.microsoft.com/office/drawing/2014/main" id="{D4371806-644F-D6D4-190C-BF30F49203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46" name="Rectangle 707">
              <a:extLst>
                <a:ext uri="{FF2B5EF4-FFF2-40B4-BE49-F238E27FC236}">
                  <a16:creationId xmlns:a16="http://schemas.microsoft.com/office/drawing/2014/main" id="{588D8A5E-FE76-F224-3EE5-1191F3DC6E4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58" name="Group 708">
          <a:extLst>
            <a:ext uri="{FF2B5EF4-FFF2-40B4-BE49-F238E27FC236}">
              <a16:creationId xmlns:a16="http://schemas.microsoft.com/office/drawing/2014/main" id="{4548F9A3-3225-D6E5-3E90-A483BB79FD08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2912" name="Rectangle 709">
            <a:extLst>
              <a:ext uri="{FF2B5EF4-FFF2-40B4-BE49-F238E27FC236}">
                <a16:creationId xmlns:a16="http://schemas.microsoft.com/office/drawing/2014/main" id="{68A4F4D1-4B6F-060E-29B4-7F153C2B2B8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13" name="Line 710">
            <a:extLst>
              <a:ext uri="{FF2B5EF4-FFF2-40B4-BE49-F238E27FC236}">
                <a16:creationId xmlns:a16="http://schemas.microsoft.com/office/drawing/2014/main" id="{AA1AE503-30BD-34DC-CA9C-62821FF0B67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914" name="Line 711">
            <a:extLst>
              <a:ext uri="{FF2B5EF4-FFF2-40B4-BE49-F238E27FC236}">
                <a16:creationId xmlns:a16="http://schemas.microsoft.com/office/drawing/2014/main" id="{FAE009F8-BDF8-ECBB-7CD1-BCCAF316D8FE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915" name="Rectangle 712">
            <a:extLst>
              <a:ext uri="{FF2B5EF4-FFF2-40B4-BE49-F238E27FC236}">
                <a16:creationId xmlns:a16="http://schemas.microsoft.com/office/drawing/2014/main" id="{14E9F032-C50C-A4C4-CE7D-89DEC1290A0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16" name="Oval 713">
            <a:extLst>
              <a:ext uri="{FF2B5EF4-FFF2-40B4-BE49-F238E27FC236}">
                <a16:creationId xmlns:a16="http://schemas.microsoft.com/office/drawing/2014/main" id="{87199AEF-0B14-EA96-4AAB-EFD819ED3E0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917" name="Oval 714">
            <a:extLst>
              <a:ext uri="{FF2B5EF4-FFF2-40B4-BE49-F238E27FC236}">
                <a16:creationId xmlns:a16="http://schemas.microsoft.com/office/drawing/2014/main" id="{6D92556E-439F-9534-CD60-F30B8ABF0A2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918" name="Rectangle 715">
            <a:extLst>
              <a:ext uri="{FF2B5EF4-FFF2-40B4-BE49-F238E27FC236}">
                <a16:creationId xmlns:a16="http://schemas.microsoft.com/office/drawing/2014/main" id="{F141F6A7-1CD0-CCD7-F38F-5F309DF2E3B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19" name="Rectangle 716">
            <a:extLst>
              <a:ext uri="{FF2B5EF4-FFF2-40B4-BE49-F238E27FC236}">
                <a16:creationId xmlns:a16="http://schemas.microsoft.com/office/drawing/2014/main" id="{3F6D5A38-0F3C-7FF0-F906-AB967AC2DCD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20" name="Rectangle 717">
            <a:extLst>
              <a:ext uri="{FF2B5EF4-FFF2-40B4-BE49-F238E27FC236}">
                <a16:creationId xmlns:a16="http://schemas.microsoft.com/office/drawing/2014/main" id="{A05D1838-3260-EE07-F134-B1D87E57153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21" name="Rectangle 718">
            <a:extLst>
              <a:ext uri="{FF2B5EF4-FFF2-40B4-BE49-F238E27FC236}">
                <a16:creationId xmlns:a16="http://schemas.microsoft.com/office/drawing/2014/main" id="{AEB938BB-BA50-ED57-71C7-0B98EDFE82A3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922" name="Group 719">
            <a:extLst>
              <a:ext uri="{FF2B5EF4-FFF2-40B4-BE49-F238E27FC236}">
                <a16:creationId xmlns:a16="http://schemas.microsoft.com/office/drawing/2014/main" id="{4F275F8D-A5F2-534F-B9C8-E5AE3E47623F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925" name="Rectangle 720">
              <a:extLst>
                <a:ext uri="{FF2B5EF4-FFF2-40B4-BE49-F238E27FC236}">
                  <a16:creationId xmlns:a16="http://schemas.microsoft.com/office/drawing/2014/main" id="{7A92ADC7-DBE3-D2CC-8DCF-5BC35ACDAD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26" name="Line 721">
              <a:extLst>
                <a:ext uri="{FF2B5EF4-FFF2-40B4-BE49-F238E27FC236}">
                  <a16:creationId xmlns:a16="http://schemas.microsoft.com/office/drawing/2014/main" id="{671AAE23-36C8-562C-7308-50201525467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27" name="Line 722">
              <a:extLst>
                <a:ext uri="{FF2B5EF4-FFF2-40B4-BE49-F238E27FC236}">
                  <a16:creationId xmlns:a16="http://schemas.microsoft.com/office/drawing/2014/main" id="{D27E131D-D568-C281-F033-B8AB74BC8C6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28" name="Rectangle 723">
              <a:extLst>
                <a:ext uri="{FF2B5EF4-FFF2-40B4-BE49-F238E27FC236}">
                  <a16:creationId xmlns:a16="http://schemas.microsoft.com/office/drawing/2014/main" id="{79FA6F55-5E01-5E40-ACAC-F5276656F5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29" name="Oval 724">
              <a:extLst>
                <a:ext uri="{FF2B5EF4-FFF2-40B4-BE49-F238E27FC236}">
                  <a16:creationId xmlns:a16="http://schemas.microsoft.com/office/drawing/2014/main" id="{7BFCC789-0B86-27C0-FF50-9892425B66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30" name="Oval 725">
              <a:extLst>
                <a:ext uri="{FF2B5EF4-FFF2-40B4-BE49-F238E27FC236}">
                  <a16:creationId xmlns:a16="http://schemas.microsoft.com/office/drawing/2014/main" id="{00FBF802-807F-D231-FD13-86FE2EBEF1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31" name="Rectangle 726">
              <a:extLst>
                <a:ext uri="{FF2B5EF4-FFF2-40B4-BE49-F238E27FC236}">
                  <a16:creationId xmlns:a16="http://schemas.microsoft.com/office/drawing/2014/main" id="{A10A7A8C-F467-A4C9-A46D-3269062B9D3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32" name="Rectangle 727">
              <a:extLst>
                <a:ext uri="{FF2B5EF4-FFF2-40B4-BE49-F238E27FC236}">
                  <a16:creationId xmlns:a16="http://schemas.microsoft.com/office/drawing/2014/main" id="{8FA7F006-45E4-F789-4674-C2F82B4BB5D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33" name="Rectangle 728">
              <a:extLst>
                <a:ext uri="{FF2B5EF4-FFF2-40B4-BE49-F238E27FC236}">
                  <a16:creationId xmlns:a16="http://schemas.microsoft.com/office/drawing/2014/main" id="{784B571C-B481-10EA-5672-884D325488A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34" name="Rectangle 729">
              <a:extLst>
                <a:ext uri="{FF2B5EF4-FFF2-40B4-BE49-F238E27FC236}">
                  <a16:creationId xmlns:a16="http://schemas.microsoft.com/office/drawing/2014/main" id="{BE074AF4-566F-D6C2-2F66-A0263A39C0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923" name="Rectangle 730">
            <a:extLst>
              <a:ext uri="{FF2B5EF4-FFF2-40B4-BE49-F238E27FC236}">
                <a16:creationId xmlns:a16="http://schemas.microsoft.com/office/drawing/2014/main" id="{89F4D1D7-1975-4B90-02F1-2955699FEEF7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24" name="Rectangle 731">
            <a:extLst>
              <a:ext uri="{FF2B5EF4-FFF2-40B4-BE49-F238E27FC236}">
                <a16:creationId xmlns:a16="http://schemas.microsoft.com/office/drawing/2014/main" id="{E9FBAFEC-3C75-165D-D72B-63E49287BF42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59" name="Group 732">
          <a:extLst>
            <a:ext uri="{FF2B5EF4-FFF2-40B4-BE49-F238E27FC236}">
              <a16:creationId xmlns:a16="http://schemas.microsoft.com/office/drawing/2014/main" id="{25E56EB7-81C6-B6A7-F397-9ACE513204EB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2889" name="Rectangle 733">
            <a:extLst>
              <a:ext uri="{FF2B5EF4-FFF2-40B4-BE49-F238E27FC236}">
                <a16:creationId xmlns:a16="http://schemas.microsoft.com/office/drawing/2014/main" id="{78ECF998-171C-0AAE-C0FE-2A6ECD13FF9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0" name="Line 734">
            <a:extLst>
              <a:ext uri="{FF2B5EF4-FFF2-40B4-BE49-F238E27FC236}">
                <a16:creationId xmlns:a16="http://schemas.microsoft.com/office/drawing/2014/main" id="{8ED9F9E3-5B74-26C8-59A6-A959628D5C8E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91" name="Line 735">
            <a:extLst>
              <a:ext uri="{FF2B5EF4-FFF2-40B4-BE49-F238E27FC236}">
                <a16:creationId xmlns:a16="http://schemas.microsoft.com/office/drawing/2014/main" id="{3213E4D4-38DE-E22B-BC5D-A20584BB4A4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92" name="Rectangle 736">
            <a:extLst>
              <a:ext uri="{FF2B5EF4-FFF2-40B4-BE49-F238E27FC236}">
                <a16:creationId xmlns:a16="http://schemas.microsoft.com/office/drawing/2014/main" id="{B3436C85-F004-90B6-C2AB-98E89D8F63F9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3" name="Oval 737">
            <a:extLst>
              <a:ext uri="{FF2B5EF4-FFF2-40B4-BE49-F238E27FC236}">
                <a16:creationId xmlns:a16="http://schemas.microsoft.com/office/drawing/2014/main" id="{B1DFA501-3A75-DB3D-EA0B-7B9F0991972D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94" name="Oval 738">
            <a:extLst>
              <a:ext uri="{FF2B5EF4-FFF2-40B4-BE49-F238E27FC236}">
                <a16:creationId xmlns:a16="http://schemas.microsoft.com/office/drawing/2014/main" id="{04F7D404-A008-C2F5-1E8C-4D825234EC44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95" name="Rectangle 739">
            <a:extLst>
              <a:ext uri="{FF2B5EF4-FFF2-40B4-BE49-F238E27FC236}">
                <a16:creationId xmlns:a16="http://schemas.microsoft.com/office/drawing/2014/main" id="{72298FB6-020D-2162-6A7D-32878C26EF77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6" name="Rectangle 740">
            <a:extLst>
              <a:ext uri="{FF2B5EF4-FFF2-40B4-BE49-F238E27FC236}">
                <a16:creationId xmlns:a16="http://schemas.microsoft.com/office/drawing/2014/main" id="{93FD5B49-16F0-85C9-12C1-5E6A0EF0CE3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7" name="Rectangle 741">
            <a:extLst>
              <a:ext uri="{FF2B5EF4-FFF2-40B4-BE49-F238E27FC236}">
                <a16:creationId xmlns:a16="http://schemas.microsoft.com/office/drawing/2014/main" id="{3972DF8F-52F0-9256-EEDC-884469F65399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98" name="Rectangle 742">
            <a:extLst>
              <a:ext uri="{FF2B5EF4-FFF2-40B4-BE49-F238E27FC236}">
                <a16:creationId xmlns:a16="http://schemas.microsoft.com/office/drawing/2014/main" id="{80392531-1EF7-1C05-A4D9-4E83853BEDB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899" name="Group 743">
            <a:extLst>
              <a:ext uri="{FF2B5EF4-FFF2-40B4-BE49-F238E27FC236}">
                <a16:creationId xmlns:a16="http://schemas.microsoft.com/office/drawing/2014/main" id="{DF61D36D-B27F-85AB-9EC9-E9B9A4CD648F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902" name="Rectangle 744">
              <a:extLst>
                <a:ext uri="{FF2B5EF4-FFF2-40B4-BE49-F238E27FC236}">
                  <a16:creationId xmlns:a16="http://schemas.microsoft.com/office/drawing/2014/main" id="{D1BCCBDE-74C3-84DE-0828-BF1C33CCCE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03" name="Line 745">
              <a:extLst>
                <a:ext uri="{FF2B5EF4-FFF2-40B4-BE49-F238E27FC236}">
                  <a16:creationId xmlns:a16="http://schemas.microsoft.com/office/drawing/2014/main" id="{3A5B469D-01C4-B8CF-F24A-C7902BE0367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04" name="Line 746">
              <a:extLst>
                <a:ext uri="{FF2B5EF4-FFF2-40B4-BE49-F238E27FC236}">
                  <a16:creationId xmlns:a16="http://schemas.microsoft.com/office/drawing/2014/main" id="{1E579CD4-43C0-9425-53CB-4ACDAA9EBD6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905" name="Rectangle 747">
              <a:extLst>
                <a:ext uri="{FF2B5EF4-FFF2-40B4-BE49-F238E27FC236}">
                  <a16:creationId xmlns:a16="http://schemas.microsoft.com/office/drawing/2014/main" id="{A4AA7E6F-B957-52A5-EBB3-C43CA2D3CE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06" name="Oval 748">
              <a:extLst>
                <a:ext uri="{FF2B5EF4-FFF2-40B4-BE49-F238E27FC236}">
                  <a16:creationId xmlns:a16="http://schemas.microsoft.com/office/drawing/2014/main" id="{D1088FDE-AAE8-3673-C919-9FDDD05446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07" name="Oval 749">
              <a:extLst>
                <a:ext uri="{FF2B5EF4-FFF2-40B4-BE49-F238E27FC236}">
                  <a16:creationId xmlns:a16="http://schemas.microsoft.com/office/drawing/2014/main" id="{CD18159D-A7F3-4805-2B43-127B24B6C96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908" name="Rectangle 750">
              <a:extLst>
                <a:ext uri="{FF2B5EF4-FFF2-40B4-BE49-F238E27FC236}">
                  <a16:creationId xmlns:a16="http://schemas.microsoft.com/office/drawing/2014/main" id="{D3B48A92-3D98-2B9C-3656-EFE1BAD6E9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09" name="Rectangle 751">
              <a:extLst>
                <a:ext uri="{FF2B5EF4-FFF2-40B4-BE49-F238E27FC236}">
                  <a16:creationId xmlns:a16="http://schemas.microsoft.com/office/drawing/2014/main" id="{2BA906F1-C670-2009-1113-6328767473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10" name="Rectangle 752">
              <a:extLst>
                <a:ext uri="{FF2B5EF4-FFF2-40B4-BE49-F238E27FC236}">
                  <a16:creationId xmlns:a16="http://schemas.microsoft.com/office/drawing/2014/main" id="{53F6FADA-AA79-FC6E-B972-61DB133D5E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911" name="Rectangle 753">
              <a:extLst>
                <a:ext uri="{FF2B5EF4-FFF2-40B4-BE49-F238E27FC236}">
                  <a16:creationId xmlns:a16="http://schemas.microsoft.com/office/drawing/2014/main" id="{467F4E2E-D3BF-D214-B658-0F9CD87172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900" name="Rectangle 754">
            <a:extLst>
              <a:ext uri="{FF2B5EF4-FFF2-40B4-BE49-F238E27FC236}">
                <a16:creationId xmlns:a16="http://schemas.microsoft.com/office/drawing/2014/main" id="{8942D861-D0A0-ECA5-66A4-521F1EA29BF9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901" name="Rectangle 755">
            <a:extLst>
              <a:ext uri="{FF2B5EF4-FFF2-40B4-BE49-F238E27FC236}">
                <a16:creationId xmlns:a16="http://schemas.microsoft.com/office/drawing/2014/main" id="{AD1C0870-361E-9269-EABB-2DBFCBE8244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60" name="Group 756">
          <a:extLst>
            <a:ext uri="{FF2B5EF4-FFF2-40B4-BE49-F238E27FC236}">
              <a16:creationId xmlns:a16="http://schemas.microsoft.com/office/drawing/2014/main" id="{E548BFAF-DF76-403C-EF54-B344FDFC0CFA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2866" name="Rectangle 757">
            <a:extLst>
              <a:ext uri="{FF2B5EF4-FFF2-40B4-BE49-F238E27FC236}">
                <a16:creationId xmlns:a16="http://schemas.microsoft.com/office/drawing/2014/main" id="{4C9B1483-BF36-AB39-B6C3-1C1709BF721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67" name="Line 758">
            <a:extLst>
              <a:ext uri="{FF2B5EF4-FFF2-40B4-BE49-F238E27FC236}">
                <a16:creationId xmlns:a16="http://schemas.microsoft.com/office/drawing/2014/main" id="{1052FA2D-6FD7-6A8D-9602-2D4F1BC7C13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68" name="Line 759">
            <a:extLst>
              <a:ext uri="{FF2B5EF4-FFF2-40B4-BE49-F238E27FC236}">
                <a16:creationId xmlns:a16="http://schemas.microsoft.com/office/drawing/2014/main" id="{F639BF61-6662-9CBA-FCC7-A9C88E5572E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69" name="Rectangle 760">
            <a:extLst>
              <a:ext uri="{FF2B5EF4-FFF2-40B4-BE49-F238E27FC236}">
                <a16:creationId xmlns:a16="http://schemas.microsoft.com/office/drawing/2014/main" id="{F51B148A-17B9-98CA-6E6E-EDFBE5B60364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0" name="Oval 761">
            <a:extLst>
              <a:ext uri="{FF2B5EF4-FFF2-40B4-BE49-F238E27FC236}">
                <a16:creationId xmlns:a16="http://schemas.microsoft.com/office/drawing/2014/main" id="{34F39A91-824C-CDA8-8A49-DC08C265C52F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71" name="Oval 762">
            <a:extLst>
              <a:ext uri="{FF2B5EF4-FFF2-40B4-BE49-F238E27FC236}">
                <a16:creationId xmlns:a16="http://schemas.microsoft.com/office/drawing/2014/main" id="{3959564E-1756-08B4-8734-DEB7F3A2950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72" name="Rectangle 763">
            <a:extLst>
              <a:ext uri="{FF2B5EF4-FFF2-40B4-BE49-F238E27FC236}">
                <a16:creationId xmlns:a16="http://schemas.microsoft.com/office/drawing/2014/main" id="{1A4CE902-E9DF-4DA7-D86E-13A4A806461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3" name="Rectangle 764">
            <a:extLst>
              <a:ext uri="{FF2B5EF4-FFF2-40B4-BE49-F238E27FC236}">
                <a16:creationId xmlns:a16="http://schemas.microsoft.com/office/drawing/2014/main" id="{A06BB6C5-BCF0-C6B7-3B9A-F4994D8C4AC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4" name="Rectangle 765">
            <a:extLst>
              <a:ext uri="{FF2B5EF4-FFF2-40B4-BE49-F238E27FC236}">
                <a16:creationId xmlns:a16="http://schemas.microsoft.com/office/drawing/2014/main" id="{F9E04850-8FA1-239F-3107-C040DD5A1AE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5" name="Rectangle 766">
            <a:extLst>
              <a:ext uri="{FF2B5EF4-FFF2-40B4-BE49-F238E27FC236}">
                <a16:creationId xmlns:a16="http://schemas.microsoft.com/office/drawing/2014/main" id="{A9345325-B57C-BE42-67D0-45304B8AE231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876" name="Group 767">
            <a:extLst>
              <a:ext uri="{FF2B5EF4-FFF2-40B4-BE49-F238E27FC236}">
                <a16:creationId xmlns:a16="http://schemas.microsoft.com/office/drawing/2014/main" id="{22E6432E-8B74-FBD5-E39F-4E98CA3B5A7E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879" name="Rectangle 768">
              <a:extLst>
                <a:ext uri="{FF2B5EF4-FFF2-40B4-BE49-F238E27FC236}">
                  <a16:creationId xmlns:a16="http://schemas.microsoft.com/office/drawing/2014/main" id="{87663F5D-520F-5C89-9FC9-176A633F38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0" name="Line 769">
              <a:extLst>
                <a:ext uri="{FF2B5EF4-FFF2-40B4-BE49-F238E27FC236}">
                  <a16:creationId xmlns:a16="http://schemas.microsoft.com/office/drawing/2014/main" id="{C4F4E475-0EC5-9CE0-CA37-62603E8829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81" name="Line 770">
              <a:extLst>
                <a:ext uri="{FF2B5EF4-FFF2-40B4-BE49-F238E27FC236}">
                  <a16:creationId xmlns:a16="http://schemas.microsoft.com/office/drawing/2014/main" id="{6B1928A4-0004-D8D4-99D2-868E9C3E33D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82" name="Rectangle 771">
              <a:extLst>
                <a:ext uri="{FF2B5EF4-FFF2-40B4-BE49-F238E27FC236}">
                  <a16:creationId xmlns:a16="http://schemas.microsoft.com/office/drawing/2014/main" id="{445DC936-38AB-040D-441C-0C4DD05663D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3" name="Oval 772">
              <a:extLst>
                <a:ext uri="{FF2B5EF4-FFF2-40B4-BE49-F238E27FC236}">
                  <a16:creationId xmlns:a16="http://schemas.microsoft.com/office/drawing/2014/main" id="{FE4639F3-EB3C-3D8B-52ED-2B9B91DEA9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84" name="Oval 773">
              <a:extLst>
                <a:ext uri="{FF2B5EF4-FFF2-40B4-BE49-F238E27FC236}">
                  <a16:creationId xmlns:a16="http://schemas.microsoft.com/office/drawing/2014/main" id="{B39BFBE9-2622-D615-AEC0-FF326158EC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85" name="Rectangle 774">
              <a:extLst>
                <a:ext uri="{FF2B5EF4-FFF2-40B4-BE49-F238E27FC236}">
                  <a16:creationId xmlns:a16="http://schemas.microsoft.com/office/drawing/2014/main" id="{C262041B-2931-B739-F3FF-C42077302C6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6" name="Rectangle 775">
              <a:extLst>
                <a:ext uri="{FF2B5EF4-FFF2-40B4-BE49-F238E27FC236}">
                  <a16:creationId xmlns:a16="http://schemas.microsoft.com/office/drawing/2014/main" id="{D3B893D7-2649-46B6-9ED6-91E5A7C8E5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7" name="Rectangle 776">
              <a:extLst>
                <a:ext uri="{FF2B5EF4-FFF2-40B4-BE49-F238E27FC236}">
                  <a16:creationId xmlns:a16="http://schemas.microsoft.com/office/drawing/2014/main" id="{D446F784-B4CF-3095-FB58-7B1BCCE64C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88" name="Rectangle 777">
              <a:extLst>
                <a:ext uri="{FF2B5EF4-FFF2-40B4-BE49-F238E27FC236}">
                  <a16:creationId xmlns:a16="http://schemas.microsoft.com/office/drawing/2014/main" id="{2B3FC4D7-ED46-F61E-3ADC-D579615906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877" name="Rectangle 778">
            <a:extLst>
              <a:ext uri="{FF2B5EF4-FFF2-40B4-BE49-F238E27FC236}">
                <a16:creationId xmlns:a16="http://schemas.microsoft.com/office/drawing/2014/main" id="{20243B92-126C-6161-A4EB-D9516D45C9C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78" name="Rectangle 779">
            <a:extLst>
              <a:ext uri="{FF2B5EF4-FFF2-40B4-BE49-F238E27FC236}">
                <a16:creationId xmlns:a16="http://schemas.microsoft.com/office/drawing/2014/main" id="{63AC7C88-8F29-3BF4-DFEE-794E2267C04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61" name="Group 780">
          <a:extLst>
            <a:ext uri="{FF2B5EF4-FFF2-40B4-BE49-F238E27FC236}">
              <a16:creationId xmlns:a16="http://schemas.microsoft.com/office/drawing/2014/main" id="{67C3FB74-FDDA-E61A-D872-5F39BA2901E2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2843" name="Rectangle 781">
            <a:extLst>
              <a:ext uri="{FF2B5EF4-FFF2-40B4-BE49-F238E27FC236}">
                <a16:creationId xmlns:a16="http://schemas.microsoft.com/office/drawing/2014/main" id="{30A8BE18-28E3-7255-12DA-FBF090C1A10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44" name="Line 782">
            <a:extLst>
              <a:ext uri="{FF2B5EF4-FFF2-40B4-BE49-F238E27FC236}">
                <a16:creationId xmlns:a16="http://schemas.microsoft.com/office/drawing/2014/main" id="{A1E78A42-BB84-4936-2F6C-7DC3361D105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45" name="Line 783">
            <a:extLst>
              <a:ext uri="{FF2B5EF4-FFF2-40B4-BE49-F238E27FC236}">
                <a16:creationId xmlns:a16="http://schemas.microsoft.com/office/drawing/2014/main" id="{13A518BD-1C31-1BEC-1DB5-760E6D0BC70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46" name="Rectangle 784">
            <a:extLst>
              <a:ext uri="{FF2B5EF4-FFF2-40B4-BE49-F238E27FC236}">
                <a16:creationId xmlns:a16="http://schemas.microsoft.com/office/drawing/2014/main" id="{EBEB6287-9850-C107-68EB-52ACE2D2571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47" name="Oval 785">
            <a:extLst>
              <a:ext uri="{FF2B5EF4-FFF2-40B4-BE49-F238E27FC236}">
                <a16:creationId xmlns:a16="http://schemas.microsoft.com/office/drawing/2014/main" id="{CCC100CE-EEAE-67BB-9F98-F83A164997F0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48" name="Oval 786">
            <a:extLst>
              <a:ext uri="{FF2B5EF4-FFF2-40B4-BE49-F238E27FC236}">
                <a16:creationId xmlns:a16="http://schemas.microsoft.com/office/drawing/2014/main" id="{B651E993-D147-8A34-B96A-70B973B60076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49" name="Rectangle 787">
            <a:extLst>
              <a:ext uri="{FF2B5EF4-FFF2-40B4-BE49-F238E27FC236}">
                <a16:creationId xmlns:a16="http://schemas.microsoft.com/office/drawing/2014/main" id="{A8A34114-64BE-9D47-24A9-00F8F3573107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50" name="Rectangle 788">
            <a:extLst>
              <a:ext uri="{FF2B5EF4-FFF2-40B4-BE49-F238E27FC236}">
                <a16:creationId xmlns:a16="http://schemas.microsoft.com/office/drawing/2014/main" id="{7A1A8BD0-8BD5-EA39-91FF-B00EA8CDC25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51" name="Rectangle 789">
            <a:extLst>
              <a:ext uri="{FF2B5EF4-FFF2-40B4-BE49-F238E27FC236}">
                <a16:creationId xmlns:a16="http://schemas.microsoft.com/office/drawing/2014/main" id="{A522474B-B3C5-48F6-35AC-D6EC84850CF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52" name="Rectangle 790">
            <a:extLst>
              <a:ext uri="{FF2B5EF4-FFF2-40B4-BE49-F238E27FC236}">
                <a16:creationId xmlns:a16="http://schemas.microsoft.com/office/drawing/2014/main" id="{1629BAE2-D2E7-3A02-17E5-F2BA91A44103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853" name="Group 791">
            <a:extLst>
              <a:ext uri="{FF2B5EF4-FFF2-40B4-BE49-F238E27FC236}">
                <a16:creationId xmlns:a16="http://schemas.microsoft.com/office/drawing/2014/main" id="{1DB7A221-6E4A-9400-0364-9EF091C8767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856" name="Rectangle 792">
              <a:extLst>
                <a:ext uri="{FF2B5EF4-FFF2-40B4-BE49-F238E27FC236}">
                  <a16:creationId xmlns:a16="http://schemas.microsoft.com/office/drawing/2014/main" id="{3EAB91ED-0013-AA04-3968-62C2C763D9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57" name="Line 793">
              <a:extLst>
                <a:ext uri="{FF2B5EF4-FFF2-40B4-BE49-F238E27FC236}">
                  <a16:creationId xmlns:a16="http://schemas.microsoft.com/office/drawing/2014/main" id="{57481AFE-F91B-4D41-348E-5EF300383A7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58" name="Line 794">
              <a:extLst>
                <a:ext uri="{FF2B5EF4-FFF2-40B4-BE49-F238E27FC236}">
                  <a16:creationId xmlns:a16="http://schemas.microsoft.com/office/drawing/2014/main" id="{5F4FA0FC-6299-0775-03B7-684CBA8330B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59" name="Rectangle 795">
              <a:extLst>
                <a:ext uri="{FF2B5EF4-FFF2-40B4-BE49-F238E27FC236}">
                  <a16:creationId xmlns:a16="http://schemas.microsoft.com/office/drawing/2014/main" id="{A7122D6C-31D8-B046-92F7-2AE18CD4DC0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60" name="Oval 796">
              <a:extLst>
                <a:ext uri="{FF2B5EF4-FFF2-40B4-BE49-F238E27FC236}">
                  <a16:creationId xmlns:a16="http://schemas.microsoft.com/office/drawing/2014/main" id="{9922594B-281B-8AA1-4452-83A59BCAB5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61" name="Oval 797">
              <a:extLst>
                <a:ext uri="{FF2B5EF4-FFF2-40B4-BE49-F238E27FC236}">
                  <a16:creationId xmlns:a16="http://schemas.microsoft.com/office/drawing/2014/main" id="{C0B7F629-10E2-292E-4CBF-335DF2C777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62" name="Rectangle 798">
              <a:extLst>
                <a:ext uri="{FF2B5EF4-FFF2-40B4-BE49-F238E27FC236}">
                  <a16:creationId xmlns:a16="http://schemas.microsoft.com/office/drawing/2014/main" id="{058AC868-535C-7322-EA63-3EBF61AC48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63" name="Rectangle 799">
              <a:extLst>
                <a:ext uri="{FF2B5EF4-FFF2-40B4-BE49-F238E27FC236}">
                  <a16:creationId xmlns:a16="http://schemas.microsoft.com/office/drawing/2014/main" id="{DC08C4F6-8448-BF84-5F71-09D9D70A40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64" name="Rectangle 800">
              <a:extLst>
                <a:ext uri="{FF2B5EF4-FFF2-40B4-BE49-F238E27FC236}">
                  <a16:creationId xmlns:a16="http://schemas.microsoft.com/office/drawing/2014/main" id="{D3029EBD-39BF-4E5F-A9D9-ED7E36EF0C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65" name="Rectangle 801">
              <a:extLst>
                <a:ext uri="{FF2B5EF4-FFF2-40B4-BE49-F238E27FC236}">
                  <a16:creationId xmlns:a16="http://schemas.microsoft.com/office/drawing/2014/main" id="{E8EDB71C-6711-4FD2-DE15-B798BFAB6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854" name="Rectangle 802">
            <a:extLst>
              <a:ext uri="{FF2B5EF4-FFF2-40B4-BE49-F238E27FC236}">
                <a16:creationId xmlns:a16="http://schemas.microsoft.com/office/drawing/2014/main" id="{5AA99710-6C96-CC6E-DC74-173C12F6E7F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55" name="Rectangle 803">
            <a:extLst>
              <a:ext uri="{FF2B5EF4-FFF2-40B4-BE49-F238E27FC236}">
                <a16:creationId xmlns:a16="http://schemas.microsoft.com/office/drawing/2014/main" id="{A83767DC-F369-4019-E99B-8DF87258F9A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160020</xdr:rowOff>
    </xdr:from>
    <xdr:to>
      <xdr:col>8</xdr:col>
      <xdr:colOff>0</xdr:colOff>
      <xdr:row>3</xdr:row>
      <xdr:rowOff>0</xdr:rowOff>
    </xdr:to>
    <xdr:grpSp>
      <xdr:nvGrpSpPr>
        <xdr:cNvPr id="528362" name="Group 804">
          <a:extLst>
            <a:ext uri="{FF2B5EF4-FFF2-40B4-BE49-F238E27FC236}">
              <a16:creationId xmlns:a16="http://schemas.microsoft.com/office/drawing/2014/main" id="{ABA4901B-69B7-281E-183D-D7931FBD775E}"/>
            </a:ext>
          </a:extLst>
        </xdr:cNvPr>
        <xdr:cNvGrpSpPr>
          <a:grpSpLocks/>
        </xdr:cNvGrpSpPr>
      </xdr:nvGrpSpPr>
      <xdr:grpSpPr bwMode="auto">
        <a:xfrm>
          <a:off x="6536267" y="1286087"/>
          <a:ext cx="0" cy="415713"/>
          <a:chOff x="220" y="176"/>
          <a:chExt cx="556" cy="247"/>
        </a:xfrm>
      </xdr:grpSpPr>
      <xdr:sp macro="" textlink="">
        <xdr:nvSpPr>
          <xdr:cNvPr id="532820" name="Rectangle 805">
            <a:extLst>
              <a:ext uri="{FF2B5EF4-FFF2-40B4-BE49-F238E27FC236}">
                <a16:creationId xmlns:a16="http://schemas.microsoft.com/office/drawing/2014/main" id="{F27E38E3-5FB9-AE36-2D6D-FA86750293B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1" name="Line 806">
            <a:extLst>
              <a:ext uri="{FF2B5EF4-FFF2-40B4-BE49-F238E27FC236}">
                <a16:creationId xmlns:a16="http://schemas.microsoft.com/office/drawing/2014/main" id="{0C49A63D-A081-295E-1F17-ADE7F90EF61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22" name="Line 807">
            <a:extLst>
              <a:ext uri="{FF2B5EF4-FFF2-40B4-BE49-F238E27FC236}">
                <a16:creationId xmlns:a16="http://schemas.microsoft.com/office/drawing/2014/main" id="{2F5215A7-E131-96DF-A618-424DDEB118C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2823" name="Rectangle 808">
            <a:extLst>
              <a:ext uri="{FF2B5EF4-FFF2-40B4-BE49-F238E27FC236}">
                <a16:creationId xmlns:a16="http://schemas.microsoft.com/office/drawing/2014/main" id="{9D604675-BF69-6ECD-37AE-E7F261D1B19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4" name="Oval 809">
            <a:extLst>
              <a:ext uri="{FF2B5EF4-FFF2-40B4-BE49-F238E27FC236}">
                <a16:creationId xmlns:a16="http://schemas.microsoft.com/office/drawing/2014/main" id="{DF3C34F1-F72C-97BD-F832-E1154685882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25" name="Oval 810">
            <a:extLst>
              <a:ext uri="{FF2B5EF4-FFF2-40B4-BE49-F238E27FC236}">
                <a16:creationId xmlns:a16="http://schemas.microsoft.com/office/drawing/2014/main" id="{BC3A18FE-7018-5B36-32BB-C9702009AFA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26" name="Rectangle 811">
            <a:extLst>
              <a:ext uri="{FF2B5EF4-FFF2-40B4-BE49-F238E27FC236}">
                <a16:creationId xmlns:a16="http://schemas.microsoft.com/office/drawing/2014/main" id="{0C3E213B-19E3-F560-DBBC-410AA48E558F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7" name="Rectangle 812">
            <a:extLst>
              <a:ext uri="{FF2B5EF4-FFF2-40B4-BE49-F238E27FC236}">
                <a16:creationId xmlns:a16="http://schemas.microsoft.com/office/drawing/2014/main" id="{7C26AA7D-3BA6-1CFF-2E39-BE0FBDEA65B4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8" name="Rectangle 813">
            <a:extLst>
              <a:ext uri="{FF2B5EF4-FFF2-40B4-BE49-F238E27FC236}">
                <a16:creationId xmlns:a16="http://schemas.microsoft.com/office/drawing/2014/main" id="{F2AFB9D4-8AC6-66FE-5844-410A0BE79EA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29" name="Rectangle 814">
            <a:extLst>
              <a:ext uri="{FF2B5EF4-FFF2-40B4-BE49-F238E27FC236}">
                <a16:creationId xmlns:a16="http://schemas.microsoft.com/office/drawing/2014/main" id="{26D22749-624B-DB5D-AD44-29C115CB24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2830" name="Group 815">
            <a:extLst>
              <a:ext uri="{FF2B5EF4-FFF2-40B4-BE49-F238E27FC236}">
                <a16:creationId xmlns:a16="http://schemas.microsoft.com/office/drawing/2014/main" id="{A9ADCDA6-629D-B7E8-57C9-722CBA0F831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2833" name="Rectangle 816">
              <a:extLst>
                <a:ext uri="{FF2B5EF4-FFF2-40B4-BE49-F238E27FC236}">
                  <a16:creationId xmlns:a16="http://schemas.microsoft.com/office/drawing/2014/main" id="{1CAE0153-D614-28A2-C79A-78476FE1B8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34" name="Line 817">
              <a:extLst>
                <a:ext uri="{FF2B5EF4-FFF2-40B4-BE49-F238E27FC236}">
                  <a16:creationId xmlns:a16="http://schemas.microsoft.com/office/drawing/2014/main" id="{648C06E9-751C-C779-2363-666F5B717E4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35" name="Line 818">
              <a:extLst>
                <a:ext uri="{FF2B5EF4-FFF2-40B4-BE49-F238E27FC236}">
                  <a16:creationId xmlns:a16="http://schemas.microsoft.com/office/drawing/2014/main" id="{D49F4070-A45F-E95E-F10F-3C95DD1F46D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2836" name="Rectangle 819">
              <a:extLst>
                <a:ext uri="{FF2B5EF4-FFF2-40B4-BE49-F238E27FC236}">
                  <a16:creationId xmlns:a16="http://schemas.microsoft.com/office/drawing/2014/main" id="{E3263D28-BE8C-212E-B594-E25635F239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37" name="Oval 820">
              <a:extLst>
                <a:ext uri="{FF2B5EF4-FFF2-40B4-BE49-F238E27FC236}">
                  <a16:creationId xmlns:a16="http://schemas.microsoft.com/office/drawing/2014/main" id="{A5284165-67A7-0C44-D269-7F0571F829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38" name="Oval 821">
              <a:extLst>
                <a:ext uri="{FF2B5EF4-FFF2-40B4-BE49-F238E27FC236}">
                  <a16:creationId xmlns:a16="http://schemas.microsoft.com/office/drawing/2014/main" id="{F3DC9F6B-0164-D357-4E89-013DA5C0DDA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2839" name="Rectangle 822">
              <a:extLst>
                <a:ext uri="{FF2B5EF4-FFF2-40B4-BE49-F238E27FC236}">
                  <a16:creationId xmlns:a16="http://schemas.microsoft.com/office/drawing/2014/main" id="{329D8F00-F366-2DE2-078B-7CB8592164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40" name="Rectangle 823">
              <a:extLst>
                <a:ext uri="{FF2B5EF4-FFF2-40B4-BE49-F238E27FC236}">
                  <a16:creationId xmlns:a16="http://schemas.microsoft.com/office/drawing/2014/main" id="{27002247-CEBB-8995-3FD5-90E6668736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41" name="Rectangle 824">
              <a:extLst>
                <a:ext uri="{FF2B5EF4-FFF2-40B4-BE49-F238E27FC236}">
                  <a16:creationId xmlns:a16="http://schemas.microsoft.com/office/drawing/2014/main" id="{4AEC6989-3FA3-E293-D71C-B0FBF60644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2842" name="Rectangle 825">
              <a:extLst>
                <a:ext uri="{FF2B5EF4-FFF2-40B4-BE49-F238E27FC236}">
                  <a16:creationId xmlns:a16="http://schemas.microsoft.com/office/drawing/2014/main" id="{6BB0641E-07E2-73EB-C876-49E8311B1C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2831" name="Rectangle 826">
            <a:extLst>
              <a:ext uri="{FF2B5EF4-FFF2-40B4-BE49-F238E27FC236}">
                <a16:creationId xmlns:a16="http://schemas.microsoft.com/office/drawing/2014/main" id="{88BE73BD-006A-2BBF-4259-D2F57D727B1A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32" name="Rectangle 827">
            <a:extLst>
              <a:ext uri="{FF2B5EF4-FFF2-40B4-BE49-F238E27FC236}">
                <a16:creationId xmlns:a16="http://schemas.microsoft.com/office/drawing/2014/main" id="{15F9ABC8-B4F5-8715-837D-7A2540E5E002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99060</xdr:colOff>
      <xdr:row>3</xdr:row>
      <xdr:rowOff>22860</xdr:rowOff>
    </xdr:from>
    <xdr:to>
      <xdr:col>7</xdr:col>
      <xdr:colOff>548640</xdr:colOff>
      <xdr:row>5</xdr:row>
      <xdr:rowOff>129540</xdr:rowOff>
    </xdr:to>
    <xdr:grpSp>
      <xdr:nvGrpSpPr>
        <xdr:cNvPr id="528363" name="Group 852">
          <a:extLst>
            <a:ext uri="{FF2B5EF4-FFF2-40B4-BE49-F238E27FC236}">
              <a16:creationId xmlns:a16="http://schemas.microsoft.com/office/drawing/2014/main" id="{1CF9DBA7-0B94-3292-0D27-B29E41435A93}"/>
            </a:ext>
          </a:extLst>
        </xdr:cNvPr>
        <xdr:cNvGrpSpPr>
          <a:grpSpLocks/>
        </xdr:cNvGrpSpPr>
      </xdr:nvGrpSpPr>
      <xdr:grpSpPr bwMode="auto">
        <a:xfrm>
          <a:off x="4831927" y="1724660"/>
          <a:ext cx="1575646" cy="479213"/>
          <a:chOff x="624" y="37"/>
          <a:chExt cx="552" cy="248"/>
        </a:xfrm>
      </xdr:grpSpPr>
      <xdr:sp macro="" textlink="">
        <xdr:nvSpPr>
          <xdr:cNvPr id="532806" name="Rectangle 382">
            <a:extLst>
              <a:ext uri="{FF2B5EF4-FFF2-40B4-BE49-F238E27FC236}">
                <a16:creationId xmlns:a16="http://schemas.microsoft.com/office/drawing/2014/main" id="{EE248129-0A01-7C07-DD4B-14D92C64D80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7" name="Rectangle 389">
            <a:extLst>
              <a:ext uri="{FF2B5EF4-FFF2-40B4-BE49-F238E27FC236}">
                <a16:creationId xmlns:a16="http://schemas.microsoft.com/office/drawing/2014/main" id="{E4CC5A45-A60D-5FCF-EF7D-0B79D9FD57B7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8" name="Rectangle 393">
            <a:extLst>
              <a:ext uri="{FF2B5EF4-FFF2-40B4-BE49-F238E27FC236}">
                <a16:creationId xmlns:a16="http://schemas.microsoft.com/office/drawing/2014/main" id="{CBA3D5BF-519F-CEDD-8727-C26C88A58BD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9" name="Rectangle 400">
            <a:extLst>
              <a:ext uri="{FF2B5EF4-FFF2-40B4-BE49-F238E27FC236}">
                <a16:creationId xmlns:a16="http://schemas.microsoft.com/office/drawing/2014/main" id="{F26FDB12-C4D9-09D2-B394-1CD095126D8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0" name="Rectangle 403">
            <a:extLst>
              <a:ext uri="{FF2B5EF4-FFF2-40B4-BE49-F238E27FC236}">
                <a16:creationId xmlns:a16="http://schemas.microsoft.com/office/drawing/2014/main" id="{6991CF67-BABF-0057-3F39-34B2C669F4F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1" name="Rectangle 404">
            <a:extLst>
              <a:ext uri="{FF2B5EF4-FFF2-40B4-BE49-F238E27FC236}">
                <a16:creationId xmlns:a16="http://schemas.microsoft.com/office/drawing/2014/main" id="{6A5A8416-D273-A146-B660-C7A427760CF5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2" name="Rectangle 828">
            <a:extLst>
              <a:ext uri="{FF2B5EF4-FFF2-40B4-BE49-F238E27FC236}">
                <a16:creationId xmlns:a16="http://schemas.microsoft.com/office/drawing/2014/main" id="{FAB2ADE6-E3DB-FC98-4656-BDAE939E44F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3" name="Rectangle 829">
            <a:extLst>
              <a:ext uri="{FF2B5EF4-FFF2-40B4-BE49-F238E27FC236}">
                <a16:creationId xmlns:a16="http://schemas.microsoft.com/office/drawing/2014/main" id="{30E68F6B-0DEB-F202-B3B1-E1827A747974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4" name="Oval 830">
            <a:extLst>
              <a:ext uri="{FF2B5EF4-FFF2-40B4-BE49-F238E27FC236}">
                <a16:creationId xmlns:a16="http://schemas.microsoft.com/office/drawing/2014/main" id="{3510218A-D44D-ABBD-3F20-9BA01F72C862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15" name="Oval 831">
            <a:extLst>
              <a:ext uri="{FF2B5EF4-FFF2-40B4-BE49-F238E27FC236}">
                <a16:creationId xmlns:a16="http://schemas.microsoft.com/office/drawing/2014/main" id="{138ECCCA-F4DC-CC62-2EC4-F24E1E3DB0BC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16" name="Oval 832">
            <a:extLst>
              <a:ext uri="{FF2B5EF4-FFF2-40B4-BE49-F238E27FC236}">
                <a16:creationId xmlns:a16="http://schemas.microsoft.com/office/drawing/2014/main" id="{1071907C-F643-0681-850F-BD9A3D06F5E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17" name="Oval 833">
            <a:extLst>
              <a:ext uri="{FF2B5EF4-FFF2-40B4-BE49-F238E27FC236}">
                <a16:creationId xmlns:a16="http://schemas.microsoft.com/office/drawing/2014/main" id="{25CA2E7D-A196-C01B-4B97-47E1E2B2F9E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18" name="AutoShape 835">
            <a:extLst>
              <a:ext uri="{FF2B5EF4-FFF2-40B4-BE49-F238E27FC236}">
                <a16:creationId xmlns:a16="http://schemas.microsoft.com/office/drawing/2014/main" id="{6495BF71-D642-A48E-1885-973E6167D897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19" name="AutoShape 836">
            <a:extLst>
              <a:ext uri="{FF2B5EF4-FFF2-40B4-BE49-F238E27FC236}">
                <a16:creationId xmlns:a16="http://schemas.microsoft.com/office/drawing/2014/main" id="{04C2C171-096E-69C5-DA67-29FD51D601C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6</xdr:col>
      <xdr:colOff>472440</xdr:colOff>
      <xdr:row>2</xdr:row>
      <xdr:rowOff>99060</xdr:rowOff>
    </xdr:from>
    <xdr:to>
      <xdr:col>7</xdr:col>
      <xdr:colOff>175260</xdr:colOff>
      <xdr:row>2</xdr:row>
      <xdr:rowOff>472440</xdr:rowOff>
    </xdr:to>
    <xdr:grpSp>
      <xdr:nvGrpSpPr>
        <xdr:cNvPr id="528364" name="Group 851">
          <a:extLst>
            <a:ext uri="{FF2B5EF4-FFF2-40B4-BE49-F238E27FC236}">
              <a16:creationId xmlns:a16="http://schemas.microsoft.com/office/drawing/2014/main" id="{AA470FB0-71AD-5635-14E2-F6413E70F482}"/>
            </a:ext>
          </a:extLst>
        </xdr:cNvPr>
        <xdr:cNvGrpSpPr>
          <a:grpSpLocks/>
        </xdr:cNvGrpSpPr>
      </xdr:nvGrpSpPr>
      <xdr:grpSpPr bwMode="auto">
        <a:xfrm>
          <a:off x="5205307" y="1225127"/>
          <a:ext cx="828886" cy="373380"/>
          <a:chOff x="675" y="362"/>
          <a:chExt cx="278" cy="249"/>
        </a:xfrm>
      </xdr:grpSpPr>
      <xdr:sp macro="" textlink="">
        <xdr:nvSpPr>
          <xdr:cNvPr id="532798" name="Rectangle 837">
            <a:extLst>
              <a:ext uri="{FF2B5EF4-FFF2-40B4-BE49-F238E27FC236}">
                <a16:creationId xmlns:a16="http://schemas.microsoft.com/office/drawing/2014/main" id="{B5D38A54-B027-695C-9B91-6DC68830DF2F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9" name="Rectangle 838">
            <a:extLst>
              <a:ext uri="{FF2B5EF4-FFF2-40B4-BE49-F238E27FC236}">
                <a16:creationId xmlns:a16="http://schemas.microsoft.com/office/drawing/2014/main" id="{F0D677D6-88B9-E284-A382-208F4F7B2141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0" name="Rectangle 841">
            <a:extLst>
              <a:ext uri="{FF2B5EF4-FFF2-40B4-BE49-F238E27FC236}">
                <a16:creationId xmlns:a16="http://schemas.microsoft.com/office/drawing/2014/main" id="{7D4F81C2-6EAC-0A78-CC87-0FFBF36148D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1" name="Rectangle 843">
            <a:extLst>
              <a:ext uri="{FF2B5EF4-FFF2-40B4-BE49-F238E27FC236}">
                <a16:creationId xmlns:a16="http://schemas.microsoft.com/office/drawing/2014/main" id="{00A83EB4-A7CC-B4CB-BB04-3B21FE6CDB2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2" name="Rectangle 844">
            <a:extLst>
              <a:ext uri="{FF2B5EF4-FFF2-40B4-BE49-F238E27FC236}">
                <a16:creationId xmlns:a16="http://schemas.microsoft.com/office/drawing/2014/main" id="{BF6830C8-7D88-997C-80D2-5C7D5CD339A6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803" name="Oval 846">
            <a:extLst>
              <a:ext uri="{FF2B5EF4-FFF2-40B4-BE49-F238E27FC236}">
                <a16:creationId xmlns:a16="http://schemas.microsoft.com/office/drawing/2014/main" id="{6CA72896-42D0-4757-6FD1-8F8AD2800CE6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04" name="Oval 847">
            <a:extLst>
              <a:ext uri="{FF2B5EF4-FFF2-40B4-BE49-F238E27FC236}">
                <a16:creationId xmlns:a16="http://schemas.microsoft.com/office/drawing/2014/main" id="{D6EE583B-EE37-79B4-2618-F58D944266D1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805" name="AutoShape 849">
            <a:extLst>
              <a:ext uri="{FF2B5EF4-FFF2-40B4-BE49-F238E27FC236}">
                <a16:creationId xmlns:a16="http://schemas.microsoft.com/office/drawing/2014/main" id="{B88BE810-8961-5A15-9D82-032AEBA5B67B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106680</xdr:colOff>
      <xdr:row>2</xdr:row>
      <xdr:rowOff>76200</xdr:rowOff>
    </xdr:from>
    <xdr:to>
      <xdr:col>3</xdr:col>
      <xdr:colOff>548640</xdr:colOff>
      <xdr:row>2</xdr:row>
      <xdr:rowOff>426720</xdr:rowOff>
    </xdr:to>
    <xdr:grpSp>
      <xdr:nvGrpSpPr>
        <xdr:cNvPr id="528365" name="Group 853">
          <a:extLst>
            <a:ext uri="{FF2B5EF4-FFF2-40B4-BE49-F238E27FC236}">
              <a16:creationId xmlns:a16="http://schemas.microsoft.com/office/drawing/2014/main" id="{368623DF-2ADD-AF18-206A-AB5B788868B6}"/>
            </a:ext>
          </a:extLst>
        </xdr:cNvPr>
        <xdr:cNvGrpSpPr>
          <a:grpSpLocks/>
        </xdr:cNvGrpSpPr>
      </xdr:nvGrpSpPr>
      <xdr:grpSpPr bwMode="auto">
        <a:xfrm>
          <a:off x="3374813" y="1202267"/>
          <a:ext cx="441960" cy="350520"/>
          <a:chOff x="675" y="362"/>
          <a:chExt cx="278" cy="249"/>
        </a:xfrm>
      </xdr:grpSpPr>
      <xdr:sp macro="" textlink="">
        <xdr:nvSpPr>
          <xdr:cNvPr id="532790" name="Rectangle 854">
            <a:extLst>
              <a:ext uri="{FF2B5EF4-FFF2-40B4-BE49-F238E27FC236}">
                <a16:creationId xmlns:a16="http://schemas.microsoft.com/office/drawing/2014/main" id="{6B031E01-6DB0-9115-EF6E-21B732D853F4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1" name="Rectangle 855">
            <a:extLst>
              <a:ext uri="{FF2B5EF4-FFF2-40B4-BE49-F238E27FC236}">
                <a16:creationId xmlns:a16="http://schemas.microsoft.com/office/drawing/2014/main" id="{CE10E34B-57A1-6B7C-D0FF-CDAC3B95E969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2" name="Rectangle 856">
            <a:extLst>
              <a:ext uri="{FF2B5EF4-FFF2-40B4-BE49-F238E27FC236}">
                <a16:creationId xmlns:a16="http://schemas.microsoft.com/office/drawing/2014/main" id="{9290B191-B0D9-F99B-20FE-B5AA0B2EB4E3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3" name="Rectangle 857">
            <a:extLst>
              <a:ext uri="{FF2B5EF4-FFF2-40B4-BE49-F238E27FC236}">
                <a16:creationId xmlns:a16="http://schemas.microsoft.com/office/drawing/2014/main" id="{8F8D2418-A58D-2361-286C-F5F851CBEEF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4" name="Rectangle 858">
            <a:extLst>
              <a:ext uri="{FF2B5EF4-FFF2-40B4-BE49-F238E27FC236}">
                <a16:creationId xmlns:a16="http://schemas.microsoft.com/office/drawing/2014/main" id="{644866A7-1FF9-95D3-961C-0CBB4C76621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95" name="Oval 859">
            <a:extLst>
              <a:ext uri="{FF2B5EF4-FFF2-40B4-BE49-F238E27FC236}">
                <a16:creationId xmlns:a16="http://schemas.microsoft.com/office/drawing/2014/main" id="{B757E5F7-B770-0A9C-EF05-40B18A99ED5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96" name="Oval 860">
            <a:extLst>
              <a:ext uri="{FF2B5EF4-FFF2-40B4-BE49-F238E27FC236}">
                <a16:creationId xmlns:a16="http://schemas.microsoft.com/office/drawing/2014/main" id="{A3525227-0A69-74F0-A861-27E80BC12804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97" name="AutoShape 861">
            <a:extLst>
              <a:ext uri="{FF2B5EF4-FFF2-40B4-BE49-F238E27FC236}">
                <a16:creationId xmlns:a16="http://schemas.microsoft.com/office/drawing/2014/main" id="{81656569-908E-A10C-F6F3-0158C7F7E88E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91440</xdr:colOff>
      <xdr:row>2</xdr:row>
      <xdr:rowOff>68580</xdr:rowOff>
    </xdr:from>
    <xdr:to>
      <xdr:col>4</xdr:col>
      <xdr:colOff>563880</xdr:colOff>
      <xdr:row>2</xdr:row>
      <xdr:rowOff>441960</xdr:rowOff>
    </xdr:to>
    <xdr:grpSp>
      <xdr:nvGrpSpPr>
        <xdr:cNvPr id="528366" name="Group 862">
          <a:extLst>
            <a:ext uri="{FF2B5EF4-FFF2-40B4-BE49-F238E27FC236}">
              <a16:creationId xmlns:a16="http://schemas.microsoft.com/office/drawing/2014/main" id="{6002E388-FD95-1CC4-724D-883B0EBE2AD6}"/>
            </a:ext>
          </a:extLst>
        </xdr:cNvPr>
        <xdr:cNvGrpSpPr>
          <a:grpSpLocks/>
        </xdr:cNvGrpSpPr>
      </xdr:nvGrpSpPr>
      <xdr:grpSpPr bwMode="auto">
        <a:xfrm>
          <a:off x="4011507" y="1194647"/>
          <a:ext cx="472440" cy="373380"/>
          <a:chOff x="624" y="37"/>
          <a:chExt cx="552" cy="248"/>
        </a:xfrm>
      </xdr:grpSpPr>
      <xdr:sp macro="" textlink="">
        <xdr:nvSpPr>
          <xdr:cNvPr id="532776" name="Rectangle 863">
            <a:extLst>
              <a:ext uri="{FF2B5EF4-FFF2-40B4-BE49-F238E27FC236}">
                <a16:creationId xmlns:a16="http://schemas.microsoft.com/office/drawing/2014/main" id="{27829271-570F-953F-F480-9FACBB40C784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7" name="Rectangle 864">
            <a:extLst>
              <a:ext uri="{FF2B5EF4-FFF2-40B4-BE49-F238E27FC236}">
                <a16:creationId xmlns:a16="http://schemas.microsoft.com/office/drawing/2014/main" id="{951B9301-2288-2E39-434C-12E871228337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8" name="Rectangle 865">
            <a:extLst>
              <a:ext uri="{FF2B5EF4-FFF2-40B4-BE49-F238E27FC236}">
                <a16:creationId xmlns:a16="http://schemas.microsoft.com/office/drawing/2014/main" id="{1B4ABC1A-F51E-7EF0-472E-CEACB747874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9" name="Rectangle 866">
            <a:extLst>
              <a:ext uri="{FF2B5EF4-FFF2-40B4-BE49-F238E27FC236}">
                <a16:creationId xmlns:a16="http://schemas.microsoft.com/office/drawing/2014/main" id="{B1DD0BDB-6A9D-3A6C-877B-464E5EE7259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0" name="Rectangle 867">
            <a:extLst>
              <a:ext uri="{FF2B5EF4-FFF2-40B4-BE49-F238E27FC236}">
                <a16:creationId xmlns:a16="http://schemas.microsoft.com/office/drawing/2014/main" id="{56028CFE-5A14-7B59-623E-C171C9A6CB0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1" name="Rectangle 868">
            <a:extLst>
              <a:ext uri="{FF2B5EF4-FFF2-40B4-BE49-F238E27FC236}">
                <a16:creationId xmlns:a16="http://schemas.microsoft.com/office/drawing/2014/main" id="{4D710C46-5906-2E65-D607-626EC834142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2" name="Rectangle 869">
            <a:extLst>
              <a:ext uri="{FF2B5EF4-FFF2-40B4-BE49-F238E27FC236}">
                <a16:creationId xmlns:a16="http://schemas.microsoft.com/office/drawing/2014/main" id="{0276B4A1-922F-4D69-1D94-BD35A06B27B0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3" name="Rectangle 870">
            <a:extLst>
              <a:ext uri="{FF2B5EF4-FFF2-40B4-BE49-F238E27FC236}">
                <a16:creationId xmlns:a16="http://schemas.microsoft.com/office/drawing/2014/main" id="{1B6208CD-9497-58D1-4D21-1498C6BB63C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4" name="Oval 871">
            <a:extLst>
              <a:ext uri="{FF2B5EF4-FFF2-40B4-BE49-F238E27FC236}">
                <a16:creationId xmlns:a16="http://schemas.microsoft.com/office/drawing/2014/main" id="{E9A5ADD6-6377-4777-B959-263A642AC5CE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85" name="Oval 872">
            <a:extLst>
              <a:ext uri="{FF2B5EF4-FFF2-40B4-BE49-F238E27FC236}">
                <a16:creationId xmlns:a16="http://schemas.microsoft.com/office/drawing/2014/main" id="{1DC7F789-6A26-3754-0036-A5A69D874854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86" name="Oval 873">
            <a:extLst>
              <a:ext uri="{FF2B5EF4-FFF2-40B4-BE49-F238E27FC236}">
                <a16:creationId xmlns:a16="http://schemas.microsoft.com/office/drawing/2014/main" id="{A926E13D-A104-4F97-44BC-48CFA33C70CB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87" name="Oval 874">
            <a:extLst>
              <a:ext uri="{FF2B5EF4-FFF2-40B4-BE49-F238E27FC236}">
                <a16:creationId xmlns:a16="http://schemas.microsoft.com/office/drawing/2014/main" id="{17AEA97B-82C4-62F5-7E95-1F58C48DED87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88" name="AutoShape 875">
            <a:extLst>
              <a:ext uri="{FF2B5EF4-FFF2-40B4-BE49-F238E27FC236}">
                <a16:creationId xmlns:a16="http://schemas.microsoft.com/office/drawing/2014/main" id="{8798DCA8-859E-E193-056C-D5B7B84813A8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89" name="AutoShape 876">
            <a:extLst>
              <a:ext uri="{FF2B5EF4-FFF2-40B4-BE49-F238E27FC236}">
                <a16:creationId xmlns:a16="http://schemas.microsoft.com/office/drawing/2014/main" id="{B043E34E-7FB0-425C-4886-6BFC5241FBBA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67" name="Group 894">
          <a:extLst>
            <a:ext uri="{FF2B5EF4-FFF2-40B4-BE49-F238E27FC236}">
              <a16:creationId xmlns:a16="http://schemas.microsoft.com/office/drawing/2014/main" id="{E290003B-37DD-47A6-635A-44889F00A78C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762" name="Rectangle 895">
            <a:extLst>
              <a:ext uri="{FF2B5EF4-FFF2-40B4-BE49-F238E27FC236}">
                <a16:creationId xmlns:a16="http://schemas.microsoft.com/office/drawing/2014/main" id="{D31A995A-9AC9-0487-4B53-798FC39C69C8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3" name="Rectangle 896">
            <a:extLst>
              <a:ext uri="{FF2B5EF4-FFF2-40B4-BE49-F238E27FC236}">
                <a16:creationId xmlns:a16="http://schemas.microsoft.com/office/drawing/2014/main" id="{10D4DC8D-8EDE-00DC-E360-F17D13585055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4" name="Rectangle 897">
            <a:extLst>
              <a:ext uri="{FF2B5EF4-FFF2-40B4-BE49-F238E27FC236}">
                <a16:creationId xmlns:a16="http://schemas.microsoft.com/office/drawing/2014/main" id="{87B1692E-AD4A-5431-D530-A9D6BB6C8F0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5" name="Rectangle 898">
            <a:extLst>
              <a:ext uri="{FF2B5EF4-FFF2-40B4-BE49-F238E27FC236}">
                <a16:creationId xmlns:a16="http://schemas.microsoft.com/office/drawing/2014/main" id="{AE19E2F3-8E16-CEA0-A082-79569B1C64C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6" name="Rectangle 899">
            <a:extLst>
              <a:ext uri="{FF2B5EF4-FFF2-40B4-BE49-F238E27FC236}">
                <a16:creationId xmlns:a16="http://schemas.microsoft.com/office/drawing/2014/main" id="{BAF28C6D-0D50-B813-96A2-3AF7B778F80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7" name="Rectangle 900">
            <a:extLst>
              <a:ext uri="{FF2B5EF4-FFF2-40B4-BE49-F238E27FC236}">
                <a16:creationId xmlns:a16="http://schemas.microsoft.com/office/drawing/2014/main" id="{80F533B2-515F-7850-A9EA-9AD98723214B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8" name="Rectangle 901">
            <a:extLst>
              <a:ext uri="{FF2B5EF4-FFF2-40B4-BE49-F238E27FC236}">
                <a16:creationId xmlns:a16="http://schemas.microsoft.com/office/drawing/2014/main" id="{16967D6C-677B-14C6-1AD8-4966B000A30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9" name="Rectangle 902">
            <a:extLst>
              <a:ext uri="{FF2B5EF4-FFF2-40B4-BE49-F238E27FC236}">
                <a16:creationId xmlns:a16="http://schemas.microsoft.com/office/drawing/2014/main" id="{C5E1F5BD-4AB4-EC5B-A09C-E0F6EC388CA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0" name="Oval 903">
            <a:extLst>
              <a:ext uri="{FF2B5EF4-FFF2-40B4-BE49-F238E27FC236}">
                <a16:creationId xmlns:a16="http://schemas.microsoft.com/office/drawing/2014/main" id="{FB913BAE-BD80-6EFD-1505-E086F31DC075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71" name="Oval 904">
            <a:extLst>
              <a:ext uri="{FF2B5EF4-FFF2-40B4-BE49-F238E27FC236}">
                <a16:creationId xmlns:a16="http://schemas.microsoft.com/office/drawing/2014/main" id="{7D5A8177-BE69-D28E-F2CF-3053704EF45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72" name="Oval 905">
            <a:extLst>
              <a:ext uri="{FF2B5EF4-FFF2-40B4-BE49-F238E27FC236}">
                <a16:creationId xmlns:a16="http://schemas.microsoft.com/office/drawing/2014/main" id="{0EF31A1D-3BDB-D3BB-7BA6-002C1FDA4F73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73" name="Oval 906">
            <a:extLst>
              <a:ext uri="{FF2B5EF4-FFF2-40B4-BE49-F238E27FC236}">
                <a16:creationId xmlns:a16="http://schemas.microsoft.com/office/drawing/2014/main" id="{0EAA7A9A-15D9-9170-C7FB-8F0B8C7E9CE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74" name="AutoShape 907">
            <a:extLst>
              <a:ext uri="{FF2B5EF4-FFF2-40B4-BE49-F238E27FC236}">
                <a16:creationId xmlns:a16="http://schemas.microsoft.com/office/drawing/2014/main" id="{80C5457F-7DA0-F911-F051-8052577BDA13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75" name="AutoShape 908">
            <a:extLst>
              <a:ext uri="{FF2B5EF4-FFF2-40B4-BE49-F238E27FC236}">
                <a16:creationId xmlns:a16="http://schemas.microsoft.com/office/drawing/2014/main" id="{75B37751-9305-4935-9A49-5B4F7950D6AD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68" name="Group 909">
          <a:extLst>
            <a:ext uri="{FF2B5EF4-FFF2-40B4-BE49-F238E27FC236}">
              <a16:creationId xmlns:a16="http://schemas.microsoft.com/office/drawing/2014/main" id="{421B7D7C-4CAD-EB7F-BEA7-AD6A0CECAF98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748" name="Rectangle 910">
            <a:extLst>
              <a:ext uri="{FF2B5EF4-FFF2-40B4-BE49-F238E27FC236}">
                <a16:creationId xmlns:a16="http://schemas.microsoft.com/office/drawing/2014/main" id="{80A9B66E-CC49-F525-C5AE-50109C46D078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9" name="Rectangle 911">
            <a:extLst>
              <a:ext uri="{FF2B5EF4-FFF2-40B4-BE49-F238E27FC236}">
                <a16:creationId xmlns:a16="http://schemas.microsoft.com/office/drawing/2014/main" id="{F612A4B3-48AA-2D05-8760-36BBA6B22F37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0" name="Rectangle 912">
            <a:extLst>
              <a:ext uri="{FF2B5EF4-FFF2-40B4-BE49-F238E27FC236}">
                <a16:creationId xmlns:a16="http://schemas.microsoft.com/office/drawing/2014/main" id="{8AC69685-589C-5A11-C5CA-00272DBDD7D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1" name="Rectangle 913">
            <a:extLst>
              <a:ext uri="{FF2B5EF4-FFF2-40B4-BE49-F238E27FC236}">
                <a16:creationId xmlns:a16="http://schemas.microsoft.com/office/drawing/2014/main" id="{819EA1A0-B5E5-9486-01DF-0465CF75B1A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2" name="Rectangle 914">
            <a:extLst>
              <a:ext uri="{FF2B5EF4-FFF2-40B4-BE49-F238E27FC236}">
                <a16:creationId xmlns:a16="http://schemas.microsoft.com/office/drawing/2014/main" id="{56CE8E2B-55B5-689E-5E16-F3346E884B0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3" name="Rectangle 915">
            <a:extLst>
              <a:ext uri="{FF2B5EF4-FFF2-40B4-BE49-F238E27FC236}">
                <a16:creationId xmlns:a16="http://schemas.microsoft.com/office/drawing/2014/main" id="{04C6DA2E-BF81-02CF-8CE9-8350B5226CE2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4" name="Rectangle 916">
            <a:extLst>
              <a:ext uri="{FF2B5EF4-FFF2-40B4-BE49-F238E27FC236}">
                <a16:creationId xmlns:a16="http://schemas.microsoft.com/office/drawing/2014/main" id="{E42AB964-A269-2330-1ADA-19C06B3E6EC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5" name="Rectangle 917">
            <a:extLst>
              <a:ext uri="{FF2B5EF4-FFF2-40B4-BE49-F238E27FC236}">
                <a16:creationId xmlns:a16="http://schemas.microsoft.com/office/drawing/2014/main" id="{3D7E66DC-6A86-FFAB-FF46-D69166FC290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56" name="Oval 918">
            <a:extLst>
              <a:ext uri="{FF2B5EF4-FFF2-40B4-BE49-F238E27FC236}">
                <a16:creationId xmlns:a16="http://schemas.microsoft.com/office/drawing/2014/main" id="{AEA00AB0-5FBF-57A8-7B35-06CC05A86C37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57" name="Oval 919">
            <a:extLst>
              <a:ext uri="{FF2B5EF4-FFF2-40B4-BE49-F238E27FC236}">
                <a16:creationId xmlns:a16="http://schemas.microsoft.com/office/drawing/2014/main" id="{A7C540C8-CA40-CBEB-0FD4-E7A7A8B20CBB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58" name="Oval 920">
            <a:extLst>
              <a:ext uri="{FF2B5EF4-FFF2-40B4-BE49-F238E27FC236}">
                <a16:creationId xmlns:a16="http://schemas.microsoft.com/office/drawing/2014/main" id="{AC61FCD6-C010-6AA7-1800-912417DCF3E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59" name="Oval 921">
            <a:extLst>
              <a:ext uri="{FF2B5EF4-FFF2-40B4-BE49-F238E27FC236}">
                <a16:creationId xmlns:a16="http://schemas.microsoft.com/office/drawing/2014/main" id="{4CDD89D6-34D4-A821-777F-21B59D19F9B9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60" name="AutoShape 922">
            <a:extLst>
              <a:ext uri="{FF2B5EF4-FFF2-40B4-BE49-F238E27FC236}">
                <a16:creationId xmlns:a16="http://schemas.microsoft.com/office/drawing/2014/main" id="{52C18010-C5EF-574D-2A5A-F6819D1F0ECB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61" name="AutoShape 923">
            <a:extLst>
              <a:ext uri="{FF2B5EF4-FFF2-40B4-BE49-F238E27FC236}">
                <a16:creationId xmlns:a16="http://schemas.microsoft.com/office/drawing/2014/main" id="{45D3908D-660F-82E1-1FF6-6E20B95B8A01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69" name="Group 924">
          <a:extLst>
            <a:ext uri="{FF2B5EF4-FFF2-40B4-BE49-F238E27FC236}">
              <a16:creationId xmlns:a16="http://schemas.microsoft.com/office/drawing/2014/main" id="{C2DE57DB-AC78-8A2D-C851-26EDE7062E68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740" name="Rectangle 925">
            <a:extLst>
              <a:ext uri="{FF2B5EF4-FFF2-40B4-BE49-F238E27FC236}">
                <a16:creationId xmlns:a16="http://schemas.microsoft.com/office/drawing/2014/main" id="{43BA3727-B6B6-35ED-D3B9-A3FA9FB56F58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1" name="Rectangle 926">
            <a:extLst>
              <a:ext uri="{FF2B5EF4-FFF2-40B4-BE49-F238E27FC236}">
                <a16:creationId xmlns:a16="http://schemas.microsoft.com/office/drawing/2014/main" id="{28C6CBB9-CA07-03A9-1522-D48C3FBE9519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2" name="Rectangle 927">
            <a:extLst>
              <a:ext uri="{FF2B5EF4-FFF2-40B4-BE49-F238E27FC236}">
                <a16:creationId xmlns:a16="http://schemas.microsoft.com/office/drawing/2014/main" id="{7365A608-2992-942C-161C-58DABC36493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3" name="Rectangle 928">
            <a:extLst>
              <a:ext uri="{FF2B5EF4-FFF2-40B4-BE49-F238E27FC236}">
                <a16:creationId xmlns:a16="http://schemas.microsoft.com/office/drawing/2014/main" id="{761382F9-CEC7-91BB-0D37-571CF0CAB63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4" name="Rectangle 929">
            <a:extLst>
              <a:ext uri="{FF2B5EF4-FFF2-40B4-BE49-F238E27FC236}">
                <a16:creationId xmlns:a16="http://schemas.microsoft.com/office/drawing/2014/main" id="{84827D23-4658-6437-8932-DECFB59B5A9D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45" name="Oval 930">
            <a:extLst>
              <a:ext uri="{FF2B5EF4-FFF2-40B4-BE49-F238E27FC236}">
                <a16:creationId xmlns:a16="http://schemas.microsoft.com/office/drawing/2014/main" id="{516F85FB-56A5-E37B-DC60-CC56E3378F6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46" name="Oval 931">
            <a:extLst>
              <a:ext uri="{FF2B5EF4-FFF2-40B4-BE49-F238E27FC236}">
                <a16:creationId xmlns:a16="http://schemas.microsoft.com/office/drawing/2014/main" id="{2A3C0808-FAD9-2C5A-1E6C-032168AB73A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47" name="AutoShape 932">
            <a:extLst>
              <a:ext uri="{FF2B5EF4-FFF2-40B4-BE49-F238E27FC236}">
                <a16:creationId xmlns:a16="http://schemas.microsoft.com/office/drawing/2014/main" id="{462AEB0C-1C66-1E71-0DDD-3EB5CB2AECB6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0" name="Group 933">
          <a:extLst>
            <a:ext uri="{FF2B5EF4-FFF2-40B4-BE49-F238E27FC236}">
              <a16:creationId xmlns:a16="http://schemas.microsoft.com/office/drawing/2014/main" id="{2329DB6C-59C2-04D6-E1DE-E25ECBDBE7C7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732" name="Rectangle 934">
            <a:extLst>
              <a:ext uri="{FF2B5EF4-FFF2-40B4-BE49-F238E27FC236}">
                <a16:creationId xmlns:a16="http://schemas.microsoft.com/office/drawing/2014/main" id="{EDBB6746-89F6-70EB-C0F2-761C8D3451FA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3" name="Rectangle 935">
            <a:extLst>
              <a:ext uri="{FF2B5EF4-FFF2-40B4-BE49-F238E27FC236}">
                <a16:creationId xmlns:a16="http://schemas.microsoft.com/office/drawing/2014/main" id="{4E101D5F-7C0A-28AB-C64E-244F1A24352A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4" name="Rectangle 936">
            <a:extLst>
              <a:ext uri="{FF2B5EF4-FFF2-40B4-BE49-F238E27FC236}">
                <a16:creationId xmlns:a16="http://schemas.microsoft.com/office/drawing/2014/main" id="{9201176D-CA91-9538-1B46-78DEAF6A85D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5" name="Rectangle 937">
            <a:extLst>
              <a:ext uri="{FF2B5EF4-FFF2-40B4-BE49-F238E27FC236}">
                <a16:creationId xmlns:a16="http://schemas.microsoft.com/office/drawing/2014/main" id="{83684009-47EE-7C50-0702-EF3CC6E479B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6" name="Rectangle 938">
            <a:extLst>
              <a:ext uri="{FF2B5EF4-FFF2-40B4-BE49-F238E27FC236}">
                <a16:creationId xmlns:a16="http://schemas.microsoft.com/office/drawing/2014/main" id="{B127B73D-36D8-246C-FB65-F389EDF6090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37" name="Oval 939">
            <a:extLst>
              <a:ext uri="{FF2B5EF4-FFF2-40B4-BE49-F238E27FC236}">
                <a16:creationId xmlns:a16="http://schemas.microsoft.com/office/drawing/2014/main" id="{DF9DDCE4-754E-65DB-CD32-CADB9333E977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38" name="Oval 940">
            <a:extLst>
              <a:ext uri="{FF2B5EF4-FFF2-40B4-BE49-F238E27FC236}">
                <a16:creationId xmlns:a16="http://schemas.microsoft.com/office/drawing/2014/main" id="{D7DDDB2F-0D22-FD76-84AE-8892660B9D5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39" name="AutoShape 941">
            <a:extLst>
              <a:ext uri="{FF2B5EF4-FFF2-40B4-BE49-F238E27FC236}">
                <a16:creationId xmlns:a16="http://schemas.microsoft.com/office/drawing/2014/main" id="{56513A0B-A2E6-D033-D327-522878999C3D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1" name="Group 942">
          <a:extLst>
            <a:ext uri="{FF2B5EF4-FFF2-40B4-BE49-F238E27FC236}">
              <a16:creationId xmlns:a16="http://schemas.microsoft.com/office/drawing/2014/main" id="{F1021F0E-381A-9D4E-B089-64641C0F6408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724" name="Rectangle 943">
            <a:extLst>
              <a:ext uri="{FF2B5EF4-FFF2-40B4-BE49-F238E27FC236}">
                <a16:creationId xmlns:a16="http://schemas.microsoft.com/office/drawing/2014/main" id="{3E8128E3-967C-F621-3A29-CC3AAFAF656F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5" name="Rectangle 944">
            <a:extLst>
              <a:ext uri="{FF2B5EF4-FFF2-40B4-BE49-F238E27FC236}">
                <a16:creationId xmlns:a16="http://schemas.microsoft.com/office/drawing/2014/main" id="{5290F78E-565F-EE9B-8827-51C98C57AC9D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6" name="Rectangle 945">
            <a:extLst>
              <a:ext uri="{FF2B5EF4-FFF2-40B4-BE49-F238E27FC236}">
                <a16:creationId xmlns:a16="http://schemas.microsoft.com/office/drawing/2014/main" id="{3F1A0DC7-D759-87C4-43D9-22A71EC4C2A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7" name="Rectangle 946">
            <a:extLst>
              <a:ext uri="{FF2B5EF4-FFF2-40B4-BE49-F238E27FC236}">
                <a16:creationId xmlns:a16="http://schemas.microsoft.com/office/drawing/2014/main" id="{35E3108C-3369-E16A-80BD-889EB216B3F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8" name="Rectangle 947">
            <a:extLst>
              <a:ext uri="{FF2B5EF4-FFF2-40B4-BE49-F238E27FC236}">
                <a16:creationId xmlns:a16="http://schemas.microsoft.com/office/drawing/2014/main" id="{C0EFBE98-5523-3AFD-DAD4-C5E4CA7684B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9" name="Oval 948">
            <a:extLst>
              <a:ext uri="{FF2B5EF4-FFF2-40B4-BE49-F238E27FC236}">
                <a16:creationId xmlns:a16="http://schemas.microsoft.com/office/drawing/2014/main" id="{5EC407AC-8020-ABA9-513F-9A648327534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30" name="Oval 949">
            <a:extLst>
              <a:ext uri="{FF2B5EF4-FFF2-40B4-BE49-F238E27FC236}">
                <a16:creationId xmlns:a16="http://schemas.microsoft.com/office/drawing/2014/main" id="{ABC4BA90-FD9F-710A-9C14-7C87E650879B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31" name="AutoShape 950">
            <a:extLst>
              <a:ext uri="{FF2B5EF4-FFF2-40B4-BE49-F238E27FC236}">
                <a16:creationId xmlns:a16="http://schemas.microsoft.com/office/drawing/2014/main" id="{2851D57E-C72E-E1D3-E910-E40624D52831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72" name="Group 951">
          <a:extLst>
            <a:ext uri="{FF2B5EF4-FFF2-40B4-BE49-F238E27FC236}">
              <a16:creationId xmlns:a16="http://schemas.microsoft.com/office/drawing/2014/main" id="{415CABA5-1DA9-AD12-C64E-2358FB55FE20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710" name="Rectangle 952">
            <a:extLst>
              <a:ext uri="{FF2B5EF4-FFF2-40B4-BE49-F238E27FC236}">
                <a16:creationId xmlns:a16="http://schemas.microsoft.com/office/drawing/2014/main" id="{6CEAADA7-DDE6-BA3E-0FEE-A04A855D6E28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1" name="Rectangle 953">
            <a:extLst>
              <a:ext uri="{FF2B5EF4-FFF2-40B4-BE49-F238E27FC236}">
                <a16:creationId xmlns:a16="http://schemas.microsoft.com/office/drawing/2014/main" id="{992C8BB3-98EB-C290-1DC3-9A6A94BD232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2" name="Rectangle 954">
            <a:extLst>
              <a:ext uri="{FF2B5EF4-FFF2-40B4-BE49-F238E27FC236}">
                <a16:creationId xmlns:a16="http://schemas.microsoft.com/office/drawing/2014/main" id="{CB24817B-3298-CF3A-D345-BB7EDBD7A7B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3" name="Rectangle 955">
            <a:extLst>
              <a:ext uri="{FF2B5EF4-FFF2-40B4-BE49-F238E27FC236}">
                <a16:creationId xmlns:a16="http://schemas.microsoft.com/office/drawing/2014/main" id="{CD2EB991-3031-A3A3-7C75-52F67E681DB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4" name="Rectangle 956">
            <a:extLst>
              <a:ext uri="{FF2B5EF4-FFF2-40B4-BE49-F238E27FC236}">
                <a16:creationId xmlns:a16="http://schemas.microsoft.com/office/drawing/2014/main" id="{97EAD7EE-475C-D951-A59C-728FB5BF980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5" name="Rectangle 957">
            <a:extLst>
              <a:ext uri="{FF2B5EF4-FFF2-40B4-BE49-F238E27FC236}">
                <a16:creationId xmlns:a16="http://schemas.microsoft.com/office/drawing/2014/main" id="{3E2BC9A6-038C-8710-A2F8-155B6045934B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6" name="Rectangle 958">
            <a:extLst>
              <a:ext uri="{FF2B5EF4-FFF2-40B4-BE49-F238E27FC236}">
                <a16:creationId xmlns:a16="http://schemas.microsoft.com/office/drawing/2014/main" id="{CE4B4466-21EC-BD22-E554-251ECDB0993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7" name="Rectangle 959">
            <a:extLst>
              <a:ext uri="{FF2B5EF4-FFF2-40B4-BE49-F238E27FC236}">
                <a16:creationId xmlns:a16="http://schemas.microsoft.com/office/drawing/2014/main" id="{EF40B3B9-0012-BBD4-1DEB-5906C4EA6B5C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18" name="Oval 960">
            <a:extLst>
              <a:ext uri="{FF2B5EF4-FFF2-40B4-BE49-F238E27FC236}">
                <a16:creationId xmlns:a16="http://schemas.microsoft.com/office/drawing/2014/main" id="{518163D6-CFCA-396C-0A6E-0AF60296EA12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19" name="Oval 961">
            <a:extLst>
              <a:ext uri="{FF2B5EF4-FFF2-40B4-BE49-F238E27FC236}">
                <a16:creationId xmlns:a16="http://schemas.microsoft.com/office/drawing/2014/main" id="{33FCBDDA-8F24-39C2-BD44-BD6CA07C15EA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20" name="Oval 962">
            <a:extLst>
              <a:ext uri="{FF2B5EF4-FFF2-40B4-BE49-F238E27FC236}">
                <a16:creationId xmlns:a16="http://schemas.microsoft.com/office/drawing/2014/main" id="{79E468F2-A7F4-AC18-B90C-DD2823672E0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21" name="Oval 963">
            <a:extLst>
              <a:ext uri="{FF2B5EF4-FFF2-40B4-BE49-F238E27FC236}">
                <a16:creationId xmlns:a16="http://schemas.microsoft.com/office/drawing/2014/main" id="{860CB71E-2894-7C11-AC39-AB8839921CE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22" name="AutoShape 964">
            <a:extLst>
              <a:ext uri="{FF2B5EF4-FFF2-40B4-BE49-F238E27FC236}">
                <a16:creationId xmlns:a16="http://schemas.microsoft.com/office/drawing/2014/main" id="{59F01EFC-4B6B-9070-32D2-0332D1C47E9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23" name="AutoShape 965">
            <a:extLst>
              <a:ext uri="{FF2B5EF4-FFF2-40B4-BE49-F238E27FC236}">
                <a16:creationId xmlns:a16="http://schemas.microsoft.com/office/drawing/2014/main" id="{F7C5F4C8-4669-CFA0-C363-7E93333F7F53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3" name="Group 966">
          <a:extLst>
            <a:ext uri="{FF2B5EF4-FFF2-40B4-BE49-F238E27FC236}">
              <a16:creationId xmlns:a16="http://schemas.microsoft.com/office/drawing/2014/main" id="{087D1CDB-EF04-3F15-FDEB-7FD07C513B28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702" name="Rectangle 967">
            <a:extLst>
              <a:ext uri="{FF2B5EF4-FFF2-40B4-BE49-F238E27FC236}">
                <a16:creationId xmlns:a16="http://schemas.microsoft.com/office/drawing/2014/main" id="{D3A537D8-2C12-8B7C-D8B1-1D383F865A66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3" name="Rectangle 968">
            <a:extLst>
              <a:ext uri="{FF2B5EF4-FFF2-40B4-BE49-F238E27FC236}">
                <a16:creationId xmlns:a16="http://schemas.microsoft.com/office/drawing/2014/main" id="{46CA7B4B-71FF-24CD-0619-07B887701B6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4" name="Rectangle 969">
            <a:extLst>
              <a:ext uri="{FF2B5EF4-FFF2-40B4-BE49-F238E27FC236}">
                <a16:creationId xmlns:a16="http://schemas.microsoft.com/office/drawing/2014/main" id="{FD9083D7-0BC3-89C1-47AC-924C7C02EC6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5" name="Rectangle 970">
            <a:extLst>
              <a:ext uri="{FF2B5EF4-FFF2-40B4-BE49-F238E27FC236}">
                <a16:creationId xmlns:a16="http://schemas.microsoft.com/office/drawing/2014/main" id="{31E0371E-2317-F71F-25C7-D975BC5957A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6" name="Rectangle 971">
            <a:extLst>
              <a:ext uri="{FF2B5EF4-FFF2-40B4-BE49-F238E27FC236}">
                <a16:creationId xmlns:a16="http://schemas.microsoft.com/office/drawing/2014/main" id="{18E4A443-E708-D64E-A48D-995DEE0B8273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707" name="Oval 972">
            <a:extLst>
              <a:ext uri="{FF2B5EF4-FFF2-40B4-BE49-F238E27FC236}">
                <a16:creationId xmlns:a16="http://schemas.microsoft.com/office/drawing/2014/main" id="{7908AD52-0565-8AAA-CD9A-9D01286B9A00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08" name="Oval 973">
            <a:extLst>
              <a:ext uri="{FF2B5EF4-FFF2-40B4-BE49-F238E27FC236}">
                <a16:creationId xmlns:a16="http://schemas.microsoft.com/office/drawing/2014/main" id="{E79823B4-B285-E734-29FC-BD20F37AFCEE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09" name="AutoShape 974">
            <a:extLst>
              <a:ext uri="{FF2B5EF4-FFF2-40B4-BE49-F238E27FC236}">
                <a16:creationId xmlns:a16="http://schemas.microsoft.com/office/drawing/2014/main" id="{6049C04A-B0CD-24AD-0790-CE07A2E4CA7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4" name="Group 975">
          <a:extLst>
            <a:ext uri="{FF2B5EF4-FFF2-40B4-BE49-F238E27FC236}">
              <a16:creationId xmlns:a16="http://schemas.microsoft.com/office/drawing/2014/main" id="{6A528EB1-0221-040E-D8F2-FB9A62679BD9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694" name="Rectangle 976">
            <a:extLst>
              <a:ext uri="{FF2B5EF4-FFF2-40B4-BE49-F238E27FC236}">
                <a16:creationId xmlns:a16="http://schemas.microsoft.com/office/drawing/2014/main" id="{BB1FAD3B-D8A5-B190-D5D1-A52397A2838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5" name="Rectangle 977">
            <a:extLst>
              <a:ext uri="{FF2B5EF4-FFF2-40B4-BE49-F238E27FC236}">
                <a16:creationId xmlns:a16="http://schemas.microsoft.com/office/drawing/2014/main" id="{AD3E03AF-617A-7647-95E2-1DAA03DAEBB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6" name="Rectangle 978">
            <a:extLst>
              <a:ext uri="{FF2B5EF4-FFF2-40B4-BE49-F238E27FC236}">
                <a16:creationId xmlns:a16="http://schemas.microsoft.com/office/drawing/2014/main" id="{4D06B64A-F566-CE7E-8CA3-416D9C1D0F3F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7" name="Rectangle 979">
            <a:extLst>
              <a:ext uri="{FF2B5EF4-FFF2-40B4-BE49-F238E27FC236}">
                <a16:creationId xmlns:a16="http://schemas.microsoft.com/office/drawing/2014/main" id="{3F92ED15-C190-879D-9BD8-E80F7A1658E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8" name="Rectangle 980">
            <a:extLst>
              <a:ext uri="{FF2B5EF4-FFF2-40B4-BE49-F238E27FC236}">
                <a16:creationId xmlns:a16="http://schemas.microsoft.com/office/drawing/2014/main" id="{4BAC5CF8-045E-757E-F46B-1073C1A4052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9" name="Oval 981">
            <a:extLst>
              <a:ext uri="{FF2B5EF4-FFF2-40B4-BE49-F238E27FC236}">
                <a16:creationId xmlns:a16="http://schemas.microsoft.com/office/drawing/2014/main" id="{11F88100-C81B-08B9-FE3F-6199341F79A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00" name="Oval 982">
            <a:extLst>
              <a:ext uri="{FF2B5EF4-FFF2-40B4-BE49-F238E27FC236}">
                <a16:creationId xmlns:a16="http://schemas.microsoft.com/office/drawing/2014/main" id="{3B9E88C7-A0FC-E6CF-5D9B-BC5BECAE48AF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701" name="AutoShape 983">
            <a:extLst>
              <a:ext uri="{FF2B5EF4-FFF2-40B4-BE49-F238E27FC236}">
                <a16:creationId xmlns:a16="http://schemas.microsoft.com/office/drawing/2014/main" id="{97591BB8-BA4B-A10E-A2B4-FA068B68FA8B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5" name="Group 984">
          <a:extLst>
            <a:ext uri="{FF2B5EF4-FFF2-40B4-BE49-F238E27FC236}">
              <a16:creationId xmlns:a16="http://schemas.microsoft.com/office/drawing/2014/main" id="{2F714827-D442-68B2-3A09-01A56145865C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686" name="Rectangle 985">
            <a:extLst>
              <a:ext uri="{FF2B5EF4-FFF2-40B4-BE49-F238E27FC236}">
                <a16:creationId xmlns:a16="http://schemas.microsoft.com/office/drawing/2014/main" id="{16C03CB9-2197-5F20-40F6-BD00BDE9F79A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7" name="Rectangle 986">
            <a:extLst>
              <a:ext uri="{FF2B5EF4-FFF2-40B4-BE49-F238E27FC236}">
                <a16:creationId xmlns:a16="http://schemas.microsoft.com/office/drawing/2014/main" id="{266EBC7C-C5AB-66FB-B334-CC97A91FDC4F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8" name="Rectangle 987">
            <a:extLst>
              <a:ext uri="{FF2B5EF4-FFF2-40B4-BE49-F238E27FC236}">
                <a16:creationId xmlns:a16="http://schemas.microsoft.com/office/drawing/2014/main" id="{105AF614-D26C-C3BC-1278-EAEC0896067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9" name="Rectangle 988">
            <a:extLst>
              <a:ext uri="{FF2B5EF4-FFF2-40B4-BE49-F238E27FC236}">
                <a16:creationId xmlns:a16="http://schemas.microsoft.com/office/drawing/2014/main" id="{CD218C27-8F7A-F5DA-9CF5-18C92E15C0C8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0" name="Rectangle 989">
            <a:extLst>
              <a:ext uri="{FF2B5EF4-FFF2-40B4-BE49-F238E27FC236}">
                <a16:creationId xmlns:a16="http://schemas.microsoft.com/office/drawing/2014/main" id="{044D8185-16D0-CC48-CFEE-90FA85E4F36E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91" name="Oval 990">
            <a:extLst>
              <a:ext uri="{FF2B5EF4-FFF2-40B4-BE49-F238E27FC236}">
                <a16:creationId xmlns:a16="http://schemas.microsoft.com/office/drawing/2014/main" id="{8F06F62A-E3AB-8DDA-17CD-6DC064B5B87A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92" name="Oval 991">
            <a:extLst>
              <a:ext uri="{FF2B5EF4-FFF2-40B4-BE49-F238E27FC236}">
                <a16:creationId xmlns:a16="http://schemas.microsoft.com/office/drawing/2014/main" id="{B559E85D-0362-F78E-AB51-C1396E862BEB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93" name="AutoShape 992">
            <a:extLst>
              <a:ext uri="{FF2B5EF4-FFF2-40B4-BE49-F238E27FC236}">
                <a16:creationId xmlns:a16="http://schemas.microsoft.com/office/drawing/2014/main" id="{49FDA7AB-A9DF-3C7E-7D0A-2834D184FEC6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6" name="Group 993">
          <a:extLst>
            <a:ext uri="{FF2B5EF4-FFF2-40B4-BE49-F238E27FC236}">
              <a16:creationId xmlns:a16="http://schemas.microsoft.com/office/drawing/2014/main" id="{F116B6A9-C33E-17EF-AE09-A49A4C158918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678" name="Rectangle 994">
            <a:extLst>
              <a:ext uri="{FF2B5EF4-FFF2-40B4-BE49-F238E27FC236}">
                <a16:creationId xmlns:a16="http://schemas.microsoft.com/office/drawing/2014/main" id="{461DA6BE-82AE-6C78-9E3E-700CAD977481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9" name="Rectangle 995">
            <a:extLst>
              <a:ext uri="{FF2B5EF4-FFF2-40B4-BE49-F238E27FC236}">
                <a16:creationId xmlns:a16="http://schemas.microsoft.com/office/drawing/2014/main" id="{35F0A572-9C6E-C3DB-B62B-04D8A938F8F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0" name="Rectangle 996">
            <a:extLst>
              <a:ext uri="{FF2B5EF4-FFF2-40B4-BE49-F238E27FC236}">
                <a16:creationId xmlns:a16="http://schemas.microsoft.com/office/drawing/2014/main" id="{E1B90F3A-4B2C-88EB-6D6C-5B91CAF5E78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1" name="Rectangle 997">
            <a:extLst>
              <a:ext uri="{FF2B5EF4-FFF2-40B4-BE49-F238E27FC236}">
                <a16:creationId xmlns:a16="http://schemas.microsoft.com/office/drawing/2014/main" id="{96ADD0E0-F9A0-25D1-97C1-83A6DCD92A3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2" name="Rectangle 998">
            <a:extLst>
              <a:ext uri="{FF2B5EF4-FFF2-40B4-BE49-F238E27FC236}">
                <a16:creationId xmlns:a16="http://schemas.microsoft.com/office/drawing/2014/main" id="{FE693C12-761F-BEBE-7B5F-937AE92295D6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83" name="Oval 999">
            <a:extLst>
              <a:ext uri="{FF2B5EF4-FFF2-40B4-BE49-F238E27FC236}">
                <a16:creationId xmlns:a16="http://schemas.microsoft.com/office/drawing/2014/main" id="{4738F28A-0508-CBF5-EDDF-2E3BAAF60CB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84" name="Oval 1000">
            <a:extLst>
              <a:ext uri="{FF2B5EF4-FFF2-40B4-BE49-F238E27FC236}">
                <a16:creationId xmlns:a16="http://schemas.microsoft.com/office/drawing/2014/main" id="{AAB727D5-A187-00A6-09CF-CFEC319A62B7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85" name="AutoShape 1001">
            <a:extLst>
              <a:ext uri="{FF2B5EF4-FFF2-40B4-BE49-F238E27FC236}">
                <a16:creationId xmlns:a16="http://schemas.microsoft.com/office/drawing/2014/main" id="{EBD99E11-CEE1-D196-7BBE-82F22A20643B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28377" name="Group 1002">
          <a:extLst>
            <a:ext uri="{FF2B5EF4-FFF2-40B4-BE49-F238E27FC236}">
              <a16:creationId xmlns:a16="http://schemas.microsoft.com/office/drawing/2014/main" id="{36B5FEE3-BA08-9866-A754-6CB924CE9ABB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670" name="Rectangle 1003">
            <a:extLst>
              <a:ext uri="{FF2B5EF4-FFF2-40B4-BE49-F238E27FC236}">
                <a16:creationId xmlns:a16="http://schemas.microsoft.com/office/drawing/2014/main" id="{314B45B7-38B6-9846-AA0E-33BB26D0E2FD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1" name="Rectangle 1004">
            <a:extLst>
              <a:ext uri="{FF2B5EF4-FFF2-40B4-BE49-F238E27FC236}">
                <a16:creationId xmlns:a16="http://schemas.microsoft.com/office/drawing/2014/main" id="{35EEA71F-3AA9-F21B-905D-E3CC562FCA3F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2" name="Rectangle 1005">
            <a:extLst>
              <a:ext uri="{FF2B5EF4-FFF2-40B4-BE49-F238E27FC236}">
                <a16:creationId xmlns:a16="http://schemas.microsoft.com/office/drawing/2014/main" id="{DB4EC104-C7DA-B92F-6411-D993F18F916F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3" name="Rectangle 1006">
            <a:extLst>
              <a:ext uri="{FF2B5EF4-FFF2-40B4-BE49-F238E27FC236}">
                <a16:creationId xmlns:a16="http://schemas.microsoft.com/office/drawing/2014/main" id="{5A39D86E-8EEF-F5AB-090F-08D59BD0507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4" name="Rectangle 1007">
            <a:extLst>
              <a:ext uri="{FF2B5EF4-FFF2-40B4-BE49-F238E27FC236}">
                <a16:creationId xmlns:a16="http://schemas.microsoft.com/office/drawing/2014/main" id="{B37A6C71-266D-CCD3-FEEC-9EEBC356FF0F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75" name="Oval 1008">
            <a:extLst>
              <a:ext uri="{FF2B5EF4-FFF2-40B4-BE49-F238E27FC236}">
                <a16:creationId xmlns:a16="http://schemas.microsoft.com/office/drawing/2014/main" id="{35E6B6A5-AA01-D0D8-4514-743979D2C099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76" name="Oval 1009">
            <a:extLst>
              <a:ext uri="{FF2B5EF4-FFF2-40B4-BE49-F238E27FC236}">
                <a16:creationId xmlns:a16="http://schemas.microsoft.com/office/drawing/2014/main" id="{3D881157-B566-6191-B774-F4FC1509E24D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77" name="AutoShape 1010">
            <a:extLst>
              <a:ext uri="{FF2B5EF4-FFF2-40B4-BE49-F238E27FC236}">
                <a16:creationId xmlns:a16="http://schemas.microsoft.com/office/drawing/2014/main" id="{47ABF48B-7586-53A0-B23F-67FF36152EA6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78" name="Group 1011">
          <a:extLst>
            <a:ext uri="{FF2B5EF4-FFF2-40B4-BE49-F238E27FC236}">
              <a16:creationId xmlns:a16="http://schemas.microsoft.com/office/drawing/2014/main" id="{E4AA3209-EA76-C237-EE1C-D683F75AC765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656" name="Rectangle 1012">
            <a:extLst>
              <a:ext uri="{FF2B5EF4-FFF2-40B4-BE49-F238E27FC236}">
                <a16:creationId xmlns:a16="http://schemas.microsoft.com/office/drawing/2014/main" id="{7E0A03CC-4B23-749D-38B4-A419B9BA72FB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7" name="Rectangle 1013">
            <a:extLst>
              <a:ext uri="{FF2B5EF4-FFF2-40B4-BE49-F238E27FC236}">
                <a16:creationId xmlns:a16="http://schemas.microsoft.com/office/drawing/2014/main" id="{435E997C-B3F0-909A-385B-A331C47276A8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8" name="Rectangle 1014">
            <a:extLst>
              <a:ext uri="{FF2B5EF4-FFF2-40B4-BE49-F238E27FC236}">
                <a16:creationId xmlns:a16="http://schemas.microsoft.com/office/drawing/2014/main" id="{68762EF2-2148-4FDE-AB0F-F4AE5173D62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9" name="Rectangle 1015">
            <a:extLst>
              <a:ext uri="{FF2B5EF4-FFF2-40B4-BE49-F238E27FC236}">
                <a16:creationId xmlns:a16="http://schemas.microsoft.com/office/drawing/2014/main" id="{640E0A8F-0644-CDA3-44A9-C7515F279C2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0" name="Rectangle 1016">
            <a:extLst>
              <a:ext uri="{FF2B5EF4-FFF2-40B4-BE49-F238E27FC236}">
                <a16:creationId xmlns:a16="http://schemas.microsoft.com/office/drawing/2014/main" id="{4E1C169F-983E-3C26-6DA9-67C572948A3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1" name="Rectangle 1017">
            <a:extLst>
              <a:ext uri="{FF2B5EF4-FFF2-40B4-BE49-F238E27FC236}">
                <a16:creationId xmlns:a16="http://schemas.microsoft.com/office/drawing/2014/main" id="{EBE42885-4F7D-4178-3D3E-4BCA787D18AC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2" name="Rectangle 1018">
            <a:extLst>
              <a:ext uri="{FF2B5EF4-FFF2-40B4-BE49-F238E27FC236}">
                <a16:creationId xmlns:a16="http://schemas.microsoft.com/office/drawing/2014/main" id="{7106869E-594E-3B23-593F-FEA8A9F7184B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3" name="Rectangle 1019">
            <a:extLst>
              <a:ext uri="{FF2B5EF4-FFF2-40B4-BE49-F238E27FC236}">
                <a16:creationId xmlns:a16="http://schemas.microsoft.com/office/drawing/2014/main" id="{027C1B24-BDA7-4C88-F768-8C92E298E2DD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4" name="Oval 1020">
            <a:extLst>
              <a:ext uri="{FF2B5EF4-FFF2-40B4-BE49-F238E27FC236}">
                <a16:creationId xmlns:a16="http://schemas.microsoft.com/office/drawing/2014/main" id="{3DAF40F0-77D7-0361-56C5-B3DB2B9ED9D7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65" name="Oval 1021">
            <a:extLst>
              <a:ext uri="{FF2B5EF4-FFF2-40B4-BE49-F238E27FC236}">
                <a16:creationId xmlns:a16="http://schemas.microsoft.com/office/drawing/2014/main" id="{8BEE6235-128A-2B88-1FE3-DFD660E423F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66" name="Oval 1022">
            <a:extLst>
              <a:ext uri="{FF2B5EF4-FFF2-40B4-BE49-F238E27FC236}">
                <a16:creationId xmlns:a16="http://schemas.microsoft.com/office/drawing/2014/main" id="{D893D998-61C8-AE38-67F7-F82A42B7CC5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67" name="Oval 1023">
            <a:extLst>
              <a:ext uri="{FF2B5EF4-FFF2-40B4-BE49-F238E27FC236}">
                <a16:creationId xmlns:a16="http://schemas.microsoft.com/office/drawing/2014/main" id="{33DD2CD6-0C80-2CC2-74F7-95D7209D2AA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68" name="AutoShape 1024">
            <a:extLst>
              <a:ext uri="{FF2B5EF4-FFF2-40B4-BE49-F238E27FC236}">
                <a16:creationId xmlns:a16="http://schemas.microsoft.com/office/drawing/2014/main" id="{86A08B32-825D-170C-D2FC-1840FBCF26C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69" name="AutoShape 1025">
            <a:extLst>
              <a:ext uri="{FF2B5EF4-FFF2-40B4-BE49-F238E27FC236}">
                <a16:creationId xmlns:a16="http://schemas.microsoft.com/office/drawing/2014/main" id="{62F808AA-873B-8FA8-BEFF-1A5FD15CF792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79" name="Group 1026">
          <a:extLst>
            <a:ext uri="{FF2B5EF4-FFF2-40B4-BE49-F238E27FC236}">
              <a16:creationId xmlns:a16="http://schemas.microsoft.com/office/drawing/2014/main" id="{E369AA5A-3435-F078-00B2-5CF9E0F70620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642" name="Rectangle 1027">
            <a:extLst>
              <a:ext uri="{FF2B5EF4-FFF2-40B4-BE49-F238E27FC236}">
                <a16:creationId xmlns:a16="http://schemas.microsoft.com/office/drawing/2014/main" id="{E12F35CF-AA71-CF3F-3450-506D0D15DC8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3" name="Rectangle 1028">
            <a:extLst>
              <a:ext uri="{FF2B5EF4-FFF2-40B4-BE49-F238E27FC236}">
                <a16:creationId xmlns:a16="http://schemas.microsoft.com/office/drawing/2014/main" id="{B51D4FFB-F960-67CA-49BE-8ACF0833AFE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4" name="Rectangle 1029">
            <a:extLst>
              <a:ext uri="{FF2B5EF4-FFF2-40B4-BE49-F238E27FC236}">
                <a16:creationId xmlns:a16="http://schemas.microsoft.com/office/drawing/2014/main" id="{FB3A72E1-05F1-EF73-35BB-9B0873E9D13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5" name="Rectangle 1030">
            <a:extLst>
              <a:ext uri="{FF2B5EF4-FFF2-40B4-BE49-F238E27FC236}">
                <a16:creationId xmlns:a16="http://schemas.microsoft.com/office/drawing/2014/main" id="{19AFDDC5-139B-036E-5658-1D2B005E2EC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6" name="Rectangle 1031">
            <a:extLst>
              <a:ext uri="{FF2B5EF4-FFF2-40B4-BE49-F238E27FC236}">
                <a16:creationId xmlns:a16="http://schemas.microsoft.com/office/drawing/2014/main" id="{19E96679-532D-1B5D-03D9-D5EB13D678F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7" name="Rectangle 1032">
            <a:extLst>
              <a:ext uri="{FF2B5EF4-FFF2-40B4-BE49-F238E27FC236}">
                <a16:creationId xmlns:a16="http://schemas.microsoft.com/office/drawing/2014/main" id="{86F5C9E4-3AEE-F954-CE11-B42D2768D4A9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8" name="Rectangle 1033">
            <a:extLst>
              <a:ext uri="{FF2B5EF4-FFF2-40B4-BE49-F238E27FC236}">
                <a16:creationId xmlns:a16="http://schemas.microsoft.com/office/drawing/2014/main" id="{89449723-30B4-A091-248D-E3DD2C64D4F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9" name="Rectangle 1034">
            <a:extLst>
              <a:ext uri="{FF2B5EF4-FFF2-40B4-BE49-F238E27FC236}">
                <a16:creationId xmlns:a16="http://schemas.microsoft.com/office/drawing/2014/main" id="{9AFBCEC0-74A3-EABC-6852-D396E7B26228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0" name="Oval 1035">
            <a:extLst>
              <a:ext uri="{FF2B5EF4-FFF2-40B4-BE49-F238E27FC236}">
                <a16:creationId xmlns:a16="http://schemas.microsoft.com/office/drawing/2014/main" id="{D3BC5B26-CAB5-2DE5-C5EB-3E071B40DC52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51" name="Oval 1036">
            <a:extLst>
              <a:ext uri="{FF2B5EF4-FFF2-40B4-BE49-F238E27FC236}">
                <a16:creationId xmlns:a16="http://schemas.microsoft.com/office/drawing/2014/main" id="{B544AA59-969E-557A-15D4-EDF2298CB7B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52" name="Oval 1037">
            <a:extLst>
              <a:ext uri="{FF2B5EF4-FFF2-40B4-BE49-F238E27FC236}">
                <a16:creationId xmlns:a16="http://schemas.microsoft.com/office/drawing/2014/main" id="{7E068788-04CF-B609-6909-1A6468BBE5E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53" name="Oval 1038">
            <a:extLst>
              <a:ext uri="{FF2B5EF4-FFF2-40B4-BE49-F238E27FC236}">
                <a16:creationId xmlns:a16="http://schemas.microsoft.com/office/drawing/2014/main" id="{30C492E8-99EF-7D77-3716-CEEC26DE509F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54" name="AutoShape 1039">
            <a:extLst>
              <a:ext uri="{FF2B5EF4-FFF2-40B4-BE49-F238E27FC236}">
                <a16:creationId xmlns:a16="http://schemas.microsoft.com/office/drawing/2014/main" id="{51224769-FE9E-E85C-9286-C1C47FFB7CB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55" name="AutoShape 1040">
            <a:extLst>
              <a:ext uri="{FF2B5EF4-FFF2-40B4-BE49-F238E27FC236}">
                <a16:creationId xmlns:a16="http://schemas.microsoft.com/office/drawing/2014/main" id="{EF375B69-BF5D-FDC6-EDE5-3B252604EAB2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80" name="Group 1041">
          <a:extLst>
            <a:ext uri="{FF2B5EF4-FFF2-40B4-BE49-F238E27FC236}">
              <a16:creationId xmlns:a16="http://schemas.microsoft.com/office/drawing/2014/main" id="{FD2BCABC-2CB1-D9ED-692E-158E973DA1FE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628" name="Rectangle 1042">
            <a:extLst>
              <a:ext uri="{FF2B5EF4-FFF2-40B4-BE49-F238E27FC236}">
                <a16:creationId xmlns:a16="http://schemas.microsoft.com/office/drawing/2014/main" id="{38B18AA9-81D4-EC54-DCD7-3133BC0A23B6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9" name="Rectangle 1043">
            <a:extLst>
              <a:ext uri="{FF2B5EF4-FFF2-40B4-BE49-F238E27FC236}">
                <a16:creationId xmlns:a16="http://schemas.microsoft.com/office/drawing/2014/main" id="{3A9535CB-4401-0E09-73C2-A1989DDEF993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0" name="Rectangle 1044">
            <a:extLst>
              <a:ext uri="{FF2B5EF4-FFF2-40B4-BE49-F238E27FC236}">
                <a16:creationId xmlns:a16="http://schemas.microsoft.com/office/drawing/2014/main" id="{9880E736-6875-80C4-A273-0B7C29CF1B2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1" name="Rectangle 1045">
            <a:extLst>
              <a:ext uri="{FF2B5EF4-FFF2-40B4-BE49-F238E27FC236}">
                <a16:creationId xmlns:a16="http://schemas.microsoft.com/office/drawing/2014/main" id="{155893F8-30BB-F934-CB34-41A5F8936F1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2" name="Rectangle 1046">
            <a:extLst>
              <a:ext uri="{FF2B5EF4-FFF2-40B4-BE49-F238E27FC236}">
                <a16:creationId xmlns:a16="http://schemas.microsoft.com/office/drawing/2014/main" id="{DC6AA9DD-F81E-92F8-350B-7BFA210C1E0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3" name="Rectangle 1047">
            <a:extLst>
              <a:ext uri="{FF2B5EF4-FFF2-40B4-BE49-F238E27FC236}">
                <a16:creationId xmlns:a16="http://schemas.microsoft.com/office/drawing/2014/main" id="{559AB611-200B-79CE-CFFC-F44CCBD90E81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4" name="Rectangle 1048">
            <a:extLst>
              <a:ext uri="{FF2B5EF4-FFF2-40B4-BE49-F238E27FC236}">
                <a16:creationId xmlns:a16="http://schemas.microsoft.com/office/drawing/2014/main" id="{5BB38DD4-C4AF-0944-EB16-E388D1236C2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5" name="Rectangle 1049">
            <a:extLst>
              <a:ext uri="{FF2B5EF4-FFF2-40B4-BE49-F238E27FC236}">
                <a16:creationId xmlns:a16="http://schemas.microsoft.com/office/drawing/2014/main" id="{115A1CF5-9804-ECAF-29BF-8859F6C03B2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36" name="Oval 1050">
            <a:extLst>
              <a:ext uri="{FF2B5EF4-FFF2-40B4-BE49-F238E27FC236}">
                <a16:creationId xmlns:a16="http://schemas.microsoft.com/office/drawing/2014/main" id="{5F466B0B-D39D-F22D-249C-4576459C6CFE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37" name="Oval 1051">
            <a:extLst>
              <a:ext uri="{FF2B5EF4-FFF2-40B4-BE49-F238E27FC236}">
                <a16:creationId xmlns:a16="http://schemas.microsoft.com/office/drawing/2014/main" id="{87AB0CCA-9636-0BEB-97B2-5F0C3C2DD09F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38" name="Oval 1052">
            <a:extLst>
              <a:ext uri="{FF2B5EF4-FFF2-40B4-BE49-F238E27FC236}">
                <a16:creationId xmlns:a16="http://schemas.microsoft.com/office/drawing/2014/main" id="{56078855-F75F-7B4E-CA25-72986D463F8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39" name="Oval 1053">
            <a:extLst>
              <a:ext uri="{FF2B5EF4-FFF2-40B4-BE49-F238E27FC236}">
                <a16:creationId xmlns:a16="http://schemas.microsoft.com/office/drawing/2014/main" id="{7A250E7B-E5B8-36C9-1B82-82CACF60B9B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40" name="AutoShape 1054">
            <a:extLst>
              <a:ext uri="{FF2B5EF4-FFF2-40B4-BE49-F238E27FC236}">
                <a16:creationId xmlns:a16="http://schemas.microsoft.com/office/drawing/2014/main" id="{209FD2C7-FB7D-7007-D37F-E309909F45B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41" name="AutoShape 1055">
            <a:extLst>
              <a:ext uri="{FF2B5EF4-FFF2-40B4-BE49-F238E27FC236}">
                <a16:creationId xmlns:a16="http://schemas.microsoft.com/office/drawing/2014/main" id="{04D848B1-7DF7-1D3D-75C4-64B56BD5A0D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81" name="Group 1056">
          <a:extLst>
            <a:ext uri="{FF2B5EF4-FFF2-40B4-BE49-F238E27FC236}">
              <a16:creationId xmlns:a16="http://schemas.microsoft.com/office/drawing/2014/main" id="{36DFE1AA-B6BD-EF27-47A9-0107D59FD7DF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614" name="Rectangle 1057">
            <a:extLst>
              <a:ext uri="{FF2B5EF4-FFF2-40B4-BE49-F238E27FC236}">
                <a16:creationId xmlns:a16="http://schemas.microsoft.com/office/drawing/2014/main" id="{56E00FA6-ACE4-0C73-6C4E-B77E5BD7DC0F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5" name="Rectangle 1058">
            <a:extLst>
              <a:ext uri="{FF2B5EF4-FFF2-40B4-BE49-F238E27FC236}">
                <a16:creationId xmlns:a16="http://schemas.microsoft.com/office/drawing/2014/main" id="{9840B851-5900-28E9-96E6-5C2DB2B40505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6" name="Rectangle 1059">
            <a:extLst>
              <a:ext uri="{FF2B5EF4-FFF2-40B4-BE49-F238E27FC236}">
                <a16:creationId xmlns:a16="http://schemas.microsoft.com/office/drawing/2014/main" id="{93511CDC-4E68-4185-552F-6559A78AB65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7" name="Rectangle 1060">
            <a:extLst>
              <a:ext uri="{FF2B5EF4-FFF2-40B4-BE49-F238E27FC236}">
                <a16:creationId xmlns:a16="http://schemas.microsoft.com/office/drawing/2014/main" id="{3595B98C-D349-C1E2-ED12-16E3DD5C08A7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8" name="Rectangle 1061">
            <a:extLst>
              <a:ext uri="{FF2B5EF4-FFF2-40B4-BE49-F238E27FC236}">
                <a16:creationId xmlns:a16="http://schemas.microsoft.com/office/drawing/2014/main" id="{34011FDE-9EFE-EC4A-B88B-11BF0FCF591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9" name="Rectangle 1062">
            <a:extLst>
              <a:ext uri="{FF2B5EF4-FFF2-40B4-BE49-F238E27FC236}">
                <a16:creationId xmlns:a16="http://schemas.microsoft.com/office/drawing/2014/main" id="{56561A0D-27CC-13A4-DA33-5B4E0400B66D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0" name="Rectangle 1063">
            <a:extLst>
              <a:ext uri="{FF2B5EF4-FFF2-40B4-BE49-F238E27FC236}">
                <a16:creationId xmlns:a16="http://schemas.microsoft.com/office/drawing/2014/main" id="{8B1E720F-8AA4-1825-916A-DB4A087C2DE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1" name="Rectangle 1064">
            <a:extLst>
              <a:ext uri="{FF2B5EF4-FFF2-40B4-BE49-F238E27FC236}">
                <a16:creationId xmlns:a16="http://schemas.microsoft.com/office/drawing/2014/main" id="{7EB304A3-D25C-D45C-550B-03668E9C716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2" name="Oval 1065">
            <a:extLst>
              <a:ext uri="{FF2B5EF4-FFF2-40B4-BE49-F238E27FC236}">
                <a16:creationId xmlns:a16="http://schemas.microsoft.com/office/drawing/2014/main" id="{A1381F42-DF75-C276-7A98-56CE491DC9DB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23" name="Oval 1066">
            <a:extLst>
              <a:ext uri="{FF2B5EF4-FFF2-40B4-BE49-F238E27FC236}">
                <a16:creationId xmlns:a16="http://schemas.microsoft.com/office/drawing/2014/main" id="{D5C4BA2A-9A90-BBDA-2D55-F6B183D2033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24" name="Oval 1067">
            <a:extLst>
              <a:ext uri="{FF2B5EF4-FFF2-40B4-BE49-F238E27FC236}">
                <a16:creationId xmlns:a16="http://schemas.microsoft.com/office/drawing/2014/main" id="{FEEF9322-3AA5-1C74-54FA-563735474046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25" name="Oval 1068">
            <a:extLst>
              <a:ext uri="{FF2B5EF4-FFF2-40B4-BE49-F238E27FC236}">
                <a16:creationId xmlns:a16="http://schemas.microsoft.com/office/drawing/2014/main" id="{655558B3-D7BB-CAF8-BED9-072471F3E3AA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26" name="AutoShape 1069">
            <a:extLst>
              <a:ext uri="{FF2B5EF4-FFF2-40B4-BE49-F238E27FC236}">
                <a16:creationId xmlns:a16="http://schemas.microsoft.com/office/drawing/2014/main" id="{A95A3ACA-3062-9E18-C34F-96BCDF5830F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27" name="AutoShape 1070">
            <a:extLst>
              <a:ext uri="{FF2B5EF4-FFF2-40B4-BE49-F238E27FC236}">
                <a16:creationId xmlns:a16="http://schemas.microsoft.com/office/drawing/2014/main" id="{B73603A5-A1BF-662A-D57D-44B4123D56D9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82" name="Group 1071">
          <a:extLst>
            <a:ext uri="{FF2B5EF4-FFF2-40B4-BE49-F238E27FC236}">
              <a16:creationId xmlns:a16="http://schemas.microsoft.com/office/drawing/2014/main" id="{9DC23A4C-E43B-173D-37BE-6C16AC9E6F25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600" name="Rectangle 1072">
            <a:extLst>
              <a:ext uri="{FF2B5EF4-FFF2-40B4-BE49-F238E27FC236}">
                <a16:creationId xmlns:a16="http://schemas.microsoft.com/office/drawing/2014/main" id="{C97CFCF4-8F82-CA17-C0F7-2E365E1F16A3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1" name="Rectangle 1073">
            <a:extLst>
              <a:ext uri="{FF2B5EF4-FFF2-40B4-BE49-F238E27FC236}">
                <a16:creationId xmlns:a16="http://schemas.microsoft.com/office/drawing/2014/main" id="{C7B426FF-2A06-4093-633B-6A5660A1CAFF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2" name="Rectangle 1074">
            <a:extLst>
              <a:ext uri="{FF2B5EF4-FFF2-40B4-BE49-F238E27FC236}">
                <a16:creationId xmlns:a16="http://schemas.microsoft.com/office/drawing/2014/main" id="{C9ED61BD-CF9A-3172-5052-AF6D7EEF4D9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3" name="Rectangle 1075">
            <a:extLst>
              <a:ext uri="{FF2B5EF4-FFF2-40B4-BE49-F238E27FC236}">
                <a16:creationId xmlns:a16="http://schemas.microsoft.com/office/drawing/2014/main" id="{412E644D-31B9-81D1-5843-86F9D0914F1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4" name="Rectangle 1076">
            <a:extLst>
              <a:ext uri="{FF2B5EF4-FFF2-40B4-BE49-F238E27FC236}">
                <a16:creationId xmlns:a16="http://schemas.microsoft.com/office/drawing/2014/main" id="{DAEB5967-97E6-E94F-C560-37A71E104DF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5" name="Rectangle 1077">
            <a:extLst>
              <a:ext uri="{FF2B5EF4-FFF2-40B4-BE49-F238E27FC236}">
                <a16:creationId xmlns:a16="http://schemas.microsoft.com/office/drawing/2014/main" id="{53F66439-3706-875D-E156-D15D66F20B5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6" name="Rectangle 1078">
            <a:extLst>
              <a:ext uri="{FF2B5EF4-FFF2-40B4-BE49-F238E27FC236}">
                <a16:creationId xmlns:a16="http://schemas.microsoft.com/office/drawing/2014/main" id="{AB3CF7D3-DD0D-C748-13C2-32829B8ACA7A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7" name="Rectangle 1079">
            <a:extLst>
              <a:ext uri="{FF2B5EF4-FFF2-40B4-BE49-F238E27FC236}">
                <a16:creationId xmlns:a16="http://schemas.microsoft.com/office/drawing/2014/main" id="{E514CE28-FC7F-AEEA-12B4-64511B30CB30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08" name="Oval 1080">
            <a:extLst>
              <a:ext uri="{FF2B5EF4-FFF2-40B4-BE49-F238E27FC236}">
                <a16:creationId xmlns:a16="http://schemas.microsoft.com/office/drawing/2014/main" id="{8F5BC1F3-F9E1-81BC-C5C7-91A7E8215DB8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09" name="Oval 1081">
            <a:extLst>
              <a:ext uri="{FF2B5EF4-FFF2-40B4-BE49-F238E27FC236}">
                <a16:creationId xmlns:a16="http://schemas.microsoft.com/office/drawing/2014/main" id="{79280524-415A-5351-517F-D417227B9B0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10" name="Oval 1082">
            <a:extLst>
              <a:ext uri="{FF2B5EF4-FFF2-40B4-BE49-F238E27FC236}">
                <a16:creationId xmlns:a16="http://schemas.microsoft.com/office/drawing/2014/main" id="{F31571CB-DD62-F9B0-0EBF-AA2804863605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11" name="Oval 1083">
            <a:extLst>
              <a:ext uri="{FF2B5EF4-FFF2-40B4-BE49-F238E27FC236}">
                <a16:creationId xmlns:a16="http://schemas.microsoft.com/office/drawing/2014/main" id="{8842DF53-1A84-C692-7C62-04470F8B229B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612" name="AutoShape 1084">
            <a:extLst>
              <a:ext uri="{FF2B5EF4-FFF2-40B4-BE49-F238E27FC236}">
                <a16:creationId xmlns:a16="http://schemas.microsoft.com/office/drawing/2014/main" id="{12A6DB87-C400-BBAF-D7CC-70C4FBEE0F8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613" name="AutoShape 1085">
            <a:extLst>
              <a:ext uri="{FF2B5EF4-FFF2-40B4-BE49-F238E27FC236}">
                <a16:creationId xmlns:a16="http://schemas.microsoft.com/office/drawing/2014/main" id="{6C8E15FE-0059-C6B3-6547-487EE3215274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28383" name="Group 1086">
          <a:extLst>
            <a:ext uri="{FF2B5EF4-FFF2-40B4-BE49-F238E27FC236}">
              <a16:creationId xmlns:a16="http://schemas.microsoft.com/office/drawing/2014/main" id="{3626736F-4785-4AAE-0F14-AEF7D12D75AB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586" name="Rectangle 1087">
            <a:extLst>
              <a:ext uri="{FF2B5EF4-FFF2-40B4-BE49-F238E27FC236}">
                <a16:creationId xmlns:a16="http://schemas.microsoft.com/office/drawing/2014/main" id="{0401EEB1-C31A-4FED-D2BE-E3313577D93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7" name="Rectangle 1088">
            <a:extLst>
              <a:ext uri="{FF2B5EF4-FFF2-40B4-BE49-F238E27FC236}">
                <a16:creationId xmlns:a16="http://schemas.microsoft.com/office/drawing/2014/main" id="{BAE15E9D-073D-9E5E-0FC3-3E4214CF4CDE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8" name="Rectangle 1089">
            <a:extLst>
              <a:ext uri="{FF2B5EF4-FFF2-40B4-BE49-F238E27FC236}">
                <a16:creationId xmlns:a16="http://schemas.microsoft.com/office/drawing/2014/main" id="{B4A2F425-EC40-98DB-7078-2B18204B44F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9" name="Rectangle 1090">
            <a:extLst>
              <a:ext uri="{FF2B5EF4-FFF2-40B4-BE49-F238E27FC236}">
                <a16:creationId xmlns:a16="http://schemas.microsoft.com/office/drawing/2014/main" id="{D49A2CDD-7939-FB5E-74FD-2FE0A29335E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0" name="Rectangle 1091">
            <a:extLst>
              <a:ext uri="{FF2B5EF4-FFF2-40B4-BE49-F238E27FC236}">
                <a16:creationId xmlns:a16="http://schemas.microsoft.com/office/drawing/2014/main" id="{931EE293-8494-509D-71F0-1FADA6CA42E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1" name="Rectangle 1092">
            <a:extLst>
              <a:ext uri="{FF2B5EF4-FFF2-40B4-BE49-F238E27FC236}">
                <a16:creationId xmlns:a16="http://schemas.microsoft.com/office/drawing/2014/main" id="{875A3487-7C75-B045-9A80-2CEB5486F4E4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2" name="Rectangle 1093">
            <a:extLst>
              <a:ext uri="{FF2B5EF4-FFF2-40B4-BE49-F238E27FC236}">
                <a16:creationId xmlns:a16="http://schemas.microsoft.com/office/drawing/2014/main" id="{13421F33-918F-D57D-CE8F-55D52FC6712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3" name="Rectangle 1094">
            <a:extLst>
              <a:ext uri="{FF2B5EF4-FFF2-40B4-BE49-F238E27FC236}">
                <a16:creationId xmlns:a16="http://schemas.microsoft.com/office/drawing/2014/main" id="{E1E610E0-4441-D449-1325-230BCA1724A6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4" name="Oval 1095">
            <a:extLst>
              <a:ext uri="{FF2B5EF4-FFF2-40B4-BE49-F238E27FC236}">
                <a16:creationId xmlns:a16="http://schemas.microsoft.com/office/drawing/2014/main" id="{0B0C47E1-52EB-1D55-14F8-FAF7DDD5F4F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95" name="Oval 1096">
            <a:extLst>
              <a:ext uri="{FF2B5EF4-FFF2-40B4-BE49-F238E27FC236}">
                <a16:creationId xmlns:a16="http://schemas.microsoft.com/office/drawing/2014/main" id="{5E8ADDA3-9632-3F0F-8907-FF27CE62677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96" name="Oval 1097">
            <a:extLst>
              <a:ext uri="{FF2B5EF4-FFF2-40B4-BE49-F238E27FC236}">
                <a16:creationId xmlns:a16="http://schemas.microsoft.com/office/drawing/2014/main" id="{A294F3E3-7A4D-173F-46F8-288EB349371E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97" name="Oval 1098">
            <a:extLst>
              <a:ext uri="{FF2B5EF4-FFF2-40B4-BE49-F238E27FC236}">
                <a16:creationId xmlns:a16="http://schemas.microsoft.com/office/drawing/2014/main" id="{71BE093E-C96B-6C3A-33D6-1B5277B596F6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98" name="AutoShape 1099">
            <a:extLst>
              <a:ext uri="{FF2B5EF4-FFF2-40B4-BE49-F238E27FC236}">
                <a16:creationId xmlns:a16="http://schemas.microsoft.com/office/drawing/2014/main" id="{0351C712-22C6-BBAC-1DCA-B7349669FB6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99" name="AutoShape 1100">
            <a:extLst>
              <a:ext uri="{FF2B5EF4-FFF2-40B4-BE49-F238E27FC236}">
                <a16:creationId xmlns:a16="http://schemas.microsoft.com/office/drawing/2014/main" id="{36288491-2073-06CE-4AFB-36CA9E1328B6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32480" name="Group 1101">
          <a:extLst>
            <a:ext uri="{FF2B5EF4-FFF2-40B4-BE49-F238E27FC236}">
              <a16:creationId xmlns:a16="http://schemas.microsoft.com/office/drawing/2014/main" id="{218BD009-E576-F42B-022B-12AEB8D4DB8F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572" name="Rectangle 1102">
            <a:extLst>
              <a:ext uri="{FF2B5EF4-FFF2-40B4-BE49-F238E27FC236}">
                <a16:creationId xmlns:a16="http://schemas.microsoft.com/office/drawing/2014/main" id="{4E14C1D1-A25B-50C4-9169-AF5770D45994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3" name="Rectangle 1103">
            <a:extLst>
              <a:ext uri="{FF2B5EF4-FFF2-40B4-BE49-F238E27FC236}">
                <a16:creationId xmlns:a16="http://schemas.microsoft.com/office/drawing/2014/main" id="{7B80D634-ACC1-92DC-AFF1-0B753030D6EA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4" name="Rectangle 1104">
            <a:extLst>
              <a:ext uri="{FF2B5EF4-FFF2-40B4-BE49-F238E27FC236}">
                <a16:creationId xmlns:a16="http://schemas.microsoft.com/office/drawing/2014/main" id="{D6BC8E5F-6F7E-11E7-0D4F-493A4F816F0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5" name="Rectangle 1105">
            <a:extLst>
              <a:ext uri="{FF2B5EF4-FFF2-40B4-BE49-F238E27FC236}">
                <a16:creationId xmlns:a16="http://schemas.microsoft.com/office/drawing/2014/main" id="{0476387F-8167-077E-0207-23FF593AD61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6" name="Rectangle 1106">
            <a:extLst>
              <a:ext uri="{FF2B5EF4-FFF2-40B4-BE49-F238E27FC236}">
                <a16:creationId xmlns:a16="http://schemas.microsoft.com/office/drawing/2014/main" id="{C123D66D-4E8A-376A-46D2-0AE50E28E0E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7" name="Rectangle 1107">
            <a:extLst>
              <a:ext uri="{FF2B5EF4-FFF2-40B4-BE49-F238E27FC236}">
                <a16:creationId xmlns:a16="http://schemas.microsoft.com/office/drawing/2014/main" id="{D029A91C-2620-E220-CA5E-788A2B906040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8" name="Rectangle 1108">
            <a:extLst>
              <a:ext uri="{FF2B5EF4-FFF2-40B4-BE49-F238E27FC236}">
                <a16:creationId xmlns:a16="http://schemas.microsoft.com/office/drawing/2014/main" id="{FBCD3CFA-F8F5-193F-B457-AD568626587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9" name="Rectangle 1109">
            <a:extLst>
              <a:ext uri="{FF2B5EF4-FFF2-40B4-BE49-F238E27FC236}">
                <a16:creationId xmlns:a16="http://schemas.microsoft.com/office/drawing/2014/main" id="{093B3C9F-D71A-9A2D-6F6A-8A548D057306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0" name="Oval 1110">
            <a:extLst>
              <a:ext uri="{FF2B5EF4-FFF2-40B4-BE49-F238E27FC236}">
                <a16:creationId xmlns:a16="http://schemas.microsoft.com/office/drawing/2014/main" id="{4F07DF45-4D8C-132A-AE51-34CF6A2972C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81" name="Oval 1111">
            <a:extLst>
              <a:ext uri="{FF2B5EF4-FFF2-40B4-BE49-F238E27FC236}">
                <a16:creationId xmlns:a16="http://schemas.microsoft.com/office/drawing/2014/main" id="{E574A170-9F2D-3DFD-CE59-35B6C4F851E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82" name="Oval 1112">
            <a:extLst>
              <a:ext uri="{FF2B5EF4-FFF2-40B4-BE49-F238E27FC236}">
                <a16:creationId xmlns:a16="http://schemas.microsoft.com/office/drawing/2014/main" id="{73F2FAB5-BB62-3EE2-99DC-CBEC5E3E8078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83" name="Oval 1113">
            <a:extLst>
              <a:ext uri="{FF2B5EF4-FFF2-40B4-BE49-F238E27FC236}">
                <a16:creationId xmlns:a16="http://schemas.microsoft.com/office/drawing/2014/main" id="{BFCEF9F7-2260-B19A-7FFE-65EDF17AADF4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84" name="AutoShape 1114">
            <a:extLst>
              <a:ext uri="{FF2B5EF4-FFF2-40B4-BE49-F238E27FC236}">
                <a16:creationId xmlns:a16="http://schemas.microsoft.com/office/drawing/2014/main" id="{16CE9C1F-A4E7-16FD-B0FD-A624C1670A42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85" name="AutoShape 1115">
            <a:extLst>
              <a:ext uri="{FF2B5EF4-FFF2-40B4-BE49-F238E27FC236}">
                <a16:creationId xmlns:a16="http://schemas.microsoft.com/office/drawing/2014/main" id="{DC3EF2F7-0E32-8E04-1B03-F3066F379037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32481" name="Group 1116">
          <a:extLst>
            <a:ext uri="{FF2B5EF4-FFF2-40B4-BE49-F238E27FC236}">
              <a16:creationId xmlns:a16="http://schemas.microsoft.com/office/drawing/2014/main" id="{3111901C-4D76-0B02-75A0-0829BD3F2A15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558" name="Rectangle 1117">
            <a:extLst>
              <a:ext uri="{FF2B5EF4-FFF2-40B4-BE49-F238E27FC236}">
                <a16:creationId xmlns:a16="http://schemas.microsoft.com/office/drawing/2014/main" id="{0E9BE879-9D3F-39F4-4E29-983BAE5ED999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9" name="Rectangle 1118">
            <a:extLst>
              <a:ext uri="{FF2B5EF4-FFF2-40B4-BE49-F238E27FC236}">
                <a16:creationId xmlns:a16="http://schemas.microsoft.com/office/drawing/2014/main" id="{EF0767B6-75B2-3AE9-3AF3-EE970F766D5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0" name="Rectangle 1119">
            <a:extLst>
              <a:ext uri="{FF2B5EF4-FFF2-40B4-BE49-F238E27FC236}">
                <a16:creationId xmlns:a16="http://schemas.microsoft.com/office/drawing/2014/main" id="{2F769FBE-4724-2FE1-B96A-F721B53DFB34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1" name="Rectangle 1120">
            <a:extLst>
              <a:ext uri="{FF2B5EF4-FFF2-40B4-BE49-F238E27FC236}">
                <a16:creationId xmlns:a16="http://schemas.microsoft.com/office/drawing/2014/main" id="{28FD7108-C2E6-2003-5264-C682CC1A565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2" name="Rectangle 1121">
            <a:extLst>
              <a:ext uri="{FF2B5EF4-FFF2-40B4-BE49-F238E27FC236}">
                <a16:creationId xmlns:a16="http://schemas.microsoft.com/office/drawing/2014/main" id="{671C8853-08F1-134C-0622-FF964455842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3" name="Rectangle 1122">
            <a:extLst>
              <a:ext uri="{FF2B5EF4-FFF2-40B4-BE49-F238E27FC236}">
                <a16:creationId xmlns:a16="http://schemas.microsoft.com/office/drawing/2014/main" id="{52F44E2F-2853-D072-BC51-9F0D304BAE3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4" name="Rectangle 1123">
            <a:extLst>
              <a:ext uri="{FF2B5EF4-FFF2-40B4-BE49-F238E27FC236}">
                <a16:creationId xmlns:a16="http://schemas.microsoft.com/office/drawing/2014/main" id="{44E28A89-982B-5D65-4C63-54AF9FB200A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5" name="Rectangle 1124">
            <a:extLst>
              <a:ext uri="{FF2B5EF4-FFF2-40B4-BE49-F238E27FC236}">
                <a16:creationId xmlns:a16="http://schemas.microsoft.com/office/drawing/2014/main" id="{6CA6E8DB-1CAC-090E-7456-222868F19B19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66" name="Oval 1125">
            <a:extLst>
              <a:ext uri="{FF2B5EF4-FFF2-40B4-BE49-F238E27FC236}">
                <a16:creationId xmlns:a16="http://schemas.microsoft.com/office/drawing/2014/main" id="{9243BDDA-0185-4AD8-408A-249B8EF3685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67" name="Oval 1126">
            <a:extLst>
              <a:ext uri="{FF2B5EF4-FFF2-40B4-BE49-F238E27FC236}">
                <a16:creationId xmlns:a16="http://schemas.microsoft.com/office/drawing/2014/main" id="{40FE12EE-7761-7D71-10EF-65AC4876EC6F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68" name="Oval 1127">
            <a:extLst>
              <a:ext uri="{FF2B5EF4-FFF2-40B4-BE49-F238E27FC236}">
                <a16:creationId xmlns:a16="http://schemas.microsoft.com/office/drawing/2014/main" id="{D38BCA05-A929-D444-D089-8E65965E45AF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69" name="Oval 1128">
            <a:extLst>
              <a:ext uri="{FF2B5EF4-FFF2-40B4-BE49-F238E27FC236}">
                <a16:creationId xmlns:a16="http://schemas.microsoft.com/office/drawing/2014/main" id="{CD230C4D-30F9-3838-A229-533C0D9B1CFC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70" name="AutoShape 1129">
            <a:extLst>
              <a:ext uri="{FF2B5EF4-FFF2-40B4-BE49-F238E27FC236}">
                <a16:creationId xmlns:a16="http://schemas.microsoft.com/office/drawing/2014/main" id="{37D50DED-64D3-FB2D-5BF1-E9A8008A26F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71" name="AutoShape 1130">
            <a:extLst>
              <a:ext uri="{FF2B5EF4-FFF2-40B4-BE49-F238E27FC236}">
                <a16:creationId xmlns:a16="http://schemas.microsoft.com/office/drawing/2014/main" id="{1C0A78B1-B132-915B-130F-4058AB5FA95D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32482" name="Group 1131">
          <a:extLst>
            <a:ext uri="{FF2B5EF4-FFF2-40B4-BE49-F238E27FC236}">
              <a16:creationId xmlns:a16="http://schemas.microsoft.com/office/drawing/2014/main" id="{61831864-19FA-2262-C5A8-938ACB19796F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544" name="Rectangle 1132">
            <a:extLst>
              <a:ext uri="{FF2B5EF4-FFF2-40B4-BE49-F238E27FC236}">
                <a16:creationId xmlns:a16="http://schemas.microsoft.com/office/drawing/2014/main" id="{20AEEEB7-287A-5BB2-E93B-BC50C5528915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5" name="Rectangle 1133">
            <a:extLst>
              <a:ext uri="{FF2B5EF4-FFF2-40B4-BE49-F238E27FC236}">
                <a16:creationId xmlns:a16="http://schemas.microsoft.com/office/drawing/2014/main" id="{C5218D2C-2012-8C1B-20C6-82888C6FDD82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6" name="Rectangle 1134">
            <a:extLst>
              <a:ext uri="{FF2B5EF4-FFF2-40B4-BE49-F238E27FC236}">
                <a16:creationId xmlns:a16="http://schemas.microsoft.com/office/drawing/2014/main" id="{020304BC-D002-57C7-70D6-5A538CC9647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7" name="Rectangle 1135">
            <a:extLst>
              <a:ext uri="{FF2B5EF4-FFF2-40B4-BE49-F238E27FC236}">
                <a16:creationId xmlns:a16="http://schemas.microsoft.com/office/drawing/2014/main" id="{4D60E381-67FE-9674-BD2E-8CE398806CD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8" name="Rectangle 1136">
            <a:extLst>
              <a:ext uri="{FF2B5EF4-FFF2-40B4-BE49-F238E27FC236}">
                <a16:creationId xmlns:a16="http://schemas.microsoft.com/office/drawing/2014/main" id="{53DFDB90-80C0-44A1-2ED8-5D48699C8B5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9" name="Rectangle 1137">
            <a:extLst>
              <a:ext uri="{FF2B5EF4-FFF2-40B4-BE49-F238E27FC236}">
                <a16:creationId xmlns:a16="http://schemas.microsoft.com/office/drawing/2014/main" id="{7C8CA2F1-984B-23DE-4725-EC0BECBE5DCB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0" name="Rectangle 1138">
            <a:extLst>
              <a:ext uri="{FF2B5EF4-FFF2-40B4-BE49-F238E27FC236}">
                <a16:creationId xmlns:a16="http://schemas.microsoft.com/office/drawing/2014/main" id="{8FB63126-9AAA-2DB2-F005-474C479BA35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1" name="Rectangle 1139">
            <a:extLst>
              <a:ext uri="{FF2B5EF4-FFF2-40B4-BE49-F238E27FC236}">
                <a16:creationId xmlns:a16="http://schemas.microsoft.com/office/drawing/2014/main" id="{FCED21FF-FAE2-8675-83B8-ACC5C4973A7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2" name="Oval 1140">
            <a:extLst>
              <a:ext uri="{FF2B5EF4-FFF2-40B4-BE49-F238E27FC236}">
                <a16:creationId xmlns:a16="http://schemas.microsoft.com/office/drawing/2014/main" id="{918E9030-0D5F-D8E2-0267-786A0DC8F70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53" name="Oval 1141">
            <a:extLst>
              <a:ext uri="{FF2B5EF4-FFF2-40B4-BE49-F238E27FC236}">
                <a16:creationId xmlns:a16="http://schemas.microsoft.com/office/drawing/2014/main" id="{BE531081-9E3E-DD55-CB53-F5895C0E292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54" name="Oval 1142">
            <a:extLst>
              <a:ext uri="{FF2B5EF4-FFF2-40B4-BE49-F238E27FC236}">
                <a16:creationId xmlns:a16="http://schemas.microsoft.com/office/drawing/2014/main" id="{945424A2-91E2-44D6-E768-C70AE4AE47A3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55" name="Oval 1143">
            <a:extLst>
              <a:ext uri="{FF2B5EF4-FFF2-40B4-BE49-F238E27FC236}">
                <a16:creationId xmlns:a16="http://schemas.microsoft.com/office/drawing/2014/main" id="{5870AD91-BFA6-3005-D6B0-D77D294E8D76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56" name="AutoShape 1144">
            <a:extLst>
              <a:ext uri="{FF2B5EF4-FFF2-40B4-BE49-F238E27FC236}">
                <a16:creationId xmlns:a16="http://schemas.microsoft.com/office/drawing/2014/main" id="{F0D7AF6E-65BC-07C7-E6F7-AA6B875E621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57" name="AutoShape 1145">
            <a:extLst>
              <a:ext uri="{FF2B5EF4-FFF2-40B4-BE49-F238E27FC236}">
                <a16:creationId xmlns:a16="http://schemas.microsoft.com/office/drawing/2014/main" id="{1F4C4C8D-2CC8-FCCC-5392-15D82D014432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68580</xdr:rowOff>
    </xdr:from>
    <xdr:to>
      <xdr:col>8</xdr:col>
      <xdr:colOff>0</xdr:colOff>
      <xdr:row>2</xdr:row>
      <xdr:rowOff>441960</xdr:rowOff>
    </xdr:to>
    <xdr:grpSp>
      <xdr:nvGrpSpPr>
        <xdr:cNvPr id="532483" name="Group 1146">
          <a:extLst>
            <a:ext uri="{FF2B5EF4-FFF2-40B4-BE49-F238E27FC236}">
              <a16:creationId xmlns:a16="http://schemas.microsoft.com/office/drawing/2014/main" id="{9640853C-A568-85C3-1634-AB6257CB70E5}"/>
            </a:ext>
          </a:extLst>
        </xdr:cNvPr>
        <xdr:cNvGrpSpPr>
          <a:grpSpLocks/>
        </xdr:cNvGrpSpPr>
      </xdr:nvGrpSpPr>
      <xdr:grpSpPr bwMode="auto">
        <a:xfrm>
          <a:off x="6536267" y="1194647"/>
          <a:ext cx="0" cy="373380"/>
          <a:chOff x="624" y="37"/>
          <a:chExt cx="552" cy="248"/>
        </a:xfrm>
      </xdr:grpSpPr>
      <xdr:sp macro="" textlink="">
        <xdr:nvSpPr>
          <xdr:cNvPr id="532530" name="Rectangle 1147">
            <a:extLst>
              <a:ext uri="{FF2B5EF4-FFF2-40B4-BE49-F238E27FC236}">
                <a16:creationId xmlns:a16="http://schemas.microsoft.com/office/drawing/2014/main" id="{29842C1C-8AED-6DB9-3F45-58B9276EE211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1" name="Rectangle 1148">
            <a:extLst>
              <a:ext uri="{FF2B5EF4-FFF2-40B4-BE49-F238E27FC236}">
                <a16:creationId xmlns:a16="http://schemas.microsoft.com/office/drawing/2014/main" id="{4367819A-524E-4ADC-80FD-DBF6DFA7D652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2" name="Rectangle 1149">
            <a:extLst>
              <a:ext uri="{FF2B5EF4-FFF2-40B4-BE49-F238E27FC236}">
                <a16:creationId xmlns:a16="http://schemas.microsoft.com/office/drawing/2014/main" id="{A63B3C52-EF17-6B96-34C6-D2DF8CA3630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3" name="Rectangle 1150">
            <a:extLst>
              <a:ext uri="{FF2B5EF4-FFF2-40B4-BE49-F238E27FC236}">
                <a16:creationId xmlns:a16="http://schemas.microsoft.com/office/drawing/2014/main" id="{1E690764-1809-61ED-1425-96142FF83C8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4" name="Rectangle 1151">
            <a:extLst>
              <a:ext uri="{FF2B5EF4-FFF2-40B4-BE49-F238E27FC236}">
                <a16:creationId xmlns:a16="http://schemas.microsoft.com/office/drawing/2014/main" id="{F4E5C47E-414B-6C6A-130B-A0134DF991A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5" name="Rectangle 1152">
            <a:extLst>
              <a:ext uri="{FF2B5EF4-FFF2-40B4-BE49-F238E27FC236}">
                <a16:creationId xmlns:a16="http://schemas.microsoft.com/office/drawing/2014/main" id="{61218FE2-918A-E6AF-EE0F-EAAE3524516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6" name="Rectangle 1153">
            <a:extLst>
              <a:ext uri="{FF2B5EF4-FFF2-40B4-BE49-F238E27FC236}">
                <a16:creationId xmlns:a16="http://schemas.microsoft.com/office/drawing/2014/main" id="{A0A41D96-541A-C2FB-3C34-FE49E67A9D2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7" name="Rectangle 1154">
            <a:extLst>
              <a:ext uri="{FF2B5EF4-FFF2-40B4-BE49-F238E27FC236}">
                <a16:creationId xmlns:a16="http://schemas.microsoft.com/office/drawing/2014/main" id="{DA2DBF6E-AB88-D879-3447-3CE3B384393E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38" name="Oval 1155">
            <a:extLst>
              <a:ext uri="{FF2B5EF4-FFF2-40B4-BE49-F238E27FC236}">
                <a16:creationId xmlns:a16="http://schemas.microsoft.com/office/drawing/2014/main" id="{AFE35D90-998E-D41E-67FC-2A41E8F5E039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39" name="Oval 1156">
            <a:extLst>
              <a:ext uri="{FF2B5EF4-FFF2-40B4-BE49-F238E27FC236}">
                <a16:creationId xmlns:a16="http://schemas.microsoft.com/office/drawing/2014/main" id="{D1CC60C9-8BB2-8115-FAAE-F337AB34EA2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40" name="Oval 1157">
            <a:extLst>
              <a:ext uri="{FF2B5EF4-FFF2-40B4-BE49-F238E27FC236}">
                <a16:creationId xmlns:a16="http://schemas.microsoft.com/office/drawing/2014/main" id="{27B8C224-D876-D3F4-AE05-891247DA37DB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41" name="Oval 1158">
            <a:extLst>
              <a:ext uri="{FF2B5EF4-FFF2-40B4-BE49-F238E27FC236}">
                <a16:creationId xmlns:a16="http://schemas.microsoft.com/office/drawing/2014/main" id="{5D8D526C-5923-6521-557F-989F858CDC45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42" name="AutoShape 1159">
            <a:extLst>
              <a:ext uri="{FF2B5EF4-FFF2-40B4-BE49-F238E27FC236}">
                <a16:creationId xmlns:a16="http://schemas.microsoft.com/office/drawing/2014/main" id="{A1042938-7038-9A50-6925-6656656883F9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43" name="AutoShape 1160">
            <a:extLst>
              <a:ext uri="{FF2B5EF4-FFF2-40B4-BE49-F238E27FC236}">
                <a16:creationId xmlns:a16="http://schemas.microsoft.com/office/drawing/2014/main" id="{E54C06AF-B079-CB67-E4D0-AB3516636A9C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32484" name="Group 1161">
          <a:extLst>
            <a:ext uri="{FF2B5EF4-FFF2-40B4-BE49-F238E27FC236}">
              <a16:creationId xmlns:a16="http://schemas.microsoft.com/office/drawing/2014/main" id="{1980B1AA-A970-8E22-7DF1-410D2D37D220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522" name="Rectangle 1162">
            <a:extLst>
              <a:ext uri="{FF2B5EF4-FFF2-40B4-BE49-F238E27FC236}">
                <a16:creationId xmlns:a16="http://schemas.microsoft.com/office/drawing/2014/main" id="{38D5F233-AB7D-9477-A79C-CB0F0A1F7757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3" name="Rectangle 1163">
            <a:extLst>
              <a:ext uri="{FF2B5EF4-FFF2-40B4-BE49-F238E27FC236}">
                <a16:creationId xmlns:a16="http://schemas.microsoft.com/office/drawing/2014/main" id="{05502C60-02BF-BF49-21A9-43889B87172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4" name="Rectangle 1164">
            <a:extLst>
              <a:ext uri="{FF2B5EF4-FFF2-40B4-BE49-F238E27FC236}">
                <a16:creationId xmlns:a16="http://schemas.microsoft.com/office/drawing/2014/main" id="{FCCE64A6-D691-71B2-E9BF-3128740D2A89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5" name="Rectangle 1165">
            <a:extLst>
              <a:ext uri="{FF2B5EF4-FFF2-40B4-BE49-F238E27FC236}">
                <a16:creationId xmlns:a16="http://schemas.microsoft.com/office/drawing/2014/main" id="{1543FBF5-566E-B76C-D7F9-496DA86B9D1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6" name="Rectangle 1166">
            <a:extLst>
              <a:ext uri="{FF2B5EF4-FFF2-40B4-BE49-F238E27FC236}">
                <a16:creationId xmlns:a16="http://schemas.microsoft.com/office/drawing/2014/main" id="{60629B13-554E-70CF-DFDB-D209106CF741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27" name="Oval 1167">
            <a:extLst>
              <a:ext uri="{FF2B5EF4-FFF2-40B4-BE49-F238E27FC236}">
                <a16:creationId xmlns:a16="http://schemas.microsoft.com/office/drawing/2014/main" id="{61CEE6E9-36BF-5B29-25E2-2445D3703EEB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28" name="Oval 1168">
            <a:extLst>
              <a:ext uri="{FF2B5EF4-FFF2-40B4-BE49-F238E27FC236}">
                <a16:creationId xmlns:a16="http://schemas.microsoft.com/office/drawing/2014/main" id="{0BA39895-7701-5560-7532-B0CBCAEA9BF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29" name="AutoShape 1169">
            <a:extLst>
              <a:ext uri="{FF2B5EF4-FFF2-40B4-BE49-F238E27FC236}">
                <a16:creationId xmlns:a16="http://schemas.microsoft.com/office/drawing/2014/main" id="{A69B7B07-E585-CE1B-D6A2-8C11354958EF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32485" name="Group 1170">
          <a:extLst>
            <a:ext uri="{FF2B5EF4-FFF2-40B4-BE49-F238E27FC236}">
              <a16:creationId xmlns:a16="http://schemas.microsoft.com/office/drawing/2014/main" id="{6FC85A5B-F6DD-D715-7020-46FA39FF77B8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514" name="Rectangle 1171">
            <a:extLst>
              <a:ext uri="{FF2B5EF4-FFF2-40B4-BE49-F238E27FC236}">
                <a16:creationId xmlns:a16="http://schemas.microsoft.com/office/drawing/2014/main" id="{D3CC6B00-6027-52D1-C982-5B83E9C505E5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5" name="Rectangle 1172">
            <a:extLst>
              <a:ext uri="{FF2B5EF4-FFF2-40B4-BE49-F238E27FC236}">
                <a16:creationId xmlns:a16="http://schemas.microsoft.com/office/drawing/2014/main" id="{83239D79-A963-A1F3-832F-F327DD010927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6" name="Rectangle 1173">
            <a:extLst>
              <a:ext uri="{FF2B5EF4-FFF2-40B4-BE49-F238E27FC236}">
                <a16:creationId xmlns:a16="http://schemas.microsoft.com/office/drawing/2014/main" id="{3C6FF47A-F4FA-467E-A945-339C1A48913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7" name="Rectangle 1174">
            <a:extLst>
              <a:ext uri="{FF2B5EF4-FFF2-40B4-BE49-F238E27FC236}">
                <a16:creationId xmlns:a16="http://schemas.microsoft.com/office/drawing/2014/main" id="{C79B53F4-A1B9-678D-80D2-C18D89221D20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8" name="Rectangle 1175">
            <a:extLst>
              <a:ext uri="{FF2B5EF4-FFF2-40B4-BE49-F238E27FC236}">
                <a16:creationId xmlns:a16="http://schemas.microsoft.com/office/drawing/2014/main" id="{3D23CA54-E696-DC22-1018-4E9E6F5CB67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9" name="Oval 1176">
            <a:extLst>
              <a:ext uri="{FF2B5EF4-FFF2-40B4-BE49-F238E27FC236}">
                <a16:creationId xmlns:a16="http://schemas.microsoft.com/office/drawing/2014/main" id="{9476A30A-BFF5-AFB1-37A7-1D61B738096D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20" name="Oval 1177">
            <a:extLst>
              <a:ext uri="{FF2B5EF4-FFF2-40B4-BE49-F238E27FC236}">
                <a16:creationId xmlns:a16="http://schemas.microsoft.com/office/drawing/2014/main" id="{B16762E0-AC4C-A3E0-E107-72323AB5368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21" name="AutoShape 1178">
            <a:extLst>
              <a:ext uri="{FF2B5EF4-FFF2-40B4-BE49-F238E27FC236}">
                <a16:creationId xmlns:a16="http://schemas.microsoft.com/office/drawing/2014/main" id="{FCC35F51-6369-B9AB-EE86-617A4BADD53E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0</xdr:colOff>
      <xdr:row>2</xdr:row>
      <xdr:rowOff>45720</xdr:rowOff>
    </xdr:from>
    <xdr:to>
      <xdr:col>8</xdr:col>
      <xdr:colOff>0</xdr:colOff>
      <xdr:row>2</xdr:row>
      <xdr:rowOff>426720</xdr:rowOff>
    </xdr:to>
    <xdr:grpSp>
      <xdr:nvGrpSpPr>
        <xdr:cNvPr id="532486" name="Group 1179">
          <a:extLst>
            <a:ext uri="{FF2B5EF4-FFF2-40B4-BE49-F238E27FC236}">
              <a16:creationId xmlns:a16="http://schemas.microsoft.com/office/drawing/2014/main" id="{2016A6DF-2C90-A0CF-1EA3-3037B267EA93}"/>
            </a:ext>
          </a:extLst>
        </xdr:cNvPr>
        <xdr:cNvGrpSpPr>
          <a:grpSpLocks/>
        </xdr:cNvGrpSpPr>
      </xdr:nvGrpSpPr>
      <xdr:grpSpPr bwMode="auto">
        <a:xfrm>
          <a:off x="6536267" y="1171787"/>
          <a:ext cx="0" cy="381000"/>
          <a:chOff x="675" y="362"/>
          <a:chExt cx="278" cy="249"/>
        </a:xfrm>
      </xdr:grpSpPr>
      <xdr:sp macro="" textlink="">
        <xdr:nvSpPr>
          <xdr:cNvPr id="532506" name="Rectangle 1180">
            <a:extLst>
              <a:ext uri="{FF2B5EF4-FFF2-40B4-BE49-F238E27FC236}">
                <a16:creationId xmlns:a16="http://schemas.microsoft.com/office/drawing/2014/main" id="{66203A91-7084-395C-805A-9D1D76A42F52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7" name="Rectangle 1181">
            <a:extLst>
              <a:ext uri="{FF2B5EF4-FFF2-40B4-BE49-F238E27FC236}">
                <a16:creationId xmlns:a16="http://schemas.microsoft.com/office/drawing/2014/main" id="{D6752C92-73B3-F1CA-578D-36361B7E2424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8" name="Rectangle 1182">
            <a:extLst>
              <a:ext uri="{FF2B5EF4-FFF2-40B4-BE49-F238E27FC236}">
                <a16:creationId xmlns:a16="http://schemas.microsoft.com/office/drawing/2014/main" id="{112AB10E-9B80-52B5-1D69-4B270A6CA249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9" name="Rectangle 1183">
            <a:extLst>
              <a:ext uri="{FF2B5EF4-FFF2-40B4-BE49-F238E27FC236}">
                <a16:creationId xmlns:a16="http://schemas.microsoft.com/office/drawing/2014/main" id="{1B47E411-FE45-387F-21BC-83A1F55713A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0" name="Rectangle 1184">
            <a:extLst>
              <a:ext uri="{FF2B5EF4-FFF2-40B4-BE49-F238E27FC236}">
                <a16:creationId xmlns:a16="http://schemas.microsoft.com/office/drawing/2014/main" id="{6B3983B0-E424-5A0B-F4D3-F1F0BE76F9BB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11" name="Oval 1185">
            <a:extLst>
              <a:ext uri="{FF2B5EF4-FFF2-40B4-BE49-F238E27FC236}">
                <a16:creationId xmlns:a16="http://schemas.microsoft.com/office/drawing/2014/main" id="{1D7F3624-BAA6-E9AA-99FD-A925F613636F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12" name="Oval 1186">
            <a:extLst>
              <a:ext uri="{FF2B5EF4-FFF2-40B4-BE49-F238E27FC236}">
                <a16:creationId xmlns:a16="http://schemas.microsoft.com/office/drawing/2014/main" id="{BECC1DF3-23A0-62B4-D1CB-A115899BE24D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13" name="AutoShape 1187">
            <a:extLst>
              <a:ext uri="{FF2B5EF4-FFF2-40B4-BE49-F238E27FC236}">
                <a16:creationId xmlns:a16="http://schemas.microsoft.com/office/drawing/2014/main" id="{4D8186AE-0E88-99DB-DE39-8D2D4F8D3AA7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502920</xdr:colOff>
      <xdr:row>0</xdr:row>
      <xdr:rowOff>777240</xdr:rowOff>
    </xdr:to>
    <xdr:pic>
      <xdr:nvPicPr>
        <xdr:cNvPr id="532487" name="1034 Imagen" descr="logo masercon ultimo.jpg">
          <a:extLst>
            <a:ext uri="{FF2B5EF4-FFF2-40B4-BE49-F238E27FC236}">
              <a16:creationId xmlns:a16="http://schemas.microsoft.com/office/drawing/2014/main" id="{C6F21AA8-40F3-52CB-FED7-02F4BB904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62300" cy="777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106680</xdr:colOff>
      <xdr:row>2</xdr:row>
      <xdr:rowOff>76200</xdr:rowOff>
    </xdr:from>
    <xdr:to>
      <xdr:col>8</xdr:col>
      <xdr:colOff>548640</xdr:colOff>
      <xdr:row>2</xdr:row>
      <xdr:rowOff>426720</xdr:rowOff>
    </xdr:to>
    <xdr:grpSp>
      <xdr:nvGrpSpPr>
        <xdr:cNvPr id="532488" name="Group 853">
          <a:extLst>
            <a:ext uri="{FF2B5EF4-FFF2-40B4-BE49-F238E27FC236}">
              <a16:creationId xmlns:a16="http://schemas.microsoft.com/office/drawing/2014/main" id="{AB610935-319B-AA9E-CCE6-0A4AF84F51AC}"/>
            </a:ext>
          </a:extLst>
        </xdr:cNvPr>
        <xdr:cNvGrpSpPr>
          <a:grpSpLocks/>
        </xdr:cNvGrpSpPr>
      </xdr:nvGrpSpPr>
      <xdr:grpSpPr bwMode="auto">
        <a:xfrm>
          <a:off x="6642947" y="1202267"/>
          <a:ext cx="441960" cy="350520"/>
          <a:chOff x="675" y="362"/>
          <a:chExt cx="278" cy="249"/>
        </a:xfrm>
      </xdr:grpSpPr>
      <xdr:sp macro="" textlink="">
        <xdr:nvSpPr>
          <xdr:cNvPr id="532498" name="Rectangle 854">
            <a:extLst>
              <a:ext uri="{FF2B5EF4-FFF2-40B4-BE49-F238E27FC236}">
                <a16:creationId xmlns:a16="http://schemas.microsoft.com/office/drawing/2014/main" id="{2345E757-3AC2-B89A-AA22-294B9F27797F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9" name="Rectangle 855">
            <a:extLst>
              <a:ext uri="{FF2B5EF4-FFF2-40B4-BE49-F238E27FC236}">
                <a16:creationId xmlns:a16="http://schemas.microsoft.com/office/drawing/2014/main" id="{361BC9AE-E9A4-57E0-B356-81865C285D86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0" name="Rectangle 856">
            <a:extLst>
              <a:ext uri="{FF2B5EF4-FFF2-40B4-BE49-F238E27FC236}">
                <a16:creationId xmlns:a16="http://schemas.microsoft.com/office/drawing/2014/main" id="{1D1FE859-013C-C6B9-ED94-EF9F6FF2DAFF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1" name="Rectangle 857">
            <a:extLst>
              <a:ext uri="{FF2B5EF4-FFF2-40B4-BE49-F238E27FC236}">
                <a16:creationId xmlns:a16="http://schemas.microsoft.com/office/drawing/2014/main" id="{9E70A88C-3842-5760-D351-9A88331A83F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2" name="Rectangle 858">
            <a:extLst>
              <a:ext uri="{FF2B5EF4-FFF2-40B4-BE49-F238E27FC236}">
                <a16:creationId xmlns:a16="http://schemas.microsoft.com/office/drawing/2014/main" id="{3BE8DB3C-8D62-BB52-4390-3FEB56FEF695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503" name="Oval 859">
            <a:extLst>
              <a:ext uri="{FF2B5EF4-FFF2-40B4-BE49-F238E27FC236}">
                <a16:creationId xmlns:a16="http://schemas.microsoft.com/office/drawing/2014/main" id="{B2DC0253-311A-AF6B-99A3-073871A6D321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04" name="Oval 860">
            <a:extLst>
              <a:ext uri="{FF2B5EF4-FFF2-40B4-BE49-F238E27FC236}">
                <a16:creationId xmlns:a16="http://schemas.microsoft.com/office/drawing/2014/main" id="{61B08D9D-43B6-3D9C-D98A-B37F5FA9EA23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505" name="AutoShape 861">
            <a:extLst>
              <a:ext uri="{FF2B5EF4-FFF2-40B4-BE49-F238E27FC236}">
                <a16:creationId xmlns:a16="http://schemas.microsoft.com/office/drawing/2014/main" id="{83808207-8B80-8E21-9F71-9BB9A6420E91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106680</xdr:colOff>
      <xdr:row>2</xdr:row>
      <xdr:rowOff>76200</xdr:rowOff>
    </xdr:from>
    <xdr:to>
      <xdr:col>9</xdr:col>
      <xdr:colOff>548640</xdr:colOff>
      <xdr:row>2</xdr:row>
      <xdr:rowOff>426720</xdr:rowOff>
    </xdr:to>
    <xdr:grpSp>
      <xdr:nvGrpSpPr>
        <xdr:cNvPr id="532489" name="Group 853">
          <a:extLst>
            <a:ext uri="{FF2B5EF4-FFF2-40B4-BE49-F238E27FC236}">
              <a16:creationId xmlns:a16="http://schemas.microsoft.com/office/drawing/2014/main" id="{0979E5C0-51A7-B88B-98F6-6FF5D8008850}"/>
            </a:ext>
          </a:extLst>
        </xdr:cNvPr>
        <xdr:cNvGrpSpPr>
          <a:grpSpLocks/>
        </xdr:cNvGrpSpPr>
      </xdr:nvGrpSpPr>
      <xdr:grpSpPr bwMode="auto">
        <a:xfrm>
          <a:off x="7294880" y="1202267"/>
          <a:ext cx="441960" cy="350520"/>
          <a:chOff x="675" y="362"/>
          <a:chExt cx="278" cy="249"/>
        </a:xfrm>
      </xdr:grpSpPr>
      <xdr:sp macro="" textlink="">
        <xdr:nvSpPr>
          <xdr:cNvPr id="532490" name="Rectangle 854">
            <a:extLst>
              <a:ext uri="{FF2B5EF4-FFF2-40B4-BE49-F238E27FC236}">
                <a16:creationId xmlns:a16="http://schemas.microsoft.com/office/drawing/2014/main" id="{E559D24A-CD9E-5260-DC6E-0512DAB6F9F2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1" name="Rectangle 855">
            <a:extLst>
              <a:ext uri="{FF2B5EF4-FFF2-40B4-BE49-F238E27FC236}">
                <a16:creationId xmlns:a16="http://schemas.microsoft.com/office/drawing/2014/main" id="{C3486043-5E63-AE20-59AA-CA02935504E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2" name="Rectangle 856">
            <a:extLst>
              <a:ext uri="{FF2B5EF4-FFF2-40B4-BE49-F238E27FC236}">
                <a16:creationId xmlns:a16="http://schemas.microsoft.com/office/drawing/2014/main" id="{F3C5B4D8-4CE7-1E0D-47A7-9F1BC33B71D3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3" name="Rectangle 857">
            <a:extLst>
              <a:ext uri="{FF2B5EF4-FFF2-40B4-BE49-F238E27FC236}">
                <a16:creationId xmlns:a16="http://schemas.microsoft.com/office/drawing/2014/main" id="{A6549DEF-5B92-42AC-D6EE-384FE6AFEA1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4" name="Rectangle 858">
            <a:extLst>
              <a:ext uri="{FF2B5EF4-FFF2-40B4-BE49-F238E27FC236}">
                <a16:creationId xmlns:a16="http://schemas.microsoft.com/office/drawing/2014/main" id="{0E300BC0-3A66-99DF-CE41-C652A339126B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2495" name="Oval 859">
            <a:extLst>
              <a:ext uri="{FF2B5EF4-FFF2-40B4-BE49-F238E27FC236}">
                <a16:creationId xmlns:a16="http://schemas.microsoft.com/office/drawing/2014/main" id="{C9237E0A-643E-BB62-4C10-064D6780E1D1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496" name="Oval 860">
            <a:extLst>
              <a:ext uri="{FF2B5EF4-FFF2-40B4-BE49-F238E27FC236}">
                <a16:creationId xmlns:a16="http://schemas.microsoft.com/office/drawing/2014/main" id="{EFBBD1FB-2DA2-290A-A31A-5C912FC1D8F8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2497" name="AutoShape 861">
            <a:extLst>
              <a:ext uri="{FF2B5EF4-FFF2-40B4-BE49-F238E27FC236}">
                <a16:creationId xmlns:a16="http://schemas.microsoft.com/office/drawing/2014/main" id="{21180DB9-B23B-94C9-85A0-38B4664C5BE1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48" name="Group 65">
          <a:extLst>
            <a:ext uri="{FF2B5EF4-FFF2-40B4-BE49-F238E27FC236}">
              <a16:creationId xmlns:a16="http://schemas.microsoft.com/office/drawing/2014/main" id="{BE1E5D31-2027-B809-5A43-2FBCA09C855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462" name="Rectangle 66">
            <a:extLst>
              <a:ext uri="{FF2B5EF4-FFF2-40B4-BE49-F238E27FC236}">
                <a16:creationId xmlns:a16="http://schemas.microsoft.com/office/drawing/2014/main" id="{BC0332DF-8C41-8526-1D3A-91A0D387D9A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63" name="Rectangle 67">
            <a:extLst>
              <a:ext uri="{FF2B5EF4-FFF2-40B4-BE49-F238E27FC236}">
                <a16:creationId xmlns:a16="http://schemas.microsoft.com/office/drawing/2014/main" id="{D5E21494-108D-A6AC-1BF8-073D45676E9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64" name="Rectangle 68">
            <a:extLst>
              <a:ext uri="{FF2B5EF4-FFF2-40B4-BE49-F238E27FC236}">
                <a16:creationId xmlns:a16="http://schemas.microsoft.com/office/drawing/2014/main" id="{C042F3B3-13E5-B8C8-CFE3-98CC3CF608B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65" name="Rectangle 69">
            <a:extLst>
              <a:ext uri="{FF2B5EF4-FFF2-40B4-BE49-F238E27FC236}">
                <a16:creationId xmlns:a16="http://schemas.microsoft.com/office/drawing/2014/main" id="{0EA2A17F-912B-E3E3-D707-912E6AE422C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66" name="Line 70">
            <a:extLst>
              <a:ext uri="{FF2B5EF4-FFF2-40B4-BE49-F238E27FC236}">
                <a16:creationId xmlns:a16="http://schemas.microsoft.com/office/drawing/2014/main" id="{063EC448-7666-E68E-2133-697E32B81FF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67" name="Line 71">
            <a:extLst>
              <a:ext uri="{FF2B5EF4-FFF2-40B4-BE49-F238E27FC236}">
                <a16:creationId xmlns:a16="http://schemas.microsoft.com/office/drawing/2014/main" id="{1A5D215C-51B1-190C-E489-2B085417161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68" name="Line 72">
            <a:extLst>
              <a:ext uri="{FF2B5EF4-FFF2-40B4-BE49-F238E27FC236}">
                <a16:creationId xmlns:a16="http://schemas.microsoft.com/office/drawing/2014/main" id="{035BD827-DBE2-344B-A347-31F50940D7C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49" name="Group 73">
          <a:extLst>
            <a:ext uri="{FF2B5EF4-FFF2-40B4-BE49-F238E27FC236}">
              <a16:creationId xmlns:a16="http://schemas.microsoft.com/office/drawing/2014/main" id="{70AAA027-988E-E5E5-04CA-8A384C42FEDF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455" name="Rectangle 74">
            <a:extLst>
              <a:ext uri="{FF2B5EF4-FFF2-40B4-BE49-F238E27FC236}">
                <a16:creationId xmlns:a16="http://schemas.microsoft.com/office/drawing/2014/main" id="{97115035-79BC-BCFC-2AC2-BF9C1E139FE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6" name="Rectangle 75">
            <a:extLst>
              <a:ext uri="{FF2B5EF4-FFF2-40B4-BE49-F238E27FC236}">
                <a16:creationId xmlns:a16="http://schemas.microsoft.com/office/drawing/2014/main" id="{C5382AF2-752F-CD92-D6D6-C184893BC61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7" name="Rectangle 76">
            <a:extLst>
              <a:ext uri="{FF2B5EF4-FFF2-40B4-BE49-F238E27FC236}">
                <a16:creationId xmlns:a16="http://schemas.microsoft.com/office/drawing/2014/main" id="{C1CAD6E9-3316-ADDF-06B8-22CF678DE7F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8" name="Rectangle 77">
            <a:extLst>
              <a:ext uri="{FF2B5EF4-FFF2-40B4-BE49-F238E27FC236}">
                <a16:creationId xmlns:a16="http://schemas.microsoft.com/office/drawing/2014/main" id="{584B54C5-930D-26AA-60A5-A4CC8278DC6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9" name="Line 78">
            <a:extLst>
              <a:ext uri="{FF2B5EF4-FFF2-40B4-BE49-F238E27FC236}">
                <a16:creationId xmlns:a16="http://schemas.microsoft.com/office/drawing/2014/main" id="{F7B7563E-720A-C864-421A-585E9856C05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60" name="Line 79">
            <a:extLst>
              <a:ext uri="{FF2B5EF4-FFF2-40B4-BE49-F238E27FC236}">
                <a16:creationId xmlns:a16="http://schemas.microsoft.com/office/drawing/2014/main" id="{7195F078-DD97-CF91-8F38-0495DD4AE64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61" name="Line 80">
            <a:extLst>
              <a:ext uri="{FF2B5EF4-FFF2-40B4-BE49-F238E27FC236}">
                <a16:creationId xmlns:a16="http://schemas.microsoft.com/office/drawing/2014/main" id="{C66CB2E4-C7BA-6CA1-17D6-40E33DF084E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190500</xdr:rowOff>
    </xdr:from>
    <xdr:to>
      <xdr:col>9</xdr:col>
      <xdr:colOff>0</xdr:colOff>
      <xdr:row>3</xdr:row>
      <xdr:rowOff>0</xdr:rowOff>
    </xdr:to>
    <xdr:grpSp>
      <xdr:nvGrpSpPr>
        <xdr:cNvPr id="529050" name="Group 81">
          <a:extLst>
            <a:ext uri="{FF2B5EF4-FFF2-40B4-BE49-F238E27FC236}">
              <a16:creationId xmlns:a16="http://schemas.microsoft.com/office/drawing/2014/main" id="{F76DCFDD-999B-FF96-C176-803B5D240F7A}"/>
            </a:ext>
          </a:extLst>
        </xdr:cNvPr>
        <xdr:cNvGrpSpPr>
          <a:grpSpLocks/>
        </xdr:cNvGrpSpPr>
      </xdr:nvGrpSpPr>
      <xdr:grpSpPr bwMode="auto">
        <a:xfrm>
          <a:off x="6812280" y="1325880"/>
          <a:ext cx="0" cy="381000"/>
          <a:chOff x="570" y="224"/>
          <a:chExt cx="377" cy="136"/>
        </a:xfrm>
      </xdr:grpSpPr>
      <xdr:sp macro="" textlink="">
        <xdr:nvSpPr>
          <xdr:cNvPr id="534442" name="Rectangle 82">
            <a:extLst>
              <a:ext uri="{FF2B5EF4-FFF2-40B4-BE49-F238E27FC236}">
                <a16:creationId xmlns:a16="http://schemas.microsoft.com/office/drawing/2014/main" id="{B959D1F9-47C7-7A1D-0602-85608D4EA51C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43" name="Rectangle 83">
            <a:extLst>
              <a:ext uri="{FF2B5EF4-FFF2-40B4-BE49-F238E27FC236}">
                <a16:creationId xmlns:a16="http://schemas.microsoft.com/office/drawing/2014/main" id="{FB5D427E-2417-5FE5-2722-448CA843E651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44" name="Rectangle 84">
            <a:extLst>
              <a:ext uri="{FF2B5EF4-FFF2-40B4-BE49-F238E27FC236}">
                <a16:creationId xmlns:a16="http://schemas.microsoft.com/office/drawing/2014/main" id="{FB935D25-268F-3E43-974F-9CB74D352EB1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45" name="Rectangle 85">
            <a:extLst>
              <a:ext uri="{FF2B5EF4-FFF2-40B4-BE49-F238E27FC236}">
                <a16:creationId xmlns:a16="http://schemas.microsoft.com/office/drawing/2014/main" id="{C5F729D4-09EC-BC60-7083-61C36C70013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46" name="Line 86">
            <a:extLst>
              <a:ext uri="{FF2B5EF4-FFF2-40B4-BE49-F238E27FC236}">
                <a16:creationId xmlns:a16="http://schemas.microsoft.com/office/drawing/2014/main" id="{21CE2EE3-9E49-1359-45B3-0C3EE12003AF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7" name="Line 87">
            <a:extLst>
              <a:ext uri="{FF2B5EF4-FFF2-40B4-BE49-F238E27FC236}">
                <a16:creationId xmlns:a16="http://schemas.microsoft.com/office/drawing/2014/main" id="{6998F607-E385-CA2C-3089-9B45CFA4E8CE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8" name="Line 88">
            <a:extLst>
              <a:ext uri="{FF2B5EF4-FFF2-40B4-BE49-F238E27FC236}">
                <a16:creationId xmlns:a16="http://schemas.microsoft.com/office/drawing/2014/main" id="{7F089A37-282C-A65C-4CBE-5F2353F26094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9" name="Rectangle 89">
            <a:extLst>
              <a:ext uri="{FF2B5EF4-FFF2-40B4-BE49-F238E27FC236}">
                <a16:creationId xmlns:a16="http://schemas.microsoft.com/office/drawing/2014/main" id="{74D5FF5F-DE7F-E9D6-46C2-452D2F2BCF72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0" name="Line 90">
            <a:extLst>
              <a:ext uri="{FF2B5EF4-FFF2-40B4-BE49-F238E27FC236}">
                <a16:creationId xmlns:a16="http://schemas.microsoft.com/office/drawing/2014/main" id="{2D050D37-4003-055F-24BB-E05F5823C7FC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51" name="Rectangle 91">
            <a:extLst>
              <a:ext uri="{FF2B5EF4-FFF2-40B4-BE49-F238E27FC236}">
                <a16:creationId xmlns:a16="http://schemas.microsoft.com/office/drawing/2014/main" id="{1890108D-8E2C-EA42-2CD6-5BD05E3EAD60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52" name="Line 92">
            <a:extLst>
              <a:ext uri="{FF2B5EF4-FFF2-40B4-BE49-F238E27FC236}">
                <a16:creationId xmlns:a16="http://schemas.microsoft.com/office/drawing/2014/main" id="{D73359DA-E6C4-CCFE-F749-6A591C0DB9DB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53" name="Line 93">
            <a:extLst>
              <a:ext uri="{FF2B5EF4-FFF2-40B4-BE49-F238E27FC236}">
                <a16:creationId xmlns:a16="http://schemas.microsoft.com/office/drawing/2014/main" id="{C0B33488-08D5-9A0A-D114-0BFBB588FDF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54" name="Line 94">
            <a:extLst>
              <a:ext uri="{FF2B5EF4-FFF2-40B4-BE49-F238E27FC236}">
                <a16:creationId xmlns:a16="http://schemas.microsoft.com/office/drawing/2014/main" id="{7B87DF2E-517C-DEAA-715B-6E03F511D796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190500</xdr:rowOff>
    </xdr:from>
    <xdr:to>
      <xdr:col>9</xdr:col>
      <xdr:colOff>0</xdr:colOff>
      <xdr:row>3</xdr:row>
      <xdr:rowOff>0</xdr:rowOff>
    </xdr:to>
    <xdr:grpSp>
      <xdr:nvGrpSpPr>
        <xdr:cNvPr id="529051" name="Group 95">
          <a:extLst>
            <a:ext uri="{FF2B5EF4-FFF2-40B4-BE49-F238E27FC236}">
              <a16:creationId xmlns:a16="http://schemas.microsoft.com/office/drawing/2014/main" id="{9E6DCC18-C951-F2D5-D1C9-66A61E153490}"/>
            </a:ext>
          </a:extLst>
        </xdr:cNvPr>
        <xdr:cNvGrpSpPr>
          <a:grpSpLocks/>
        </xdr:cNvGrpSpPr>
      </xdr:nvGrpSpPr>
      <xdr:grpSpPr bwMode="auto">
        <a:xfrm>
          <a:off x="6812280" y="1325880"/>
          <a:ext cx="0" cy="381000"/>
          <a:chOff x="570" y="224"/>
          <a:chExt cx="377" cy="136"/>
        </a:xfrm>
      </xdr:grpSpPr>
      <xdr:sp macro="" textlink="">
        <xdr:nvSpPr>
          <xdr:cNvPr id="534429" name="Rectangle 96">
            <a:extLst>
              <a:ext uri="{FF2B5EF4-FFF2-40B4-BE49-F238E27FC236}">
                <a16:creationId xmlns:a16="http://schemas.microsoft.com/office/drawing/2014/main" id="{BB682EFC-4BA8-B6D8-1921-D9AD0D8AFD9F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0" name="Rectangle 97">
            <a:extLst>
              <a:ext uri="{FF2B5EF4-FFF2-40B4-BE49-F238E27FC236}">
                <a16:creationId xmlns:a16="http://schemas.microsoft.com/office/drawing/2014/main" id="{46EE2368-7E2F-AE85-90FA-0B2D4D5BE398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1" name="Rectangle 98">
            <a:extLst>
              <a:ext uri="{FF2B5EF4-FFF2-40B4-BE49-F238E27FC236}">
                <a16:creationId xmlns:a16="http://schemas.microsoft.com/office/drawing/2014/main" id="{10E4D394-D0D5-9A55-D7F8-B20399E4052E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2" name="Rectangle 99">
            <a:extLst>
              <a:ext uri="{FF2B5EF4-FFF2-40B4-BE49-F238E27FC236}">
                <a16:creationId xmlns:a16="http://schemas.microsoft.com/office/drawing/2014/main" id="{063979CC-C3A2-4B30-36A3-F54CEF954270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3" name="Line 100">
            <a:extLst>
              <a:ext uri="{FF2B5EF4-FFF2-40B4-BE49-F238E27FC236}">
                <a16:creationId xmlns:a16="http://schemas.microsoft.com/office/drawing/2014/main" id="{C47864F4-C47B-CD38-E704-6AA5A372DB39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34" name="Line 101">
            <a:extLst>
              <a:ext uri="{FF2B5EF4-FFF2-40B4-BE49-F238E27FC236}">
                <a16:creationId xmlns:a16="http://schemas.microsoft.com/office/drawing/2014/main" id="{582842E6-5593-7B81-F132-66B882D2AF6A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35" name="Line 102">
            <a:extLst>
              <a:ext uri="{FF2B5EF4-FFF2-40B4-BE49-F238E27FC236}">
                <a16:creationId xmlns:a16="http://schemas.microsoft.com/office/drawing/2014/main" id="{549D67EC-BB0D-97C2-8465-EC48E87E56AA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36" name="Rectangle 103">
            <a:extLst>
              <a:ext uri="{FF2B5EF4-FFF2-40B4-BE49-F238E27FC236}">
                <a16:creationId xmlns:a16="http://schemas.microsoft.com/office/drawing/2014/main" id="{A46D09FB-91AC-F371-1E7C-69417924E18A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7" name="Line 104">
            <a:extLst>
              <a:ext uri="{FF2B5EF4-FFF2-40B4-BE49-F238E27FC236}">
                <a16:creationId xmlns:a16="http://schemas.microsoft.com/office/drawing/2014/main" id="{DDD3BDEB-7EDB-1213-9CE2-9953409951E3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38" name="Rectangle 105">
            <a:extLst>
              <a:ext uri="{FF2B5EF4-FFF2-40B4-BE49-F238E27FC236}">
                <a16:creationId xmlns:a16="http://schemas.microsoft.com/office/drawing/2014/main" id="{9464BB1B-536F-5FB8-F82A-48CA75925AC7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39" name="Line 106">
            <a:extLst>
              <a:ext uri="{FF2B5EF4-FFF2-40B4-BE49-F238E27FC236}">
                <a16:creationId xmlns:a16="http://schemas.microsoft.com/office/drawing/2014/main" id="{12A3962D-9BB3-CEE5-C106-A733D2B0E55C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0" name="Line 107">
            <a:extLst>
              <a:ext uri="{FF2B5EF4-FFF2-40B4-BE49-F238E27FC236}">
                <a16:creationId xmlns:a16="http://schemas.microsoft.com/office/drawing/2014/main" id="{FCDE6B4D-4EC8-2519-8925-DBDAFA3763A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41" name="Line 108">
            <a:extLst>
              <a:ext uri="{FF2B5EF4-FFF2-40B4-BE49-F238E27FC236}">
                <a16:creationId xmlns:a16="http://schemas.microsoft.com/office/drawing/2014/main" id="{822160EA-C448-BB94-7E1A-5F437BE989C5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190500</xdr:rowOff>
    </xdr:from>
    <xdr:to>
      <xdr:col>9</xdr:col>
      <xdr:colOff>0</xdr:colOff>
      <xdr:row>3</xdr:row>
      <xdr:rowOff>0</xdr:rowOff>
    </xdr:to>
    <xdr:grpSp>
      <xdr:nvGrpSpPr>
        <xdr:cNvPr id="529052" name="Group 109">
          <a:extLst>
            <a:ext uri="{FF2B5EF4-FFF2-40B4-BE49-F238E27FC236}">
              <a16:creationId xmlns:a16="http://schemas.microsoft.com/office/drawing/2014/main" id="{B08081AD-FB72-3569-5EA3-5210DFB9A1CE}"/>
            </a:ext>
          </a:extLst>
        </xdr:cNvPr>
        <xdr:cNvGrpSpPr>
          <a:grpSpLocks/>
        </xdr:cNvGrpSpPr>
      </xdr:nvGrpSpPr>
      <xdr:grpSpPr bwMode="auto">
        <a:xfrm>
          <a:off x="6812280" y="1325880"/>
          <a:ext cx="0" cy="381000"/>
          <a:chOff x="570" y="224"/>
          <a:chExt cx="377" cy="136"/>
        </a:xfrm>
      </xdr:grpSpPr>
      <xdr:sp macro="" textlink="">
        <xdr:nvSpPr>
          <xdr:cNvPr id="534416" name="Rectangle 110">
            <a:extLst>
              <a:ext uri="{FF2B5EF4-FFF2-40B4-BE49-F238E27FC236}">
                <a16:creationId xmlns:a16="http://schemas.microsoft.com/office/drawing/2014/main" id="{1EFAC5C8-1AD8-FE92-C45C-4917D1AC2C95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7" name="Rectangle 111">
            <a:extLst>
              <a:ext uri="{FF2B5EF4-FFF2-40B4-BE49-F238E27FC236}">
                <a16:creationId xmlns:a16="http://schemas.microsoft.com/office/drawing/2014/main" id="{052C83AB-736A-69ED-25FA-03A013B6EA78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8" name="Rectangle 112">
            <a:extLst>
              <a:ext uri="{FF2B5EF4-FFF2-40B4-BE49-F238E27FC236}">
                <a16:creationId xmlns:a16="http://schemas.microsoft.com/office/drawing/2014/main" id="{67C6BA02-9485-0E8D-6D50-51E4D3E59D02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9" name="Rectangle 113">
            <a:extLst>
              <a:ext uri="{FF2B5EF4-FFF2-40B4-BE49-F238E27FC236}">
                <a16:creationId xmlns:a16="http://schemas.microsoft.com/office/drawing/2014/main" id="{A65F9E44-A7A8-1676-F7F8-A419CA370F74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20" name="Line 114">
            <a:extLst>
              <a:ext uri="{FF2B5EF4-FFF2-40B4-BE49-F238E27FC236}">
                <a16:creationId xmlns:a16="http://schemas.microsoft.com/office/drawing/2014/main" id="{94339520-3676-5F91-EC78-44B56E9D7CDF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1" name="Line 115">
            <a:extLst>
              <a:ext uri="{FF2B5EF4-FFF2-40B4-BE49-F238E27FC236}">
                <a16:creationId xmlns:a16="http://schemas.microsoft.com/office/drawing/2014/main" id="{70818A48-5DD8-4686-D4A8-8E308341F783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2" name="Line 116">
            <a:extLst>
              <a:ext uri="{FF2B5EF4-FFF2-40B4-BE49-F238E27FC236}">
                <a16:creationId xmlns:a16="http://schemas.microsoft.com/office/drawing/2014/main" id="{F97291F9-4A90-7109-3A30-D5D16C21E197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3" name="Rectangle 117">
            <a:extLst>
              <a:ext uri="{FF2B5EF4-FFF2-40B4-BE49-F238E27FC236}">
                <a16:creationId xmlns:a16="http://schemas.microsoft.com/office/drawing/2014/main" id="{C1F60CC8-220B-2AA1-2044-4979952F80CE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24" name="Line 118">
            <a:extLst>
              <a:ext uri="{FF2B5EF4-FFF2-40B4-BE49-F238E27FC236}">
                <a16:creationId xmlns:a16="http://schemas.microsoft.com/office/drawing/2014/main" id="{4C45AF8A-EF53-5CF9-7292-2A1DAA2D1BE1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5" name="Rectangle 119">
            <a:extLst>
              <a:ext uri="{FF2B5EF4-FFF2-40B4-BE49-F238E27FC236}">
                <a16:creationId xmlns:a16="http://schemas.microsoft.com/office/drawing/2014/main" id="{23ABBB66-721C-5A22-82E6-41774D42EF65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26" name="Line 120">
            <a:extLst>
              <a:ext uri="{FF2B5EF4-FFF2-40B4-BE49-F238E27FC236}">
                <a16:creationId xmlns:a16="http://schemas.microsoft.com/office/drawing/2014/main" id="{0415173E-C4D0-F719-1EDB-ED09342619ED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7" name="Line 121">
            <a:extLst>
              <a:ext uri="{FF2B5EF4-FFF2-40B4-BE49-F238E27FC236}">
                <a16:creationId xmlns:a16="http://schemas.microsoft.com/office/drawing/2014/main" id="{1DDCE784-31AC-93BC-D4FD-AD43BB36FA6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28" name="Line 122">
            <a:extLst>
              <a:ext uri="{FF2B5EF4-FFF2-40B4-BE49-F238E27FC236}">
                <a16:creationId xmlns:a16="http://schemas.microsoft.com/office/drawing/2014/main" id="{B6572C09-8E97-4602-1BF2-B6EC586B9457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190500</xdr:rowOff>
    </xdr:from>
    <xdr:to>
      <xdr:col>9</xdr:col>
      <xdr:colOff>0</xdr:colOff>
      <xdr:row>3</xdr:row>
      <xdr:rowOff>0</xdr:rowOff>
    </xdr:to>
    <xdr:grpSp>
      <xdr:nvGrpSpPr>
        <xdr:cNvPr id="529053" name="Group 123">
          <a:extLst>
            <a:ext uri="{FF2B5EF4-FFF2-40B4-BE49-F238E27FC236}">
              <a16:creationId xmlns:a16="http://schemas.microsoft.com/office/drawing/2014/main" id="{8B053B39-8AED-2E84-E4F6-F015E75872BC}"/>
            </a:ext>
          </a:extLst>
        </xdr:cNvPr>
        <xdr:cNvGrpSpPr>
          <a:grpSpLocks/>
        </xdr:cNvGrpSpPr>
      </xdr:nvGrpSpPr>
      <xdr:grpSpPr bwMode="auto">
        <a:xfrm>
          <a:off x="6812280" y="1325880"/>
          <a:ext cx="0" cy="381000"/>
          <a:chOff x="570" y="224"/>
          <a:chExt cx="377" cy="136"/>
        </a:xfrm>
      </xdr:grpSpPr>
      <xdr:sp macro="" textlink="">
        <xdr:nvSpPr>
          <xdr:cNvPr id="534403" name="Rectangle 124">
            <a:extLst>
              <a:ext uri="{FF2B5EF4-FFF2-40B4-BE49-F238E27FC236}">
                <a16:creationId xmlns:a16="http://schemas.microsoft.com/office/drawing/2014/main" id="{F99A0C7A-8D18-8E0E-117C-0ED0BAE019B8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4" name="Rectangle 125">
            <a:extLst>
              <a:ext uri="{FF2B5EF4-FFF2-40B4-BE49-F238E27FC236}">
                <a16:creationId xmlns:a16="http://schemas.microsoft.com/office/drawing/2014/main" id="{18A726BF-9B76-81D0-1F8D-167E17DCECA1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5" name="Rectangle 126">
            <a:extLst>
              <a:ext uri="{FF2B5EF4-FFF2-40B4-BE49-F238E27FC236}">
                <a16:creationId xmlns:a16="http://schemas.microsoft.com/office/drawing/2014/main" id="{01F692A9-926A-FE39-F556-4440DDFEC90B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6" name="Rectangle 127">
            <a:extLst>
              <a:ext uri="{FF2B5EF4-FFF2-40B4-BE49-F238E27FC236}">
                <a16:creationId xmlns:a16="http://schemas.microsoft.com/office/drawing/2014/main" id="{84872CEF-2793-2981-6539-47A8FD540587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7" name="Line 128">
            <a:extLst>
              <a:ext uri="{FF2B5EF4-FFF2-40B4-BE49-F238E27FC236}">
                <a16:creationId xmlns:a16="http://schemas.microsoft.com/office/drawing/2014/main" id="{B8557EE3-C535-EF99-12C1-FDB9D0EAF05B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08" name="Line 129">
            <a:extLst>
              <a:ext uri="{FF2B5EF4-FFF2-40B4-BE49-F238E27FC236}">
                <a16:creationId xmlns:a16="http://schemas.microsoft.com/office/drawing/2014/main" id="{FBC7EEB5-AF87-E8A4-F1D0-00EB6B6A1D36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09" name="Line 130">
            <a:extLst>
              <a:ext uri="{FF2B5EF4-FFF2-40B4-BE49-F238E27FC236}">
                <a16:creationId xmlns:a16="http://schemas.microsoft.com/office/drawing/2014/main" id="{D7CCF289-34F7-2143-32DA-D19A9D7BF5E9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10" name="Rectangle 131">
            <a:extLst>
              <a:ext uri="{FF2B5EF4-FFF2-40B4-BE49-F238E27FC236}">
                <a16:creationId xmlns:a16="http://schemas.microsoft.com/office/drawing/2014/main" id="{73E3C864-54AA-504F-0099-ED10BB6241F4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1" name="Line 132">
            <a:extLst>
              <a:ext uri="{FF2B5EF4-FFF2-40B4-BE49-F238E27FC236}">
                <a16:creationId xmlns:a16="http://schemas.microsoft.com/office/drawing/2014/main" id="{64AEDDC2-9670-8FCA-E751-3A5D8F3CB94A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12" name="Rectangle 133">
            <a:extLst>
              <a:ext uri="{FF2B5EF4-FFF2-40B4-BE49-F238E27FC236}">
                <a16:creationId xmlns:a16="http://schemas.microsoft.com/office/drawing/2014/main" id="{372706C0-6209-4942-ED7D-9F5106AC52AE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13" name="Line 134">
            <a:extLst>
              <a:ext uri="{FF2B5EF4-FFF2-40B4-BE49-F238E27FC236}">
                <a16:creationId xmlns:a16="http://schemas.microsoft.com/office/drawing/2014/main" id="{8E2B14BA-BFB1-CA48-E5C3-0F30CD87D175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14" name="Line 135">
            <a:extLst>
              <a:ext uri="{FF2B5EF4-FFF2-40B4-BE49-F238E27FC236}">
                <a16:creationId xmlns:a16="http://schemas.microsoft.com/office/drawing/2014/main" id="{DBD017ED-46BE-5DFE-BC19-C826325DBE2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15" name="Line 136">
            <a:extLst>
              <a:ext uri="{FF2B5EF4-FFF2-40B4-BE49-F238E27FC236}">
                <a16:creationId xmlns:a16="http://schemas.microsoft.com/office/drawing/2014/main" id="{59B7CE1E-E4AB-25F2-E069-B514BB5B447E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4" name="Group 137">
          <a:extLst>
            <a:ext uri="{FF2B5EF4-FFF2-40B4-BE49-F238E27FC236}">
              <a16:creationId xmlns:a16="http://schemas.microsoft.com/office/drawing/2014/main" id="{13966A88-C47B-769A-FCD7-AB03EE6A0A0B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96" name="Rectangle 138">
            <a:extLst>
              <a:ext uri="{FF2B5EF4-FFF2-40B4-BE49-F238E27FC236}">
                <a16:creationId xmlns:a16="http://schemas.microsoft.com/office/drawing/2014/main" id="{68B25F77-B2E9-4677-1961-E33285454725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7" name="Rectangle 139">
            <a:extLst>
              <a:ext uri="{FF2B5EF4-FFF2-40B4-BE49-F238E27FC236}">
                <a16:creationId xmlns:a16="http://schemas.microsoft.com/office/drawing/2014/main" id="{EFE476B9-DBBC-9E93-0112-85AF30CB4B8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8" name="Rectangle 140">
            <a:extLst>
              <a:ext uri="{FF2B5EF4-FFF2-40B4-BE49-F238E27FC236}">
                <a16:creationId xmlns:a16="http://schemas.microsoft.com/office/drawing/2014/main" id="{41AFCA59-0B15-E687-E050-4B5E501DEB4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9" name="Rectangle 141">
            <a:extLst>
              <a:ext uri="{FF2B5EF4-FFF2-40B4-BE49-F238E27FC236}">
                <a16:creationId xmlns:a16="http://schemas.microsoft.com/office/drawing/2014/main" id="{19883A3D-97C0-EEA5-62A3-CD676741F71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400" name="Line 142">
            <a:extLst>
              <a:ext uri="{FF2B5EF4-FFF2-40B4-BE49-F238E27FC236}">
                <a16:creationId xmlns:a16="http://schemas.microsoft.com/office/drawing/2014/main" id="{7EB0EFAD-95A7-8F15-E542-301228ADBCA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01" name="Line 143">
            <a:extLst>
              <a:ext uri="{FF2B5EF4-FFF2-40B4-BE49-F238E27FC236}">
                <a16:creationId xmlns:a16="http://schemas.microsoft.com/office/drawing/2014/main" id="{99E63347-4F3C-ADFD-9C2D-E1A53F894F9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402" name="Line 144">
            <a:extLst>
              <a:ext uri="{FF2B5EF4-FFF2-40B4-BE49-F238E27FC236}">
                <a16:creationId xmlns:a16="http://schemas.microsoft.com/office/drawing/2014/main" id="{2829FB9C-FC72-A1EA-87E1-94DCDE57217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5" name="Group 145">
          <a:extLst>
            <a:ext uri="{FF2B5EF4-FFF2-40B4-BE49-F238E27FC236}">
              <a16:creationId xmlns:a16="http://schemas.microsoft.com/office/drawing/2014/main" id="{7BF908FF-B958-934A-10C7-E093AD89966D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89" name="Rectangle 146">
            <a:extLst>
              <a:ext uri="{FF2B5EF4-FFF2-40B4-BE49-F238E27FC236}">
                <a16:creationId xmlns:a16="http://schemas.microsoft.com/office/drawing/2014/main" id="{0C5B6F9E-BC59-B8BF-9BAA-CFA8CBA91A0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0" name="Rectangle 147">
            <a:extLst>
              <a:ext uri="{FF2B5EF4-FFF2-40B4-BE49-F238E27FC236}">
                <a16:creationId xmlns:a16="http://schemas.microsoft.com/office/drawing/2014/main" id="{8BE778E7-89F2-61F2-2854-AD0EA7E6B9F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1" name="Rectangle 148">
            <a:extLst>
              <a:ext uri="{FF2B5EF4-FFF2-40B4-BE49-F238E27FC236}">
                <a16:creationId xmlns:a16="http://schemas.microsoft.com/office/drawing/2014/main" id="{4941A218-A7FE-34A5-3421-B983453554E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2" name="Rectangle 149">
            <a:extLst>
              <a:ext uri="{FF2B5EF4-FFF2-40B4-BE49-F238E27FC236}">
                <a16:creationId xmlns:a16="http://schemas.microsoft.com/office/drawing/2014/main" id="{1BCCA77D-69D3-8622-B1EB-702EE0D0260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93" name="Line 150">
            <a:extLst>
              <a:ext uri="{FF2B5EF4-FFF2-40B4-BE49-F238E27FC236}">
                <a16:creationId xmlns:a16="http://schemas.microsoft.com/office/drawing/2014/main" id="{9A808ADE-AAB9-3243-9145-3887AC7816D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94" name="Line 151">
            <a:extLst>
              <a:ext uri="{FF2B5EF4-FFF2-40B4-BE49-F238E27FC236}">
                <a16:creationId xmlns:a16="http://schemas.microsoft.com/office/drawing/2014/main" id="{73E2434D-0158-01B7-0F73-CEB49ED06C0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95" name="Line 152">
            <a:extLst>
              <a:ext uri="{FF2B5EF4-FFF2-40B4-BE49-F238E27FC236}">
                <a16:creationId xmlns:a16="http://schemas.microsoft.com/office/drawing/2014/main" id="{E8E5A476-A1A8-7C33-FA0F-6F4E552B6950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6" name="Group 153">
          <a:extLst>
            <a:ext uri="{FF2B5EF4-FFF2-40B4-BE49-F238E27FC236}">
              <a16:creationId xmlns:a16="http://schemas.microsoft.com/office/drawing/2014/main" id="{AD7BFA7D-FBE9-821A-7FEA-16E7E873C432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82" name="Rectangle 154">
            <a:extLst>
              <a:ext uri="{FF2B5EF4-FFF2-40B4-BE49-F238E27FC236}">
                <a16:creationId xmlns:a16="http://schemas.microsoft.com/office/drawing/2014/main" id="{823AB80D-57CF-B982-416D-FBB097D002A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83" name="Rectangle 155">
            <a:extLst>
              <a:ext uri="{FF2B5EF4-FFF2-40B4-BE49-F238E27FC236}">
                <a16:creationId xmlns:a16="http://schemas.microsoft.com/office/drawing/2014/main" id="{0A03F9E6-0360-ECD9-8326-7F2D2D75BE3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84" name="Rectangle 156">
            <a:extLst>
              <a:ext uri="{FF2B5EF4-FFF2-40B4-BE49-F238E27FC236}">
                <a16:creationId xmlns:a16="http://schemas.microsoft.com/office/drawing/2014/main" id="{9655A9F9-3C3A-5A5F-8CF4-DD6F3F5270AA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85" name="Rectangle 157">
            <a:extLst>
              <a:ext uri="{FF2B5EF4-FFF2-40B4-BE49-F238E27FC236}">
                <a16:creationId xmlns:a16="http://schemas.microsoft.com/office/drawing/2014/main" id="{463CD898-87DE-5162-C65E-DED969A5146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86" name="Line 158">
            <a:extLst>
              <a:ext uri="{FF2B5EF4-FFF2-40B4-BE49-F238E27FC236}">
                <a16:creationId xmlns:a16="http://schemas.microsoft.com/office/drawing/2014/main" id="{55E41EB7-68E5-08CD-2C49-47089273D8F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87" name="Line 159">
            <a:extLst>
              <a:ext uri="{FF2B5EF4-FFF2-40B4-BE49-F238E27FC236}">
                <a16:creationId xmlns:a16="http://schemas.microsoft.com/office/drawing/2014/main" id="{032EED01-E0DE-4429-E583-D1472389A1A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88" name="Line 160">
            <a:extLst>
              <a:ext uri="{FF2B5EF4-FFF2-40B4-BE49-F238E27FC236}">
                <a16:creationId xmlns:a16="http://schemas.microsoft.com/office/drawing/2014/main" id="{0D8E61E6-7130-22E9-4C53-C713F26A3C1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7" name="Group 161">
          <a:extLst>
            <a:ext uri="{FF2B5EF4-FFF2-40B4-BE49-F238E27FC236}">
              <a16:creationId xmlns:a16="http://schemas.microsoft.com/office/drawing/2014/main" id="{4D676A8A-7CEC-C682-8C51-94267FFC507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75" name="Rectangle 162">
            <a:extLst>
              <a:ext uri="{FF2B5EF4-FFF2-40B4-BE49-F238E27FC236}">
                <a16:creationId xmlns:a16="http://schemas.microsoft.com/office/drawing/2014/main" id="{3EE22C74-3D6B-B0BA-3698-9A55DAA5F8F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6" name="Rectangle 163">
            <a:extLst>
              <a:ext uri="{FF2B5EF4-FFF2-40B4-BE49-F238E27FC236}">
                <a16:creationId xmlns:a16="http://schemas.microsoft.com/office/drawing/2014/main" id="{13172178-2599-2A37-4804-0A21C23FB5E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7" name="Rectangle 164">
            <a:extLst>
              <a:ext uri="{FF2B5EF4-FFF2-40B4-BE49-F238E27FC236}">
                <a16:creationId xmlns:a16="http://schemas.microsoft.com/office/drawing/2014/main" id="{B6EE416B-D10E-1564-9EED-80CD5A30E3B9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8" name="Rectangle 165">
            <a:extLst>
              <a:ext uri="{FF2B5EF4-FFF2-40B4-BE49-F238E27FC236}">
                <a16:creationId xmlns:a16="http://schemas.microsoft.com/office/drawing/2014/main" id="{3A8EEFD2-7921-5220-08F4-506798A2E86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9" name="Line 166">
            <a:extLst>
              <a:ext uri="{FF2B5EF4-FFF2-40B4-BE49-F238E27FC236}">
                <a16:creationId xmlns:a16="http://schemas.microsoft.com/office/drawing/2014/main" id="{7F7987F5-05A7-E7BA-9965-C6464799506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80" name="Line 167">
            <a:extLst>
              <a:ext uri="{FF2B5EF4-FFF2-40B4-BE49-F238E27FC236}">
                <a16:creationId xmlns:a16="http://schemas.microsoft.com/office/drawing/2014/main" id="{AF18899A-AC91-AB11-9C8C-6CA82CB983D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81" name="Line 168">
            <a:extLst>
              <a:ext uri="{FF2B5EF4-FFF2-40B4-BE49-F238E27FC236}">
                <a16:creationId xmlns:a16="http://schemas.microsoft.com/office/drawing/2014/main" id="{21CD022E-ED07-B545-92AD-9AAEA1C4595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8" name="Group 169">
          <a:extLst>
            <a:ext uri="{FF2B5EF4-FFF2-40B4-BE49-F238E27FC236}">
              <a16:creationId xmlns:a16="http://schemas.microsoft.com/office/drawing/2014/main" id="{9929F579-67C6-F016-2D1E-6CA9CB188CBA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68" name="Rectangle 170">
            <a:extLst>
              <a:ext uri="{FF2B5EF4-FFF2-40B4-BE49-F238E27FC236}">
                <a16:creationId xmlns:a16="http://schemas.microsoft.com/office/drawing/2014/main" id="{8F904179-CFF0-1B17-0364-7290CFC06CE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9" name="Rectangle 171">
            <a:extLst>
              <a:ext uri="{FF2B5EF4-FFF2-40B4-BE49-F238E27FC236}">
                <a16:creationId xmlns:a16="http://schemas.microsoft.com/office/drawing/2014/main" id="{3F36337A-E622-3F65-EF24-33B31A74CFB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0" name="Rectangle 172">
            <a:extLst>
              <a:ext uri="{FF2B5EF4-FFF2-40B4-BE49-F238E27FC236}">
                <a16:creationId xmlns:a16="http://schemas.microsoft.com/office/drawing/2014/main" id="{A6F5056F-E0A9-C3E1-9317-0A86AD0AFFDA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1" name="Rectangle 173">
            <a:extLst>
              <a:ext uri="{FF2B5EF4-FFF2-40B4-BE49-F238E27FC236}">
                <a16:creationId xmlns:a16="http://schemas.microsoft.com/office/drawing/2014/main" id="{E721C963-303A-D712-255C-20004EE484E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72" name="Line 174">
            <a:extLst>
              <a:ext uri="{FF2B5EF4-FFF2-40B4-BE49-F238E27FC236}">
                <a16:creationId xmlns:a16="http://schemas.microsoft.com/office/drawing/2014/main" id="{418B5C5D-8951-AD8F-C1EC-198065534BC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73" name="Line 175">
            <a:extLst>
              <a:ext uri="{FF2B5EF4-FFF2-40B4-BE49-F238E27FC236}">
                <a16:creationId xmlns:a16="http://schemas.microsoft.com/office/drawing/2014/main" id="{D64722C5-BC47-DDDC-5744-FCB0D440E2C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74" name="Line 176">
            <a:extLst>
              <a:ext uri="{FF2B5EF4-FFF2-40B4-BE49-F238E27FC236}">
                <a16:creationId xmlns:a16="http://schemas.microsoft.com/office/drawing/2014/main" id="{7A4251E7-0218-ACC7-CB65-59103B88105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59" name="Group 177">
          <a:extLst>
            <a:ext uri="{FF2B5EF4-FFF2-40B4-BE49-F238E27FC236}">
              <a16:creationId xmlns:a16="http://schemas.microsoft.com/office/drawing/2014/main" id="{071D0AA3-1479-0259-2A15-EAFA3AE20745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61" name="Rectangle 178">
            <a:extLst>
              <a:ext uri="{FF2B5EF4-FFF2-40B4-BE49-F238E27FC236}">
                <a16:creationId xmlns:a16="http://schemas.microsoft.com/office/drawing/2014/main" id="{12D4BDF2-9926-5B5B-5218-FEE6ADBE07D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2" name="Rectangle 179">
            <a:extLst>
              <a:ext uri="{FF2B5EF4-FFF2-40B4-BE49-F238E27FC236}">
                <a16:creationId xmlns:a16="http://schemas.microsoft.com/office/drawing/2014/main" id="{67BE3DE9-D9C4-4E31-8CC1-81BD6192A0E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3" name="Rectangle 180">
            <a:extLst>
              <a:ext uri="{FF2B5EF4-FFF2-40B4-BE49-F238E27FC236}">
                <a16:creationId xmlns:a16="http://schemas.microsoft.com/office/drawing/2014/main" id="{E2BA0056-949F-D76F-C6F8-6B36524125C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4" name="Rectangle 181">
            <a:extLst>
              <a:ext uri="{FF2B5EF4-FFF2-40B4-BE49-F238E27FC236}">
                <a16:creationId xmlns:a16="http://schemas.microsoft.com/office/drawing/2014/main" id="{B759C696-2F3F-4BA2-7E1A-209868D59EC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65" name="Line 182">
            <a:extLst>
              <a:ext uri="{FF2B5EF4-FFF2-40B4-BE49-F238E27FC236}">
                <a16:creationId xmlns:a16="http://schemas.microsoft.com/office/drawing/2014/main" id="{C66658BA-A372-7A11-119B-9F6FFD62082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66" name="Line 183">
            <a:extLst>
              <a:ext uri="{FF2B5EF4-FFF2-40B4-BE49-F238E27FC236}">
                <a16:creationId xmlns:a16="http://schemas.microsoft.com/office/drawing/2014/main" id="{224E2DB3-B00A-A512-52B2-4327A4CE8AE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67" name="Line 184">
            <a:extLst>
              <a:ext uri="{FF2B5EF4-FFF2-40B4-BE49-F238E27FC236}">
                <a16:creationId xmlns:a16="http://schemas.microsoft.com/office/drawing/2014/main" id="{16BCDE6E-5A4D-DC4B-E242-823B3B296CF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0" name="Group 185">
          <a:extLst>
            <a:ext uri="{FF2B5EF4-FFF2-40B4-BE49-F238E27FC236}">
              <a16:creationId xmlns:a16="http://schemas.microsoft.com/office/drawing/2014/main" id="{330E82EB-DAF8-8B1F-4ACA-75AF71EAC58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54" name="Rectangle 186">
            <a:extLst>
              <a:ext uri="{FF2B5EF4-FFF2-40B4-BE49-F238E27FC236}">
                <a16:creationId xmlns:a16="http://schemas.microsoft.com/office/drawing/2014/main" id="{CAF15626-D291-4F80-42C7-2E7CF7AE9FC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5" name="Rectangle 187">
            <a:extLst>
              <a:ext uri="{FF2B5EF4-FFF2-40B4-BE49-F238E27FC236}">
                <a16:creationId xmlns:a16="http://schemas.microsoft.com/office/drawing/2014/main" id="{0BE1B9D2-617E-A4E0-A2DB-0074BB2AA33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6" name="Rectangle 188">
            <a:extLst>
              <a:ext uri="{FF2B5EF4-FFF2-40B4-BE49-F238E27FC236}">
                <a16:creationId xmlns:a16="http://schemas.microsoft.com/office/drawing/2014/main" id="{1977BA2B-815C-AC60-E22D-67A6C0EA298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7" name="Rectangle 189">
            <a:extLst>
              <a:ext uri="{FF2B5EF4-FFF2-40B4-BE49-F238E27FC236}">
                <a16:creationId xmlns:a16="http://schemas.microsoft.com/office/drawing/2014/main" id="{86ED2F16-0605-2666-81B8-E769B0C18E1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8" name="Line 190">
            <a:extLst>
              <a:ext uri="{FF2B5EF4-FFF2-40B4-BE49-F238E27FC236}">
                <a16:creationId xmlns:a16="http://schemas.microsoft.com/office/drawing/2014/main" id="{EB2D8E66-0E62-81AF-61DC-F005BDE5D4A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59" name="Line 191">
            <a:extLst>
              <a:ext uri="{FF2B5EF4-FFF2-40B4-BE49-F238E27FC236}">
                <a16:creationId xmlns:a16="http://schemas.microsoft.com/office/drawing/2014/main" id="{03A3A3B7-2CF4-2484-4657-9EE233109D9D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60" name="Line 192">
            <a:extLst>
              <a:ext uri="{FF2B5EF4-FFF2-40B4-BE49-F238E27FC236}">
                <a16:creationId xmlns:a16="http://schemas.microsoft.com/office/drawing/2014/main" id="{715AFF02-2E7C-B42F-AB1E-5CBBD3AF9AF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1" name="Group 193">
          <a:extLst>
            <a:ext uri="{FF2B5EF4-FFF2-40B4-BE49-F238E27FC236}">
              <a16:creationId xmlns:a16="http://schemas.microsoft.com/office/drawing/2014/main" id="{E7A7F1F5-FA59-2F4D-6BA6-7213A1ECE0DC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47" name="Rectangle 194">
            <a:extLst>
              <a:ext uri="{FF2B5EF4-FFF2-40B4-BE49-F238E27FC236}">
                <a16:creationId xmlns:a16="http://schemas.microsoft.com/office/drawing/2014/main" id="{9616BA3C-76F6-276E-A1CF-3E793C41EDE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8" name="Rectangle 195">
            <a:extLst>
              <a:ext uri="{FF2B5EF4-FFF2-40B4-BE49-F238E27FC236}">
                <a16:creationId xmlns:a16="http://schemas.microsoft.com/office/drawing/2014/main" id="{3DDFCFC3-0B85-F426-F8BD-E71457683A7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9" name="Rectangle 196">
            <a:extLst>
              <a:ext uri="{FF2B5EF4-FFF2-40B4-BE49-F238E27FC236}">
                <a16:creationId xmlns:a16="http://schemas.microsoft.com/office/drawing/2014/main" id="{363AA2CE-8673-77CE-F2EC-4DDE8CB9289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0" name="Rectangle 197">
            <a:extLst>
              <a:ext uri="{FF2B5EF4-FFF2-40B4-BE49-F238E27FC236}">
                <a16:creationId xmlns:a16="http://schemas.microsoft.com/office/drawing/2014/main" id="{42329736-FC81-1AB2-D7CA-CCBFE83AFF5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51" name="Line 198">
            <a:extLst>
              <a:ext uri="{FF2B5EF4-FFF2-40B4-BE49-F238E27FC236}">
                <a16:creationId xmlns:a16="http://schemas.microsoft.com/office/drawing/2014/main" id="{F91CAC1E-788C-8784-5D43-95214A133FE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52" name="Line 199">
            <a:extLst>
              <a:ext uri="{FF2B5EF4-FFF2-40B4-BE49-F238E27FC236}">
                <a16:creationId xmlns:a16="http://schemas.microsoft.com/office/drawing/2014/main" id="{FE721BE4-51F4-E7F9-2AB4-6768A8D84B1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53" name="Line 200">
            <a:extLst>
              <a:ext uri="{FF2B5EF4-FFF2-40B4-BE49-F238E27FC236}">
                <a16:creationId xmlns:a16="http://schemas.microsoft.com/office/drawing/2014/main" id="{C4495E50-E493-751F-43EC-B71DE596126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2" name="Group 201">
          <a:extLst>
            <a:ext uri="{FF2B5EF4-FFF2-40B4-BE49-F238E27FC236}">
              <a16:creationId xmlns:a16="http://schemas.microsoft.com/office/drawing/2014/main" id="{C25BE9A2-1B72-0F9B-C7DF-2D2F63FCAA62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40" name="Rectangle 202">
            <a:extLst>
              <a:ext uri="{FF2B5EF4-FFF2-40B4-BE49-F238E27FC236}">
                <a16:creationId xmlns:a16="http://schemas.microsoft.com/office/drawing/2014/main" id="{20E79C60-73B2-7A4C-5C22-8DB75E265D1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1" name="Rectangle 203">
            <a:extLst>
              <a:ext uri="{FF2B5EF4-FFF2-40B4-BE49-F238E27FC236}">
                <a16:creationId xmlns:a16="http://schemas.microsoft.com/office/drawing/2014/main" id="{A4E488E8-852D-CC94-A855-97FB28E07AF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2" name="Rectangle 204">
            <a:extLst>
              <a:ext uri="{FF2B5EF4-FFF2-40B4-BE49-F238E27FC236}">
                <a16:creationId xmlns:a16="http://schemas.microsoft.com/office/drawing/2014/main" id="{94B8B363-CA6E-78F4-FC49-E698574745B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3" name="Rectangle 205">
            <a:extLst>
              <a:ext uri="{FF2B5EF4-FFF2-40B4-BE49-F238E27FC236}">
                <a16:creationId xmlns:a16="http://schemas.microsoft.com/office/drawing/2014/main" id="{6D41C16B-50E0-7C54-3098-CB4B1D2C122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44" name="Line 206">
            <a:extLst>
              <a:ext uri="{FF2B5EF4-FFF2-40B4-BE49-F238E27FC236}">
                <a16:creationId xmlns:a16="http://schemas.microsoft.com/office/drawing/2014/main" id="{EE82AD31-57FE-A325-50AC-BF5B7AC2F27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45" name="Line 207">
            <a:extLst>
              <a:ext uri="{FF2B5EF4-FFF2-40B4-BE49-F238E27FC236}">
                <a16:creationId xmlns:a16="http://schemas.microsoft.com/office/drawing/2014/main" id="{BFA0FB6E-FD67-EDC9-AFFC-CD13865A496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46" name="Line 208">
            <a:extLst>
              <a:ext uri="{FF2B5EF4-FFF2-40B4-BE49-F238E27FC236}">
                <a16:creationId xmlns:a16="http://schemas.microsoft.com/office/drawing/2014/main" id="{854EF9EA-F830-13F4-0446-1685CE0F7BB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3" name="Group 209">
          <a:extLst>
            <a:ext uri="{FF2B5EF4-FFF2-40B4-BE49-F238E27FC236}">
              <a16:creationId xmlns:a16="http://schemas.microsoft.com/office/drawing/2014/main" id="{41677F84-97BF-5EF1-4245-691BF4829C65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33" name="Rectangle 210">
            <a:extLst>
              <a:ext uri="{FF2B5EF4-FFF2-40B4-BE49-F238E27FC236}">
                <a16:creationId xmlns:a16="http://schemas.microsoft.com/office/drawing/2014/main" id="{32877B30-8E42-E5DA-E325-8DCA81046A0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4" name="Rectangle 211">
            <a:extLst>
              <a:ext uri="{FF2B5EF4-FFF2-40B4-BE49-F238E27FC236}">
                <a16:creationId xmlns:a16="http://schemas.microsoft.com/office/drawing/2014/main" id="{B20ACC08-DEDD-8C11-EE3C-AC721D37D72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5" name="Rectangle 212">
            <a:extLst>
              <a:ext uri="{FF2B5EF4-FFF2-40B4-BE49-F238E27FC236}">
                <a16:creationId xmlns:a16="http://schemas.microsoft.com/office/drawing/2014/main" id="{1B9348D4-A6A2-0964-8691-1DDAAF55D02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6" name="Rectangle 213">
            <a:extLst>
              <a:ext uri="{FF2B5EF4-FFF2-40B4-BE49-F238E27FC236}">
                <a16:creationId xmlns:a16="http://schemas.microsoft.com/office/drawing/2014/main" id="{CDD1C7DC-60ED-E90F-7F04-89E13FBE930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7" name="Line 214">
            <a:extLst>
              <a:ext uri="{FF2B5EF4-FFF2-40B4-BE49-F238E27FC236}">
                <a16:creationId xmlns:a16="http://schemas.microsoft.com/office/drawing/2014/main" id="{E30E4290-0F81-2C55-5402-5D8FA913BE3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38" name="Line 215">
            <a:extLst>
              <a:ext uri="{FF2B5EF4-FFF2-40B4-BE49-F238E27FC236}">
                <a16:creationId xmlns:a16="http://schemas.microsoft.com/office/drawing/2014/main" id="{9FF0C112-1467-9195-09FF-BFBF48CAB34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39" name="Line 216">
            <a:extLst>
              <a:ext uri="{FF2B5EF4-FFF2-40B4-BE49-F238E27FC236}">
                <a16:creationId xmlns:a16="http://schemas.microsoft.com/office/drawing/2014/main" id="{B42BA33C-51A2-9BE7-A045-05680D4BADF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4" name="Group 217">
          <a:extLst>
            <a:ext uri="{FF2B5EF4-FFF2-40B4-BE49-F238E27FC236}">
              <a16:creationId xmlns:a16="http://schemas.microsoft.com/office/drawing/2014/main" id="{DE729004-A858-494E-EA7A-9CB4B4EF447F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26" name="Rectangle 218">
            <a:extLst>
              <a:ext uri="{FF2B5EF4-FFF2-40B4-BE49-F238E27FC236}">
                <a16:creationId xmlns:a16="http://schemas.microsoft.com/office/drawing/2014/main" id="{9D6B286A-77D2-CB7E-CB05-9F7C1E4D2D5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7" name="Rectangle 219">
            <a:extLst>
              <a:ext uri="{FF2B5EF4-FFF2-40B4-BE49-F238E27FC236}">
                <a16:creationId xmlns:a16="http://schemas.microsoft.com/office/drawing/2014/main" id="{C5AA7E56-B2B7-4938-17F2-45DA3BD4B09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8" name="Rectangle 220">
            <a:extLst>
              <a:ext uri="{FF2B5EF4-FFF2-40B4-BE49-F238E27FC236}">
                <a16:creationId xmlns:a16="http://schemas.microsoft.com/office/drawing/2014/main" id="{55DD3897-D8E3-2E26-73BC-B0F0A3CAE2B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9" name="Rectangle 221">
            <a:extLst>
              <a:ext uri="{FF2B5EF4-FFF2-40B4-BE49-F238E27FC236}">
                <a16:creationId xmlns:a16="http://schemas.microsoft.com/office/drawing/2014/main" id="{F2C78C35-F4D2-5F35-4C37-F7396D2203F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30" name="Line 222">
            <a:extLst>
              <a:ext uri="{FF2B5EF4-FFF2-40B4-BE49-F238E27FC236}">
                <a16:creationId xmlns:a16="http://schemas.microsoft.com/office/drawing/2014/main" id="{49D96AAD-1E6C-5AEA-1153-178D0145454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31" name="Line 223">
            <a:extLst>
              <a:ext uri="{FF2B5EF4-FFF2-40B4-BE49-F238E27FC236}">
                <a16:creationId xmlns:a16="http://schemas.microsoft.com/office/drawing/2014/main" id="{13B01985-3D19-CD9B-DD6B-815E899EE20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32" name="Line 224">
            <a:extLst>
              <a:ext uri="{FF2B5EF4-FFF2-40B4-BE49-F238E27FC236}">
                <a16:creationId xmlns:a16="http://schemas.microsoft.com/office/drawing/2014/main" id="{8CAB147C-16DB-2D6F-8A7B-4ED6E82066B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5" name="Group 225">
          <a:extLst>
            <a:ext uri="{FF2B5EF4-FFF2-40B4-BE49-F238E27FC236}">
              <a16:creationId xmlns:a16="http://schemas.microsoft.com/office/drawing/2014/main" id="{1DA3F0BC-5178-C996-64D0-4251D12863BA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19" name="Rectangle 226">
            <a:extLst>
              <a:ext uri="{FF2B5EF4-FFF2-40B4-BE49-F238E27FC236}">
                <a16:creationId xmlns:a16="http://schemas.microsoft.com/office/drawing/2014/main" id="{2FD71D87-F27E-8E79-36A1-E0427C696A4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0" name="Rectangle 227">
            <a:extLst>
              <a:ext uri="{FF2B5EF4-FFF2-40B4-BE49-F238E27FC236}">
                <a16:creationId xmlns:a16="http://schemas.microsoft.com/office/drawing/2014/main" id="{2300B963-9680-9532-B702-42DA514F09C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1" name="Rectangle 228">
            <a:extLst>
              <a:ext uri="{FF2B5EF4-FFF2-40B4-BE49-F238E27FC236}">
                <a16:creationId xmlns:a16="http://schemas.microsoft.com/office/drawing/2014/main" id="{D0FE6FDF-A63B-4D73-764A-4C04A680EE5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2" name="Rectangle 229">
            <a:extLst>
              <a:ext uri="{FF2B5EF4-FFF2-40B4-BE49-F238E27FC236}">
                <a16:creationId xmlns:a16="http://schemas.microsoft.com/office/drawing/2014/main" id="{A6F1E0E8-5FF0-DACB-E733-6572D67EA5B7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23" name="Line 230">
            <a:extLst>
              <a:ext uri="{FF2B5EF4-FFF2-40B4-BE49-F238E27FC236}">
                <a16:creationId xmlns:a16="http://schemas.microsoft.com/office/drawing/2014/main" id="{02A4958B-E651-3CE6-C825-4EED752CD393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24" name="Line 231">
            <a:extLst>
              <a:ext uri="{FF2B5EF4-FFF2-40B4-BE49-F238E27FC236}">
                <a16:creationId xmlns:a16="http://schemas.microsoft.com/office/drawing/2014/main" id="{EB3910BE-E466-E90C-B88A-B849871ABE8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25" name="Line 232">
            <a:extLst>
              <a:ext uri="{FF2B5EF4-FFF2-40B4-BE49-F238E27FC236}">
                <a16:creationId xmlns:a16="http://schemas.microsoft.com/office/drawing/2014/main" id="{7774D2D5-3B4B-2E32-2D15-9CDE84D1108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6" name="Group 233">
          <a:extLst>
            <a:ext uri="{FF2B5EF4-FFF2-40B4-BE49-F238E27FC236}">
              <a16:creationId xmlns:a16="http://schemas.microsoft.com/office/drawing/2014/main" id="{204B4A54-F812-BF49-5DF7-D7F6E297F2B6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12" name="Rectangle 234">
            <a:extLst>
              <a:ext uri="{FF2B5EF4-FFF2-40B4-BE49-F238E27FC236}">
                <a16:creationId xmlns:a16="http://schemas.microsoft.com/office/drawing/2014/main" id="{0E1332A0-CC75-8F13-811E-AFD96277EF17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13" name="Rectangle 235">
            <a:extLst>
              <a:ext uri="{FF2B5EF4-FFF2-40B4-BE49-F238E27FC236}">
                <a16:creationId xmlns:a16="http://schemas.microsoft.com/office/drawing/2014/main" id="{710441DC-5C1C-6966-89F5-9483F6DA67B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14" name="Rectangle 236">
            <a:extLst>
              <a:ext uri="{FF2B5EF4-FFF2-40B4-BE49-F238E27FC236}">
                <a16:creationId xmlns:a16="http://schemas.microsoft.com/office/drawing/2014/main" id="{E51AB06E-478B-3350-8BCB-701509BDA32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15" name="Rectangle 237">
            <a:extLst>
              <a:ext uri="{FF2B5EF4-FFF2-40B4-BE49-F238E27FC236}">
                <a16:creationId xmlns:a16="http://schemas.microsoft.com/office/drawing/2014/main" id="{7248375A-ED78-32BA-05B7-64BB0741A26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16" name="Line 238">
            <a:extLst>
              <a:ext uri="{FF2B5EF4-FFF2-40B4-BE49-F238E27FC236}">
                <a16:creationId xmlns:a16="http://schemas.microsoft.com/office/drawing/2014/main" id="{8DE90F7D-4BAA-BDCB-438A-61CDEDF6A40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17" name="Line 239">
            <a:extLst>
              <a:ext uri="{FF2B5EF4-FFF2-40B4-BE49-F238E27FC236}">
                <a16:creationId xmlns:a16="http://schemas.microsoft.com/office/drawing/2014/main" id="{05369F5D-1473-D439-44A7-9D262048FC1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18" name="Line 240">
            <a:extLst>
              <a:ext uri="{FF2B5EF4-FFF2-40B4-BE49-F238E27FC236}">
                <a16:creationId xmlns:a16="http://schemas.microsoft.com/office/drawing/2014/main" id="{247153A4-BC1C-672C-E142-CC07DA99ACC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7" name="Group 241">
          <a:extLst>
            <a:ext uri="{FF2B5EF4-FFF2-40B4-BE49-F238E27FC236}">
              <a16:creationId xmlns:a16="http://schemas.microsoft.com/office/drawing/2014/main" id="{3E9DF06A-A49C-E40D-32D2-433B8D16727D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305" name="Rectangle 242">
            <a:extLst>
              <a:ext uri="{FF2B5EF4-FFF2-40B4-BE49-F238E27FC236}">
                <a16:creationId xmlns:a16="http://schemas.microsoft.com/office/drawing/2014/main" id="{E3F54218-85EF-A7B3-840B-DB36EA46C29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6" name="Rectangle 243">
            <a:extLst>
              <a:ext uri="{FF2B5EF4-FFF2-40B4-BE49-F238E27FC236}">
                <a16:creationId xmlns:a16="http://schemas.microsoft.com/office/drawing/2014/main" id="{3924670C-FD10-233B-5A86-80038B8EBA7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7" name="Rectangle 244">
            <a:extLst>
              <a:ext uri="{FF2B5EF4-FFF2-40B4-BE49-F238E27FC236}">
                <a16:creationId xmlns:a16="http://schemas.microsoft.com/office/drawing/2014/main" id="{30DFF645-FF46-79D7-6887-1151B037E1A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8" name="Rectangle 245">
            <a:extLst>
              <a:ext uri="{FF2B5EF4-FFF2-40B4-BE49-F238E27FC236}">
                <a16:creationId xmlns:a16="http://schemas.microsoft.com/office/drawing/2014/main" id="{7DE21A0E-D990-293F-EE15-2B2B7764C01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9" name="Line 246">
            <a:extLst>
              <a:ext uri="{FF2B5EF4-FFF2-40B4-BE49-F238E27FC236}">
                <a16:creationId xmlns:a16="http://schemas.microsoft.com/office/drawing/2014/main" id="{FA10BCD7-6D1E-3DCB-6D2F-D315521C264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10" name="Line 247">
            <a:extLst>
              <a:ext uri="{FF2B5EF4-FFF2-40B4-BE49-F238E27FC236}">
                <a16:creationId xmlns:a16="http://schemas.microsoft.com/office/drawing/2014/main" id="{714833BB-6F3D-6426-4F03-5F399DE1068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11" name="Line 248">
            <a:extLst>
              <a:ext uri="{FF2B5EF4-FFF2-40B4-BE49-F238E27FC236}">
                <a16:creationId xmlns:a16="http://schemas.microsoft.com/office/drawing/2014/main" id="{6B7A2E41-60C4-4E8C-3F68-267D8804B4A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8" name="Group 249">
          <a:extLst>
            <a:ext uri="{FF2B5EF4-FFF2-40B4-BE49-F238E27FC236}">
              <a16:creationId xmlns:a16="http://schemas.microsoft.com/office/drawing/2014/main" id="{23A34D8F-963C-ECC2-5BA0-1A428A96771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98" name="Rectangle 250">
            <a:extLst>
              <a:ext uri="{FF2B5EF4-FFF2-40B4-BE49-F238E27FC236}">
                <a16:creationId xmlns:a16="http://schemas.microsoft.com/office/drawing/2014/main" id="{6F0295DE-2DCD-E4D2-F479-46F2A9D952AF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9" name="Rectangle 251">
            <a:extLst>
              <a:ext uri="{FF2B5EF4-FFF2-40B4-BE49-F238E27FC236}">
                <a16:creationId xmlns:a16="http://schemas.microsoft.com/office/drawing/2014/main" id="{D7DD1BB4-0C50-2F6C-A32D-E0664E8CE80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0" name="Rectangle 252">
            <a:extLst>
              <a:ext uri="{FF2B5EF4-FFF2-40B4-BE49-F238E27FC236}">
                <a16:creationId xmlns:a16="http://schemas.microsoft.com/office/drawing/2014/main" id="{0B804DCD-AC3A-D84A-91A9-F814C995211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1" name="Rectangle 253">
            <a:extLst>
              <a:ext uri="{FF2B5EF4-FFF2-40B4-BE49-F238E27FC236}">
                <a16:creationId xmlns:a16="http://schemas.microsoft.com/office/drawing/2014/main" id="{FF13EBC9-6BE9-6195-EE99-B6035146E66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302" name="Line 254">
            <a:extLst>
              <a:ext uri="{FF2B5EF4-FFF2-40B4-BE49-F238E27FC236}">
                <a16:creationId xmlns:a16="http://schemas.microsoft.com/office/drawing/2014/main" id="{CB838C82-2D44-4AAB-05DA-5078ACDDC47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03" name="Line 255">
            <a:extLst>
              <a:ext uri="{FF2B5EF4-FFF2-40B4-BE49-F238E27FC236}">
                <a16:creationId xmlns:a16="http://schemas.microsoft.com/office/drawing/2014/main" id="{12F6D709-C3D6-3CA3-DFA6-849B269EEE4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304" name="Line 256">
            <a:extLst>
              <a:ext uri="{FF2B5EF4-FFF2-40B4-BE49-F238E27FC236}">
                <a16:creationId xmlns:a16="http://schemas.microsoft.com/office/drawing/2014/main" id="{978E988B-5DF8-C126-F60F-09560E19B3E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69" name="Group 257">
          <a:extLst>
            <a:ext uri="{FF2B5EF4-FFF2-40B4-BE49-F238E27FC236}">
              <a16:creationId xmlns:a16="http://schemas.microsoft.com/office/drawing/2014/main" id="{642EDFCB-66C2-452D-A008-948C9BC0743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91" name="Rectangle 258">
            <a:extLst>
              <a:ext uri="{FF2B5EF4-FFF2-40B4-BE49-F238E27FC236}">
                <a16:creationId xmlns:a16="http://schemas.microsoft.com/office/drawing/2014/main" id="{C4AF99BC-2EBD-B07C-AEFD-955623E2476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2" name="Rectangle 259">
            <a:extLst>
              <a:ext uri="{FF2B5EF4-FFF2-40B4-BE49-F238E27FC236}">
                <a16:creationId xmlns:a16="http://schemas.microsoft.com/office/drawing/2014/main" id="{BC1AEE8F-0B51-F86E-0BD8-10027042AF2C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3" name="Rectangle 260">
            <a:extLst>
              <a:ext uri="{FF2B5EF4-FFF2-40B4-BE49-F238E27FC236}">
                <a16:creationId xmlns:a16="http://schemas.microsoft.com/office/drawing/2014/main" id="{3902D6A9-AE7A-5F90-4814-8670439B613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4" name="Rectangle 261">
            <a:extLst>
              <a:ext uri="{FF2B5EF4-FFF2-40B4-BE49-F238E27FC236}">
                <a16:creationId xmlns:a16="http://schemas.microsoft.com/office/drawing/2014/main" id="{128E52DF-9C3E-B208-9C3A-C55CCFFB836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95" name="Line 262">
            <a:extLst>
              <a:ext uri="{FF2B5EF4-FFF2-40B4-BE49-F238E27FC236}">
                <a16:creationId xmlns:a16="http://schemas.microsoft.com/office/drawing/2014/main" id="{943C9910-F5A4-610A-CAC8-C2ECD422B2A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96" name="Line 263">
            <a:extLst>
              <a:ext uri="{FF2B5EF4-FFF2-40B4-BE49-F238E27FC236}">
                <a16:creationId xmlns:a16="http://schemas.microsoft.com/office/drawing/2014/main" id="{02ADBA6B-B291-9253-A7FA-5046A9AC062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97" name="Line 264">
            <a:extLst>
              <a:ext uri="{FF2B5EF4-FFF2-40B4-BE49-F238E27FC236}">
                <a16:creationId xmlns:a16="http://schemas.microsoft.com/office/drawing/2014/main" id="{BF490959-8230-3CDA-7D93-9DDEB1523E7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0" name="Group 265">
          <a:extLst>
            <a:ext uri="{FF2B5EF4-FFF2-40B4-BE49-F238E27FC236}">
              <a16:creationId xmlns:a16="http://schemas.microsoft.com/office/drawing/2014/main" id="{B320AC54-98E7-429A-A671-C62A9032C53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84" name="Rectangle 266">
            <a:extLst>
              <a:ext uri="{FF2B5EF4-FFF2-40B4-BE49-F238E27FC236}">
                <a16:creationId xmlns:a16="http://schemas.microsoft.com/office/drawing/2014/main" id="{7FC7E084-3AE2-2D20-0BFD-5C8B2DF6CA0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5" name="Rectangle 267">
            <a:extLst>
              <a:ext uri="{FF2B5EF4-FFF2-40B4-BE49-F238E27FC236}">
                <a16:creationId xmlns:a16="http://schemas.microsoft.com/office/drawing/2014/main" id="{819FCD00-563C-8D36-A25C-F20B74809BF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6" name="Rectangle 268">
            <a:extLst>
              <a:ext uri="{FF2B5EF4-FFF2-40B4-BE49-F238E27FC236}">
                <a16:creationId xmlns:a16="http://schemas.microsoft.com/office/drawing/2014/main" id="{790A487A-88C9-5EA1-3670-1EEACD7C0F6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7" name="Rectangle 269">
            <a:extLst>
              <a:ext uri="{FF2B5EF4-FFF2-40B4-BE49-F238E27FC236}">
                <a16:creationId xmlns:a16="http://schemas.microsoft.com/office/drawing/2014/main" id="{75500EEE-ACBA-7812-CBB6-6160069AB530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8" name="Line 270">
            <a:extLst>
              <a:ext uri="{FF2B5EF4-FFF2-40B4-BE49-F238E27FC236}">
                <a16:creationId xmlns:a16="http://schemas.microsoft.com/office/drawing/2014/main" id="{706243A9-68E5-F300-ABA9-3094C463A9A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89" name="Line 271">
            <a:extLst>
              <a:ext uri="{FF2B5EF4-FFF2-40B4-BE49-F238E27FC236}">
                <a16:creationId xmlns:a16="http://schemas.microsoft.com/office/drawing/2014/main" id="{AE813D2F-D410-7732-3999-33F50E60DDA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90" name="Line 272">
            <a:extLst>
              <a:ext uri="{FF2B5EF4-FFF2-40B4-BE49-F238E27FC236}">
                <a16:creationId xmlns:a16="http://schemas.microsoft.com/office/drawing/2014/main" id="{346B9F07-F7E8-5856-EE11-B7C9EAC2F82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1" name="Group 273">
          <a:extLst>
            <a:ext uri="{FF2B5EF4-FFF2-40B4-BE49-F238E27FC236}">
              <a16:creationId xmlns:a16="http://schemas.microsoft.com/office/drawing/2014/main" id="{B785F8D0-7C2D-F401-B78E-55C0CD841723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77" name="Rectangle 274">
            <a:extLst>
              <a:ext uri="{FF2B5EF4-FFF2-40B4-BE49-F238E27FC236}">
                <a16:creationId xmlns:a16="http://schemas.microsoft.com/office/drawing/2014/main" id="{6A19CCFE-6CBA-6A09-CFD7-64949AC136A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8" name="Rectangle 275">
            <a:extLst>
              <a:ext uri="{FF2B5EF4-FFF2-40B4-BE49-F238E27FC236}">
                <a16:creationId xmlns:a16="http://schemas.microsoft.com/office/drawing/2014/main" id="{CF94BE5C-7CCC-DDF4-2210-4F71249A815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9" name="Rectangle 276">
            <a:extLst>
              <a:ext uri="{FF2B5EF4-FFF2-40B4-BE49-F238E27FC236}">
                <a16:creationId xmlns:a16="http://schemas.microsoft.com/office/drawing/2014/main" id="{DB266388-DA67-3455-0E00-54A37CD49F8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0" name="Rectangle 277">
            <a:extLst>
              <a:ext uri="{FF2B5EF4-FFF2-40B4-BE49-F238E27FC236}">
                <a16:creationId xmlns:a16="http://schemas.microsoft.com/office/drawing/2014/main" id="{E993F938-5F74-5978-0967-E84AE8FD661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81" name="Line 278">
            <a:extLst>
              <a:ext uri="{FF2B5EF4-FFF2-40B4-BE49-F238E27FC236}">
                <a16:creationId xmlns:a16="http://schemas.microsoft.com/office/drawing/2014/main" id="{7AF63DE9-4728-1976-B3B1-68172F49318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82" name="Line 279">
            <a:extLst>
              <a:ext uri="{FF2B5EF4-FFF2-40B4-BE49-F238E27FC236}">
                <a16:creationId xmlns:a16="http://schemas.microsoft.com/office/drawing/2014/main" id="{05F3A525-D82C-3F26-E78F-E654F14D9A0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83" name="Line 280">
            <a:extLst>
              <a:ext uri="{FF2B5EF4-FFF2-40B4-BE49-F238E27FC236}">
                <a16:creationId xmlns:a16="http://schemas.microsoft.com/office/drawing/2014/main" id="{43B8DFC5-E7DB-DEFE-3B41-F94B7FDA405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2" name="Group 281">
          <a:extLst>
            <a:ext uri="{FF2B5EF4-FFF2-40B4-BE49-F238E27FC236}">
              <a16:creationId xmlns:a16="http://schemas.microsoft.com/office/drawing/2014/main" id="{2F663F83-8236-390D-8337-1CA1FF10DFD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70" name="Rectangle 282">
            <a:extLst>
              <a:ext uri="{FF2B5EF4-FFF2-40B4-BE49-F238E27FC236}">
                <a16:creationId xmlns:a16="http://schemas.microsoft.com/office/drawing/2014/main" id="{B9EEB8B0-955C-40A4-FA6E-69569C5CB35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1" name="Rectangle 283">
            <a:extLst>
              <a:ext uri="{FF2B5EF4-FFF2-40B4-BE49-F238E27FC236}">
                <a16:creationId xmlns:a16="http://schemas.microsoft.com/office/drawing/2014/main" id="{73BAE808-6BDE-902B-8E17-9DCFB4E333D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2" name="Rectangle 284">
            <a:extLst>
              <a:ext uri="{FF2B5EF4-FFF2-40B4-BE49-F238E27FC236}">
                <a16:creationId xmlns:a16="http://schemas.microsoft.com/office/drawing/2014/main" id="{D7B62D8B-DCE2-3552-5787-57E2EA3D5FE8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3" name="Rectangle 285">
            <a:extLst>
              <a:ext uri="{FF2B5EF4-FFF2-40B4-BE49-F238E27FC236}">
                <a16:creationId xmlns:a16="http://schemas.microsoft.com/office/drawing/2014/main" id="{D62FFB92-81B5-C667-30E7-93321373D58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74" name="Line 286">
            <a:extLst>
              <a:ext uri="{FF2B5EF4-FFF2-40B4-BE49-F238E27FC236}">
                <a16:creationId xmlns:a16="http://schemas.microsoft.com/office/drawing/2014/main" id="{1FA92553-6B56-B55E-7BA2-D9B56997432E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75" name="Line 287">
            <a:extLst>
              <a:ext uri="{FF2B5EF4-FFF2-40B4-BE49-F238E27FC236}">
                <a16:creationId xmlns:a16="http://schemas.microsoft.com/office/drawing/2014/main" id="{94E27401-CE84-1BF7-7E48-7E88A4ED977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76" name="Line 288">
            <a:extLst>
              <a:ext uri="{FF2B5EF4-FFF2-40B4-BE49-F238E27FC236}">
                <a16:creationId xmlns:a16="http://schemas.microsoft.com/office/drawing/2014/main" id="{1FE5B8CE-FB71-2531-B8AF-C30339DE2EB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3" name="Group 289">
          <a:extLst>
            <a:ext uri="{FF2B5EF4-FFF2-40B4-BE49-F238E27FC236}">
              <a16:creationId xmlns:a16="http://schemas.microsoft.com/office/drawing/2014/main" id="{FF3A451D-A671-F298-36FA-EC22C23FC20E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63" name="Rectangle 290">
            <a:extLst>
              <a:ext uri="{FF2B5EF4-FFF2-40B4-BE49-F238E27FC236}">
                <a16:creationId xmlns:a16="http://schemas.microsoft.com/office/drawing/2014/main" id="{249B5260-19C2-1B26-77F5-7F66A678E81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4" name="Rectangle 291">
            <a:extLst>
              <a:ext uri="{FF2B5EF4-FFF2-40B4-BE49-F238E27FC236}">
                <a16:creationId xmlns:a16="http://schemas.microsoft.com/office/drawing/2014/main" id="{A919927E-7A83-3D9A-7418-177A5B9A2D2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5" name="Rectangle 292">
            <a:extLst>
              <a:ext uri="{FF2B5EF4-FFF2-40B4-BE49-F238E27FC236}">
                <a16:creationId xmlns:a16="http://schemas.microsoft.com/office/drawing/2014/main" id="{248F752C-B1FA-458B-3E22-EFC41D5F240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6" name="Rectangle 293">
            <a:extLst>
              <a:ext uri="{FF2B5EF4-FFF2-40B4-BE49-F238E27FC236}">
                <a16:creationId xmlns:a16="http://schemas.microsoft.com/office/drawing/2014/main" id="{C911BC7E-1032-74B4-BB6A-A0760609B89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7" name="Line 294">
            <a:extLst>
              <a:ext uri="{FF2B5EF4-FFF2-40B4-BE49-F238E27FC236}">
                <a16:creationId xmlns:a16="http://schemas.microsoft.com/office/drawing/2014/main" id="{B9B40FDA-BB4D-CE57-F889-9FA7EAAC8A8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68" name="Line 295">
            <a:extLst>
              <a:ext uri="{FF2B5EF4-FFF2-40B4-BE49-F238E27FC236}">
                <a16:creationId xmlns:a16="http://schemas.microsoft.com/office/drawing/2014/main" id="{893C9335-A0FB-3F43-E213-AF71AD50624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69" name="Line 296">
            <a:extLst>
              <a:ext uri="{FF2B5EF4-FFF2-40B4-BE49-F238E27FC236}">
                <a16:creationId xmlns:a16="http://schemas.microsoft.com/office/drawing/2014/main" id="{58CCBB4B-9223-A410-FA79-70D4D112D35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4" name="Group 297">
          <a:extLst>
            <a:ext uri="{FF2B5EF4-FFF2-40B4-BE49-F238E27FC236}">
              <a16:creationId xmlns:a16="http://schemas.microsoft.com/office/drawing/2014/main" id="{F4AE8722-BB7C-9454-6954-3DD6781CABB2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56" name="Rectangle 298">
            <a:extLst>
              <a:ext uri="{FF2B5EF4-FFF2-40B4-BE49-F238E27FC236}">
                <a16:creationId xmlns:a16="http://schemas.microsoft.com/office/drawing/2014/main" id="{87A4D4AA-4969-A2B3-75B4-9C630E1F7F4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7" name="Rectangle 299">
            <a:extLst>
              <a:ext uri="{FF2B5EF4-FFF2-40B4-BE49-F238E27FC236}">
                <a16:creationId xmlns:a16="http://schemas.microsoft.com/office/drawing/2014/main" id="{A2820051-1C17-C405-6870-E3826BDEE55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8" name="Rectangle 300">
            <a:extLst>
              <a:ext uri="{FF2B5EF4-FFF2-40B4-BE49-F238E27FC236}">
                <a16:creationId xmlns:a16="http://schemas.microsoft.com/office/drawing/2014/main" id="{524FC80D-313C-5A1C-0248-DF57AB074A3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9" name="Rectangle 301">
            <a:extLst>
              <a:ext uri="{FF2B5EF4-FFF2-40B4-BE49-F238E27FC236}">
                <a16:creationId xmlns:a16="http://schemas.microsoft.com/office/drawing/2014/main" id="{27832CD5-CA98-339B-A05D-A124B2EEE2F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60" name="Line 302">
            <a:extLst>
              <a:ext uri="{FF2B5EF4-FFF2-40B4-BE49-F238E27FC236}">
                <a16:creationId xmlns:a16="http://schemas.microsoft.com/office/drawing/2014/main" id="{857DDFAB-BBA0-86A8-1DD1-C2BEB26F05A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61" name="Line 303">
            <a:extLst>
              <a:ext uri="{FF2B5EF4-FFF2-40B4-BE49-F238E27FC236}">
                <a16:creationId xmlns:a16="http://schemas.microsoft.com/office/drawing/2014/main" id="{E4C6EF96-0DCA-F5B7-95BA-7884F7028D3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62" name="Line 304">
            <a:extLst>
              <a:ext uri="{FF2B5EF4-FFF2-40B4-BE49-F238E27FC236}">
                <a16:creationId xmlns:a16="http://schemas.microsoft.com/office/drawing/2014/main" id="{3C344A68-1AE4-729D-2EE4-C0EE91C6ACF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5" name="Group 305">
          <a:extLst>
            <a:ext uri="{FF2B5EF4-FFF2-40B4-BE49-F238E27FC236}">
              <a16:creationId xmlns:a16="http://schemas.microsoft.com/office/drawing/2014/main" id="{07A8DDD1-ED2D-1024-EE4C-E1ECBF7C5F42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49" name="Rectangle 306">
            <a:extLst>
              <a:ext uri="{FF2B5EF4-FFF2-40B4-BE49-F238E27FC236}">
                <a16:creationId xmlns:a16="http://schemas.microsoft.com/office/drawing/2014/main" id="{16535577-6B65-F911-CB96-EBEA23D3616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0" name="Rectangle 307">
            <a:extLst>
              <a:ext uri="{FF2B5EF4-FFF2-40B4-BE49-F238E27FC236}">
                <a16:creationId xmlns:a16="http://schemas.microsoft.com/office/drawing/2014/main" id="{DB8E812B-989B-6FF8-4B3C-4E4A60FD63E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1" name="Rectangle 308">
            <a:extLst>
              <a:ext uri="{FF2B5EF4-FFF2-40B4-BE49-F238E27FC236}">
                <a16:creationId xmlns:a16="http://schemas.microsoft.com/office/drawing/2014/main" id="{387A37AC-48C0-C632-0EB5-DBCC3749074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2" name="Rectangle 309">
            <a:extLst>
              <a:ext uri="{FF2B5EF4-FFF2-40B4-BE49-F238E27FC236}">
                <a16:creationId xmlns:a16="http://schemas.microsoft.com/office/drawing/2014/main" id="{BCEF2F6B-957B-B06E-DA8D-501DC5C0FD6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53" name="Line 310">
            <a:extLst>
              <a:ext uri="{FF2B5EF4-FFF2-40B4-BE49-F238E27FC236}">
                <a16:creationId xmlns:a16="http://schemas.microsoft.com/office/drawing/2014/main" id="{3396BEEC-AC8F-BDC4-B2AA-524C65EB84C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54" name="Line 311">
            <a:extLst>
              <a:ext uri="{FF2B5EF4-FFF2-40B4-BE49-F238E27FC236}">
                <a16:creationId xmlns:a16="http://schemas.microsoft.com/office/drawing/2014/main" id="{60F9F216-C13D-B457-B6CA-0DE31928305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55" name="Line 312">
            <a:extLst>
              <a:ext uri="{FF2B5EF4-FFF2-40B4-BE49-F238E27FC236}">
                <a16:creationId xmlns:a16="http://schemas.microsoft.com/office/drawing/2014/main" id="{26BB49F5-22F5-8FA4-0906-D369579CA1F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6" name="Group 313">
          <a:extLst>
            <a:ext uri="{FF2B5EF4-FFF2-40B4-BE49-F238E27FC236}">
              <a16:creationId xmlns:a16="http://schemas.microsoft.com/office/drawing/2014/main" id="{E5D51FD5-7633-5327-47FA-A43A3CAB291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42" name="Rectangle 314">
            <a:extLst>
              <a:ext uri="{FF2B5EF4-FFF2-40B4-BE49-F238E27FC236}">
                <a16:creationId xmlns:a16="http://schemas.microsoft.com/office/drawing/2014/main" id="{C9973C72-45A7-551D-B3A8-B187BA7F4B95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43" name="Rectangle 315">
            <a:extLst>
              <a:ext uri="{FF2B5EF4-FFF2-40B4-BE49-F238E27FC236}">
                <a16:creationId xmlns:a16="http://schemas.microsoft.com/office/drawing/2014/main" id="{53247918-F543-9CAD-6949-6CBD748EB08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44" name="Rectangle 316">
            <a:extLst>
              <a:ext uri="{FF2B5EF4-FFF2-40B4-BE49-F238E27FC236}">
                <a16:creationId xmlns:a16="http://schemas.microsoft.com/office/drawing/2014/main" id="{FF36CFB6-AF20-03D9-EE2E-01B93C371A7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45" name="Rectangle 317">
            <a:extLst>
              <a:ext uri="{FF2B5EF4-FFF2-40B4-BE49-F238E27FC236}">
                <a16:creationId xmlns:a16="http://schemas.microsoft.com/office/drawing/2014/main" id="{19ADC661-AAAD-171B-314D-6F8A39DFA44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46" name="Line 318">
            <a:extLst>
              <a:ext uri="{FF2B5EF4-FFF2-40B4-BE49-F238E27FC236}">
                <a16:creationId xmlns:a16="http://schemas.microsoft.com/office/drawing/2014/main" id="{908FD4C0-3A9F-A617-0959-5E8517F9D92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47" name="Line 319">
            <a:extLst>
              <a:ext uri="{FF2B5EF4-FFF2-40B4-BE49-F238E27FC236}">
                <a16:creationId xmlns:a16="http://schemas.microsoft.com/office/drawing/2014/main" id="{91EF7798-5999-4A1D-CA31-8283D2ADC47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48" name="Line 320">
            <a:extLst>
              <a:ext uri="{FF2B5EF4-FFF2-40B4-BE49-F238E27FC236}">
                <a16:creationId xmlns:a16="http://schemas.microsoft.com/office/drawing/2014/main" id="{9D825927-1F2D-A180-63F9-32B2C020C833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7" name="Group 321">
          <a:extLst>
            <a:ext uri="{FF2B5EF4-FFF2-40B4-BE49-F238E27FC236}">
              <a16:creationId xmlns:a16="http://schemas.microsoft.com/office/drawing/2014/main" id="{3B9234F7-9357-B403-EC11-8E206A1B80B5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35" name="Rectangle 322">
            <a:extLst>
              <a:ext uri="{FF2B5EF4-FFF2-40B4-BE49-F238E27FC236}">
                <a16:creationId xmlns:a16="http://schemas.microsoft.com/office/drawing/2014/main" id="{2BCBFFE1-D938-C47C-D17D-1A28BE099D6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6" name="Rectangle 323">
            <a:extLst>
              <a:ext uri="{FF2B5EF4-FFF2-40B4-BE49-F238E27FC236}">
                <a16:creationId xmlns:a16="http://schemas.microsoft.com/office/drawing/2014/main" id="{9B169416-2750-A44F-1E29-CE3AE77CFFD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7" name="Rectangle 324">
            <a:extLst>
              <a:ext uri="{FF2B5EF4-FFF2-40B4-BE49-F238E27FC236}">
                <a16:creationId xmlns:a16="http://schemas.microsoft.com/office/drawing/2014/main" id="{38F0ED46-1D6B-C880-4DE5-85870BB4B47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8" name="Rectangle 325">
            <a:extLst>
              <a:ext uri="{FF2B5EF4-FFF2-40B4-BE49-F238E27FC236}">
                <a16:creationId xmlns:a16="http://schemas.microsoft.com/office/drawing/2014/main" id="{3F697CCC-790F-5DFF-A516-468C2B5174B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9" name="Line 326">
            <a:extLst>
              <a:ext uri="{FF2B5EF4-FFF2-40B4-BE49-F238E27FC236}">
                <a16:creationId xmlns:a16="http://schemas.microsoft.com/office/drawing/2014/main" id="{14AA246D-7F7A-7671-330F-180D69BF2633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40" name="Line 327">
            <a:extLst>
              <a:ext uri="{FF2B5EF4-FFF2-40B4-BE49-F238E27FC236}">
                <a16:creationId xmlns:a16="http://schemas.microsoft.com/office/drawing/2014/main" id="{A6850DF4-3AB3-0478-1158-205EA50F69C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41" name="Line 328">
            <a:extLst>
              <a:ext uri="{FF2B5EF4-FFF2-40B4-BE49-F238E27FC236}">
                <a16:creationId xmlns:a16="http://schemas.microsoft.com/office/drawing/2014/main" id="{D5D9FC03-4EF2-3269-FC82-4DFA6A179D8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8" name="Group 329">
          <a:extLst>
            <a:ext uri="{FF2B5EF4-FFF2-40B4-BE49-F238E27FC236}">
              <a16:creationId xmlns:a16="http://schemas.microsoft.com/office/drawing/2014/main" id="{CDE80C85-4F98-A7BF-383D-26D42F2D528D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28" name="Rectangle 330">
            <a:extLst>
              <a:ext uri="{FF2B5EF4-FFF2-40B4-BE49-F238E27FC236}">
                <a16:creationId xmlns:a16="http://schemas.microsoft.com/office/drawing/2014/main" id="{DEC9791A-31C6-3B65-9ACC-E1110DC5F06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9" name="Rectangle 331">
            <a:extLst>
              <a:ext uri="{FF2B5EF4-FFF2-40B4-BE49-F238E27FC236}">
                <a16:creationId xmlns:a16="http://schemas.microsoft.com/office/drawing/2014/main" id="{B48BEB63-81E4-24A4-C18E-FDD15684E08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0" name="Rectangle 332">
            <a:extLst>
              <a:ext uri="{FF2B5EF4-FFF2-40B4-BE49-F238E27FC236}">
                <a16:creationId xmlns:a16="http://schemas.microsoft.com/office/drawing/2014/main" id="{7892BDE7-3B5F-B7A6-1C3C-DF60FB9654E2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1" name="Rectangle 333">
            <a:extLst>
              <a:ext uri="{FF2B5EF4-FFF2-40B4-BE49-F238E27FC236}">
                <a16:creationId xmlns:a16="http://schemas.microsoft.com/office/drawing/2014/main" id="{E04A8981-4F40-F99B-7978-F10A8F5D9C5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32" name="Line 334">
            <a:extLst>
              <a:ext uri="{FF2B5EF4-FFF2-40B4-BE49-F238E27FC236}">
                <a16:creationId xmlns:a16="http://schemas.microsoft.com/office/drawing/2014/main" id="{8CB432DB-E3C8-0908-80D3-3EECA0A5286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33" name="Line 335">
            <a:extLst>
              <a:ext uri="{FF2B5EF4-FFF2-40B4-BE49-F238E27FC236}">
                <a16:creationId xmlns:a16="http://schemas.microsoft.com/office/drawing/2014/main" id="{2CD1D482-2332-BAE6-8045-7D6C302F3EF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34" name="Line 336">
            <a:extLst>
              <a:ext uri="{FF2B5EF4-FFF2-40B4-BE49-F238E27FC236}">
                <a16:creationId xmlns:a16="http://schemas.microsoft.com/office/drawing/2014/main" id="{59526C5A-17A8-324C-E3BF-59B9435B63DB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79" name="Group 337">
          <a:extLst>
            <a:ext uri="{FF2B5EF4-FFF2-40B4-BE49-F238E27FC236}">
              <a16:creationId xmlns:a16="http://schemas.microsoft.com/office/drawing/2014/main" id="{E319F224-3FDA-9EBF-9B93-2A04F44173D7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21" name="Rectangle 338">
            <a:extLst>
              <a:ext uri="{FF2B5EF4-FFF2-40B4-BE49-F238E27FC236}">
                <a16:creationId xmlns:a16="http://schemas.microsoft.com/office/drawing/2014/main" id="{61B50B28-746E-FE18-A9B4-E7170E35C7D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2" name="Rectangle 339">
            <a:extLst>
              <a:ext uri="{FF2B5EF4-FFF2-40B4-BE49-F238E27FC236}">
                <a16:creationId xmlns:a16="http://schemas.microsoft.com/office/drawing/2014/main" id="{5034E130-8C6B-8538-70CA-2AAC246ADD5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3" name="Rectangle 340">
            <a:extLst>
              <a:ext uri="{FF2B5EF4-FFF2-40B4-BE49-F238E27FC236}">
                <a16:creationId xmlns:a16="http://schemas.microsoft.com/office/drawing/2014/main" id="{A3519E9E-A8D6-2C1E-0BAC-EE1E4677C5B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4" name="Rectangle 341">
            <a:extLst>
              <a:ext uri="{FF2B5EF4-FFF2-40B4-BE49-F238E27FC236}">
                <a16:creationId xmlns:a16="http://schemas.microsoft.com/office/drawing/2014/main" id="{8D2A6D33-DAAF-DE2A-650E-F520494043F9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25" name="Line 342">
            <a:extLst>
              <a:ext uri="{FF2B5EF4-FFF2-40B4-BE49-F238E27FC236}">
                <a16:creationId xmlns:a16="http://schemas.microsoft.com/office/drawing/2014/main" id="{89D1E0C5-0784-5771-15BD-25E9A8CD627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26" name="Line 343">
            <a:extLst>
              <a:ext uri="{FF2B5EF4-FFF2-40B4-BE49-F238E27FC236}">
                <a16:creationId xmlns:a16="http://schemas.microsoft.com/office/drawing/2014/main" id="{10318D0D-AE8B-8E76-E3E5-9B397793763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27" name="Line 344">
            <a:extLst>
              <a:ext uri="{FF2B5EF4-FFF2-40B4-BE49-F238E27FC236}">
                <a16:creationId xmlns:a16="http://schemas.microsoft.com/office/drawing/2014/main" id="{6675C5CE-6457-B5E3-F884-63DE29756D1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2</xdr:row>
      <xdr:rowOff>182880</xdr:rowOff>
    </xdr:from>
    <xdr:to>
      <xdr:col>9</xdr:col>
      <xdr:colOff>0</xdr:colOff>
      <xdr:row>3</xdr:row>
      <xdr:rowOff>0</xdr:rowOff>
    </xdr:to>
    <xdr:grpSp>
      <xdr:nvGrpSpPr>
        <xdr:cNvPr id="529080" name="Group 345">
          <a:extLst>
            <a:ext uri="{FF2B5EF4-FFF2-40B4-BE49-F238E27FC236}">
              <a16:creationId xmlns:a16="http://schemas.microsoft.com/office/drawing/2014/main" id="{183C9470-6E63-3A1A-E26C-7445B28F5C6A}"/>
            </a:ext>
          </a:extLst>
        </xdr:cNvPr>
        <xdr:cNvGrpSpPr>
          <a:grpSpLocks/>
        </xdr:cNvGrpSpPr>
      </xdr:nvGrpSpPr>
      <xdr:grpSpPr bwMode="auto">
        <a:xfrm>
          <a:off x="6812280" y="1318260"/>
          <a:ext cx="0" cy="388620"/>
          <a:chOff x="632" y="220"/>
          <a:chExt cx="195" cy="136"/>
        </a:xfrm>
      </xdr:grpSpPr>
      <xdr:sp macro="" textlink="">
        <xdr:nvSpPr>
          <xdr:cNvPr id="534214" name="Rectangle 346">
            <a:extLst>
              <a:ext uri="{FF2B5EF4-FFF2-40B4-BE49-F238E27FC236}">
                <a16:creationId xmlns:a16="http://schemas.microsoft.com/office/drawing/2014/main" id="{4C784669-6079-7C61-AF47-95E559AE190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5" name="Rectangle 347">
            <a:extLst>
              <a:ext uri="{FF2B5EF4-FFF2-40B4-BE49-F238E27FC236}">
                <a16:creationId xmlns:a16="http://schemas.microsoft.com/office/drawing/2014/main" id="{17618046-D32E-1752-BAF1-C199E90FC8A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6" name="Rectangle 348">
            <a:extLst>
              <a:ext uri="{FF2B5EF4-FFF2-40B4-BE49-F238E27FC236}">
                <a16:creationId xmlns:a16="http://schemas.microsoft.com/office/drawing/2014/main" id="{D27664FE-1665-3E6B-BF35-110C699B0CA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7" name="Rectangle 349">
            <a:extLst>
              <a:ext uri="{FF2B5EF4-FFF2-40B4-BE49-F238E27FC236}">
                <a16:creationId xmlns:a16="http://schemas.microsoft.com/office/drawing/2014/main" id="{4C4DF49F-0456-910B-C4B1-C46194359ED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8" name="Line 350">
            <a:extLst>
              <a:ext uri="{FF2B5EF4-FFF2-40B4-BE49-F238E27FC236}">
                <a16:creationId xmlns:a16="http://schemas.microsoft.com/office/drawing/2014/main" id="{FA22F842-2BC6-8163-B5E2-DE71E25EB36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19" name="Line 351">
            <a:extLst>
              <a:ext uri="{FF2B5EF4-FFF2-40B4-BE49-F238E27FC236}">
                <a16:creationId xmlns:a16="http://schemas.microsoft.com/office/drawing/2014/main" id="{34DB2C55-D5AA-FE14-00A1-7B5288BD5FB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20" name="Line 352">
            <a:extLst>
              <a:ext uri="{FF2B5EF4-FFF2-40B4-BE49-F238E27FC236}">
                <a16:creationId xmlns:a16="http://schemas.microsoft.com/office/drawing/2014/main" id="{7EF7ACD3-08AA-6390-0196-738152A31BD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198120</xdr:colOff>
      <xdr:row>2</xdr:row>
      <xdr:rowOff>152400</xdr:rowOff>
    </xdr:from>
    <xdr:to>
      <xdr:col>3</xdr:col>
      <xdr:colOff>457200</xdr:colOff>
      <xdr:row>3</xdr:row>
      <xdr:rowOff>0</xdr:rowOff>
    </xdr:to>
    <xdr:grpSp>
      <xdr:nvGrpSpPr>
        <xdr:cNvPr id="529081" name="Group 365">
          <a:extLst>
            <a:ext uri="{FF2B5EF4-FFF2-40B4-BE49-F238E27FC236}">
              <a16:creationId xmlns:a16="http://schemas.microsoft.com/office/drawing/2014/main" id="{19452E4D-F38F-C4E3-3E16-CCC01BD56E60}"/>
            </a:ext>
          </a:extLst>
        </xdr:cNvPr>
        <xdr:cNvGrpSpPr>
          <a:grpSpLocks/>
        </xdr:cNvGrpSpPr>
      </xdr:nvGrpSpPr>
      <xdr:grpSpPr bwMode="auto">
        <a:xfrm>
          <a:off x="3383280" y="1287780"/>
          <a:ext cx="259080" cy="419100"/>
          <a:chOff x="333" y="153"/>
          <a:chExt cx="219" cy="333"/>
        </a:xfrm>
      </xdr:grpSpPr>
      <xdr:sp macro="" textlink="">
        <xdr:nvSpPr>
          <xdr:cNvPr id="534204" name="Rectangle 3">
            <a:extLst>
              <a:ext uri="{FF2B5EF4-FFF2-40B4-BE49-F238E27FC236}">
                <a16:creationId xmlns:a16="http://schemas.microsoft.com/office/drawing/2014/main" id="{4EE7E87E-8365-DD28-15E2-A07C4FEACE7F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05" name="Line 355">
            <a:extLst>
              <a:ext uri="{FF2B5EF4-FFF2-40B4-BE49-F238E27FC236}">
                <a16:creationId xmlns:a16="http://schemas.microsoft.com/office/drawing/2014/main" id="{BBCA2411-2464-8476-5D8F-C41F64C75640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06" name="Line 356">
            <a:extLst>
              <a:ext uri="{FF2B5EF4-FFF2-40B4-BE49-F238E27FC236}">
                <a16:creationId xmlns:a16="http://schemas.microsoft.com/office/drawing/2014/main" id="{2792B360-69D5-5588-9A08-A4D0AD25606F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207" name="Rectangle 358">
            <a:extLst>
              <a:ext uri="{FF2B5EF4-FFF2-40B4-BE49-F238E27FC236}">
                <a16:creationId xmlns:a16="http://schemas.microsoft.com/office/drawing/2014/main" id="{9A71AEFE-8629-3DEA-2DC2-2C0862004D9A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08" name="Oval 359">
            <a:extLst>
              <a:ext uri="{FF2B5EF4-FFF2-40B4-BE49-F238E27FC236}">
                <a16:creationId xmlns:a16="http://schemas.microsoft.com/office/drawing/2014/main" id="{721BDEAF-24EF-152B-5DEE-E098480824EC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209" name="Oval 360">
            <a:extLst>
              <a:ext uri="{FF2B5EF4-FFF2-40B4-BE49-F238E27FC236}">
                <a16:creationId xmlns:a16="http://schemas.microsoft.com/office/drawing/2014/main" id="{871B81C2-2BA6-42B6-3120-B65085B2D869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210" name="Rectangle 361">
            <a:extLst>
              <a:ext uri="{FF2B5EF4-FFF2-40B4-BE49-F238E27FC236}">
                <a16:creationId xmlns:a16="http://schemas.microsoft.com/office/drawing/2014/main" id="{0488737E-A9DB-402F-F4C8-70BEA4BB8784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1" name="Rectangle 362">
            <a:extLst>
              <a:ext uri="{FF2B5EF4-FFF2-40B4-BE49-F238E27FC236}">
                <a16:creationId xmlns:a16="http://schemas.microsoft.com/office/drawing/2014/main" id="{4AB2387B-7C0F-DA0F-48EC-28D3D5743887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2" name="Rectangle 363">
            <a:extLst>
              <a:ext uri="{FF2B5EF4-FFF2-40B4-BE49-F238E27FC236}">
                <a16:creationId xmlns:a16="http://schemas.microsoft.com/office/drawing/2014/main" id="{61F1753D-87D2-47C0-B6A1-8FE300DC09DB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213" name="Rectangle 364">
            <a:extLst>
              <a:ext uri="{FF2B5EF4-FFF2-40B4-BE49-F238E27FC236}">
                <a16:creationId xmlns:a16="http://schemas.microsoft.com/office/drawing/2014/main" id="{CA975AF4-2796-0323-F1EA-DDA863243267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4</xdr:col>
      <xdr:colOff>114300</xdr:colOff>
      <xdr:row>2</xdr:row>
      <xdr:rowOff>160020</xdr:rowOff>
    </xdr:from>
    <xdr:to>
      <xdr:col>4</xdr:col>
      <xdr:colOff>533400</xdr:colOff>
      <xdr:row>2</xdr:row>
      <xdr:rowOff>541020</xdr:rowOff>
    </xdr:to>
    <xdr:grpSp>
      <xdr:nvGrpSpPr>
        <xdr:cNvPr id="529082" name="Group 388">
          <a:extLst>
            <a:ext uri="{FF2B5EF4-FFF2-40B4-BE49-F238E27FC236}">
              <a16:creationId xmlns:a16="http://schemas.microsoft.com/office/drawing/2014/main" id="{83F3776D-31BC-AAB7-8FDD-9504709E3945}"/>
            </a:ext>
          </a:extLst>
        </xdr:cNvPr>
        <xdr:cNvGrpSpPr>
          <a:grpSpLocks/>
        </xdr:cNvGrpSpPr>
      </xdr:nvGrpSpPr>
      <xdr:grpSpPr bwMode="auto">
        <a:xfrm>
          <a:off x="3954780" y="1295400"/>
          <a:ext cx="419100" cy="381000"/>
          <a:chOff x="335" y="195"/>
          <a:chExt cx="352" cy="282"/>
        </a:xfrm>
      </xdr:grpSpPr>
      <xdr:grpSp>
        <xdr:nvGrpSpPr>
          <xdr:cNvPr id="534182" name="Group 366">
            <a:extLst>
              <a:ext uri="{FF2B5EF4-FFF2-40B4-BE49-F238E27FC236}">
                <a16:creationId xmlns:a16="http://schemas.microsoft.com/office/drawing/2014/main" id="{8BCE59E8-E64A-BAB2-F4E1-7A9D05A1D54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4194" name="Rectangle 367">
              <a:extLst>
                <a:ext uri="{FF2B5EF4-FFF2-40B4-BE49-F238E27FC236}">
                  <a16:creationId xmlns:a16="http://schemas.microsoft.com/office/drawing/2014/main" id="{C1447FE0-E48F-8BB6-2A44-FAC1A2432B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5" name="Line 368">
              <a:extLst>
                <a:ext uri="{FF2B5EF4-FFF2-40B4-BE49-F238E27FC236}">
                  <a16:creationId xmlns:a16="http://schemas.microsoft.com/office/drawing/2014/main" id="{2DA587A4-9E14-3233-6C8B-9B901CE3138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96" name="Line 369">
              <a:extLst>
                <a:ext uri="{FF2B5EF4-FFF2-40B4-BE49-F238E27FC236}">
                  <a16:creationId xmlns:a16="http://schemas.microsoft.com/office/drawing/2014/main" id="{3E2BF4DD-4C39-8463-D05C-2185010C3A5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97" name="Rectangle 370">
              <a:extLst>
                <a:ext uri="{FF2B5EF4-FFF2-40B4-BE49-F238E27FC236}">
                  <a16:creationId xmlns:a16="http://schemas.microsoft.com/office/drawing/2014/main" id="{980063F6-D7FC-D7CF-D50F-CBB093370F2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8" name="Oval 371">
              <a:extLst>
                <a:ext uri="{FF2B5EF4-FFF2-40B4-BE49-F238E27FC236}">
                  <a16:creationId xmlns:a16="http://schemas.microsoft.com/office/drawing/2014/main" id="{4E0E742A-C541-50E8-6286-9D0E06B849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99" name="Oval 372">
              <a:extLst>
                <a:ext uri="{FF2B5EF4-FFF2-40B4-BE49-F238E27FC236}">
                  <a16:creationId xmlns:a16="http://schemas.microsoft.com/office/drawing/2014/main" id="{2F3B0238-428A-B40F-DD10-13FD01875E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200" name="Rectangle 373">
              <a:extLst>
                <a:ext uri="{FF2B5EF4-FFF2-40B4-BE49-F238E27FC236}">
                  <a16:creationId xmlns:a16="http://schemas.microsoft.com/office/drawing/2014/main" id="{11A172C8-1E12-BAAC-C7F7-F23E89956A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201" name="Rectangle 374">
              <a:extLst>
                <a:ext uri="{FF2B5EF4-FFF2-40B4-BE49-F238E27FC236}">
                  <a16:creationId xmlns:a16="http://schemas.microsoft.com/office/drawing/2014/main" id="{EE2D6A59-53CF-E2B5-F532-EB8371C4F4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202" name="Rectangle 375">
              <a:extLst>
                <a:ext uri="{FF2B5EF4-FFF2-40B4-BE49-F238E27FC236}">
                  <a16:creationId xmlns:a16="http://schemas.microsoft.com/office/drawing/2014/main" id="{7B7FC826-2CFC-E575-9486-79239324A70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203" name="Rectangle 376">
              <a:extLst>
                <a:ext uri="{FF2B5EF4-FFF2-40B4-BE49-F238E27FC236}">
                  <a16:creationId xmlns:a16="http://schemas.microsoft.com/office/drawing/2014/main" id="{7BF9F8C1-BE55-E692-219E-46FDC4ED2C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4183" name="Group 377">
            <a:extLst>
              <a:ext uri="{FF2B5EF4-FFF2-40B4-BE49-F238E27FC236}">
                <a16:creationId xmlns:a16="http://schemas.microsoft.com/office/drawing/2014/main" id="{96977833-5A23-47D8-FAEE-86DAA26C776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4184" name="Rectangle 378">
              <a:extLst>
                <a:ext uri="{FF2B5EF4-FFF2-40B4-BE49-F238E27FC236}">
                  <a16:creationId xmlns:a16="http://schemas.microsoft.com/office/drawing/2014/main" id="{32148A5E-7446-AC69-866B-88B19488141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85" name="Line 379">
              <a:extLst>
                <a:ext uri="{FF2B5EF4-FFF2-40B4-BE49-F238E27FC236}">
                  <a16:creationId xmlns:a16="http://schemas.microsoft.com/office/drawing/2014/main" id="{3470CB03-7D5B-8004-A844-1350E651D0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86" name="Line 380">
              <a:extLst>
                <a:ext uri="{FF2B5EF4-FFF2-40B4-BE49-F238E27FC236}">
                  <a16:creationId xmlns:a16="http://schemas.microsoft.com/office/drawing/2014/main" id="{ED9729AA-B47E-DE2A-67B6-A4B2786C163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87" name="Rectangle 381">
              <a:extLst>
                <a:ext uri="{FF2B5EF4-FFF2-40B4-BE49-F238E27FC236}">
                  <a16:creationId xmlns:a16="http://schemas.microsoft.com/office/drawing/2014/main" id="{98F1BEF8-D97C-3FF4-40E4-AB415E9E91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88" name="Oval 382">
              <a:extLst>
                <a:ext uri="{FF2B5EF4-FFF2-40B4-BE49-F238E27FC236}">
                  <a16:creationId xmlns:a16="http://schemas.microsoft.com/office/drawing/2014/main" id="{63FE011A-BB33-D102-1878-433E4AA690B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89" name="Oval 383">
              <a:extLst>
                <a:ext uri="{FF2B5EF4-FFF2-40B4-BE49-F238E27FC236}">
                  <a16:creationId xmlns:a16="http://schemas.microsoft.com/office/drawing/2014/main" id="{95C9E8A8-827F-76F7-AD18-6A84A5BBB6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90" name="Rectangle 384">
              <a:extLst>
                <a:ext uri="{FF2B5EF4-FFF2-40B4-BE49-F238E27FC236}">
                  <a16:creationId xmlns:a16="http://schemas.microsoft.com/office/drawing/2014/main" id="{01995DAF-D1E8-2BCF-BF46-14D64814097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1" name="Rectangle 385">
              <a:extLst>
                <a:ext uri="{FF2B5EF4-FFF2-40B4-BE49-F238E27FC236}">
                  <a16:creationId xmlns:a16="http://schemas.microsoft.com/office/drawing/2014/main" id="{8D48395C-3725-35DA-1A3E-68AFA494943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2" name="Rectangle 386">
              <a:extLst>
                <a:ext uri="{FF2B5EF4-FFF2-40B4-BE49-F238E27FC236}">
                  <a16:creationId xmlns:a16="http://schemas.microsoft.com/office/drawing/2014/main" id="{27037875-BF36-3E6D-91E3-40E67BFF3E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93" name="Rectangle 387">
              <a:extLst>
                <a:ext uri="{FF2B5EF4-FFF2-40B4-BE49-F238E27FC236}">
                  <a16:creationId xmlns:a16="http://schemas.microsoft.com/office/drawing/2014/main" id="{D95BBDBE-D929-BEBE-541C-DB475CCD2AC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5</xdr:col>
      <xdr:colOff>45720</xdr:colOff>
      <xdr:row>2</xdr:row>
      <xdr:rowOff>160020</xdr:rowOff>
    </xdr:from>
    <xdr:to>
      <xdr:col>5</xdr:col>
      <xdr:colOff>617220</xdr:colOff>
      <xdr:row>3</xdr:row>
      <xdr:rowOff>0</xdr:rowOff>
    </xdr:to>
    <xdr:grpSp>
      <xdr:nvGrpSpPr>
        <xdr:cNvPr id="529083" name="Group 425">
          <a:extLst>
            <a:ext uri="{FF2B5EF4-FFF2-40B4-BE49-F238E27FC236}">
              <a16:creationId xmlns:a16="http://schemas.microsoft.com/office/drawing/2014/main" id="{23E15272-1AFD-EF4D-28B3-60511E1D985B}"/>
            </a:ext>
          </a:extLst>
        </xdr:cNvPr>
        <xdr:cNvGrpSpPr>
          <a:grpSpLocks/>
        </xdr:cNvGrpSpPr>
      </xdr:nvGrpSpPr>
      <xdr:grpSpPr bwMode="auto">
        <a:xfrm>
          <a:off x="4541520" y="1295400"/>
          <a:ext cx="571500" cy="411480"/>
          <a:chOff x="220" y="176"/>
          <a:chExt cx="556" cy="247"/>
        </a:xfrm>
      </xdr:grpSpPr>
      <xdr:sp macro="" textlink="">
        <xdr:nvSpPr>
          <xdr:cNvPr id="534159" name="Rectangle 391">
            <a:extLst>
              <a:ext uri="{FF2B5EF4-FFF2-40B4-BE49-F238E27FC236}">
                <a16:creationId xmlns:a16="http://schemas.microsoft.com/office/drawing/2014/main" id="{EFFB564D-9F09-4F22-9CC6-69329F02786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0" name="Line 392">
            <a:extLst>
              <a:ext uri="{FF2B5EF4-FFF2-40B4-BE49-F238E27FC236}">
                <a16:creationId xmlns:a16="http://schemas.microsoft.com/office/drawing/2014/main" id="{C5E287F5-2AA7-F7B0-D2B3-948C8B99AA1F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61" name="Line 393">
            <a:extLst>
              <a:ext uri="{FF2B5EF4-FFF2-40B4-BE49-F238E27FC236}">
                <a16:creationId xmlns:a16="http://schemas.microsoft.com/office/drawing/2014/main" id="{7CEB270C-95F2-9165-A7EB-E0C5A3B393EA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62" name="Rectangle 394">
            <a:extLst>
              <a:ext uri="{FF2B5EF4-FFF2-40B4-BE49-F238E27FC236}">
                <a16:creationId xmlns:a16="http://schemas.microsoft.com/office/drawing/2014/main" id="{A9089800-F316-63C9-8D1C-349CB7A5EA2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3" name="Oval 395">
            <a:extLst>
              <a:ext uri="{FF2B5EF4-FFF2-40B4-BE49-F238E27FC236}">
                <a16:creationId xmlns:a16="http://schemas.microsoft.com/office/drawing/2014/main" id="{223FC549-07C2-B0B1-7EB3-917AF50D7D3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64" name="Oval 396">
            <a:extLst>
              <a:ext uri="{FF2B5EF4-FFF2-40B4-BE49-F238E27FC236}">
                <a16:creationId xmlns:a16="http://schemas.microsoft.com/office/drawing/2014/main" id="{ADB0430A-C8B9-DAFE-E039-F61863F6428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65" name="Rectangle 397">
            <a:extLst>
              <a:ext uri="{FF2B5EF4-FFF2-40B4-BE49-F238E27FC236}">
                <a16:creationId xmlns:a16="http://schemas.microsoft.com/office/drawing/2014/main" id="{472CC171-DB9D-9733-2D3C-E1D27E2B565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6" name="Rectangle 398">
            <a:extLst>
              <a:ext uri="{FF2B5EF4-FFF2-40B4-BE49-F238E27FC236}">
                <a16:creationId xmlns:a16="http://schemas.microsoft.com/office/drawing/2014/main" id="{2F5DE7B7-0103-3993-AD4D-F2BE7653C75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7" name="Rectangle 399">
            <a:extLst>
              <a:ext uri="{FF2B5EF4-FFF2-40B4-BE49-F238E27FC236}">
                <a16:creationId xmlns:a16="http://schemas.microsoft.com/office/drawing/2014/main" id="{5F64988D-0768-97CC-1723-F13A8718CE3A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68" name="Rectangle 400">
            <a:extLst>
              <a:ext uri="{FF2B5EF4-FFF2-40B4-BE49-F238E27FC236}">
                <a16:creationId xmlns:a16="http://schemas.microsoft.com/office/drawing/2014/main" id="{77A63611-003D-9087-87AA-E6B68E9158B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169" name="Group 401">
            <a:extLst>
              <a:ext uri="{FF2B5EF4-FFF2-40B4-BE49-F238E27FC236}">
                <a16:creationId xmlns:a16="http://schemas.microsoft.com/office/drawing/2014/main" id="{B53A009D-A0DE-6C55-8F82-623082A8D38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172" name="Rectangle 402">
              <a:extLst>
                <a:ext uri="{FF2B5EF4-FFF2-40B4-BE49-F238E27FC236}">
                  <a16:creationId xmlns:a16="http://schemas.microsoft.com/office/drawing/2014/main" id="{14B81158-6309-C031-D486-6A22FA24A7C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73" name="Line 403">
              <a:extLst>
                <a:ext uri="{FF2B5EF4-FFF2-40B4-BE49-F238E27FC236}">
                  <a16:creationId xmlns:a16="http://schemas.microsoft.com/office/drawing/2014/main" id="{D0DD2ECD-0B92-5D32-DE3B-CEFE3D35936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74" name="Line 404">
              <a:extLst>
                <a:ext uri="{FF2B5EF4-FFF2-40B4-BE49-F238E27FC236}">
                  <a16:creationId xmlns:a16="http://schemas.microsoft.com/office/drawing/2014/main" id="{6171EE9A-D7F9-7CEF-8B6A-5FE1D0B4A7D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75" name="Rectangle 405">
              <a:extLst>
                <a:ext uri="{FF2B5EF4-FFF2-40B4-BE49-F238E27FC236}">
                  <a16:creationId xmlns:a16="http://schemas.microsoft.com/office/drawing/2014/main" id="{40C58090-D17E-434C-50BF-2F956FD1CC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76" name="Oval 406">
              <a:extLst>
                <a:ext uri="{FF2B5EF4-FFF2-40B4-BE49-F238E27FC236}">
                  <a16:creationId xmlns:a16="http://schemas.microsoft.com/office/drawing/2014/main" id="{EDFD8B1F-4F2A-4EA7-5CB0-511795B239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77" name="Oval 407">
              <a:extLst>
                <a:ext uri="{FF2B5EF4-FFF2-40B4-BE49-F238E27FC236}">
                  <a16:creationId xmlns:a16="http://schemas.microsoft.com/office/drawing/2014/main" id="{338E3110-12AD-83DA-29F4-7953410A04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78" name="Rectangle 408">
              <a:extLst>
                <a:ext uri="{FF2B5EF4-FFF2-40B4-BE49-F238E27FC236}">
                  <a16:creationId xmlns:a16="http://schemas.microsoft.com/office/drawing/2014/main" id="{B68FF8AB-8DA1-289E-4939-D31D64CA91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79" name="Rectangle 409">
              <a:extLst>
                <a:ext uri="{FF2B5EF4-FFF2-40B4-BE49-F238E27FC236}">
                  <a16:creationId xmlns:a16="http://schemas.microsoft.com/office/drawing/2014/main" id="{326411A3-862A-0658-750E-A745249A59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80" name="Rectangle 410">
              <a:extLst>
                <a:ext uri="{FF2B5EF4-FFF2-40B4-BE49-F238E27FC236}">
                  <a16:creationId xmlns:a16="http://schemas.microsoft.com/office/drawing/2014/main" id="{A3A69C67-988F-E761-5664-623DBBE104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81" name="Rectangle 411">
              <a:extLst>
                <a:ext uri="{FF2B5EF4-FFF2-40B4-BE49-F238E27FC236}">
                  <a16:creationId xmlns:a16="http://schemas.microsoft.com/office/drawing/2014/main" id="{0BE16D8C-F807-4C43-D6A1-7386E95CD8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170" name="Rectangle 423">
            <a:extLst>
              <a:ext uri="{FF2B5EF4-FFF2-40B4-BE49-F238E27FC236}">
                <a16:creationId xmlns:a16="http://schemas.microsoft.com/office/drawing/2014/main" id="{788AA9B6-B209-03BD-2D04-FF37ABF85F73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71" name="Rectangle 424">
            <a:extLst>
              <a:ext uri="{FF2B5EF4-FFF2-40B4-BE49-F238E27FC236}">
                <a16:creationId xmlns:a16="http://schemas.microsoft.com/office/drawing/2014/main" id="{6E12235D-18A7-0ACA-9D11-B6E424FF003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243840</xdr:colOff>
      <xdr:row>2</xdr:row>
      <xdr:rowOff>76200</xdr:rowOff>
    </xdr:from>
    <xdr:to>
      <xdr:col>7</xdr:col>
      <xdr:colOff>510540</xdr:colOff>
      <xdr:row>2</xdr:row>
      <xdr:rowOff>495300</xdr:rowOff>
    </xdr:to>
    <xdr:grpSp>
      <xdr:nvGrpSpPr>
        <xdr:cNvPr id="529084" name="Group 449">
          <a:extLst>
            <a:ext uri="{FF2B5EF4-FFF2-40B4-BE49-F238E27FC236}">
              <a16:creationId xmlns:a16="http://schemas.microsoft.com/office/drawing/2014/main" id="{3A2048D7-05CB-AE7C-063E-81FE127C4B5D}"/>
            </a:ext>
          </a:extLst>
        </xdr:cNvPr>
        <xdr:cNvGrpSpPr>
          <a:grpSpLocks/>
        </xdr:cNvGrpSpPr>
      </xdr:nvGrpSpPr>
      <xdr:grpSpPr bwMode="auto">
        <a:xfrm>
          <a:off x="5554980" y="1211580"/>
          <a:ext cx="266700" cy="419100"/>
          <a:chOff x="333" y="153"/>
          <a:chExt cx="219" cy="333"/>
        </a:xfrm>
      </xdr:grpSpPr>
      <xdr:sp macro="" textlink="">
        <xdr:nvSpPr>
          <xdr:cNvPr id="534149" name="Rectangle 450">
            <a:extLst>
              <a:ext uri="{FF2B5EF4-FFF2-40B4-BE49-F238E27FC236}">
                <a16:creationId xmlns:a16="http://schemas.microsoft.com/office/drawing/2014/main" id="{28D8F640-2739-34F4-5451-764F5E60DF82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0" name="Line 451">
            <a:extLst>
              <a:ext uri="{FF2B5EF4-FFF2-40B4-BE49-F238E27FC236}">
                <a16:creationId xmlns:a16="http://schemas.microsoft.com/office/drawing/2014/main" id="{B4F999AD-045E-E7C5-FA17-2DD1BC5F3BC7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51" name="Line 452">
            <a:extLst>
              <a:ext uri="{FF2B5EF4-FFF2-40B4-BE49-F238E27FC236}">
                <a16:creationId xmlns:a16="http://schemas.microsoft.com/office/drawing/2014/main" id="{42237989-8C11-451A-6B0F-69CC01FDEA2F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52" name="Rectangle 453">
            <a:extLst>
              <a:ext uri="{FF2B5EF4-FFF2-40B4-BE49-F238E27FC236}">
                <a16:creationId xmlns:a16="http://schemas.microsoft.com/office/drawing/2014/main" id="{9E0709C1-BD78-DE1F-6AEC-DA61573CBB8E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3" name="Oval 454">
            <a:extLst>
              <a:ext uri="{FF2B5EF4-FFF2-40B4-BE49-F238E27FC236}">
                <a16:creationId xmlns:a16="http://schemas.microsoft.com/office/drawing/2014/main" id="{202669E1-4D0D-862B-C1E0-FC781CFAD39C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54" name="Oval 455">
            <a:extLst>
              <a:ext uri="{FF2B5EF4-FFF2-40B4-BE49-F238E27FC236}">
                <a16:creationId xmlns:a16="http://schemas.microsoft.com/office/drawing/2014/main" id="{702AC48C-ADEE-31D2-2D82-9D76FAE1B647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55" name="Rectangle 456">
            <a:extLst>
              <a:ext uri="{FF2B5EF4-FFF2-40B4-BE49-F238E27FC236}">
                <a16:creationId xmlns:a16="http://schemas.microsoft.com/office/drawing/2014/main" id="{5429DBC2-8BEC-96C0-E7EA-3E3A679FF529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6" name="Rectangle 457">
            <a:extLst>
              <a:ext uri="{FF2B5EF4-FFF2-40B4-BE49-F238E27FC236}">
                <a16:creationId xmlns:a16="http://schemas.microsoft.com/office/drawing/2014/main" id="{771ED416-494D-6B1F-0216-DFBE0B2D7D18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7" name="Rectangle 458">
            <a:extLst>
              <a:ext uri="{FF2B5EF4-FFF2-40B4-BE49-F238E27FC236}">
                <a16:creationId xmlns:a16="http://schemas.microsoft.com/office/drawing/2014/main" id="{7B1BBDDE-61F2-5135-9C2B-1D50AC185E56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58" name="Rectangle 459">
            <a:extLst>
              <a:ext uri="{FF2B5EF4-FFF2-40B4-BE49-F238E27FC236}">
                <a16:creationId xmlns:a16="http://schemas.microsoft.com/office/drawing/2014/main" id="{2A747F62-BFA9-567C-1ED1-60F1711A7301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792480</xdr:colOff>
      <xdr:row>2</xdr:row>
      <xdr:rowOff>83820</xdr:rowOff>
    </xdr:from>
    <xdr:to>
      <xdr:col>8</xdr:col>
      <xdr:colOff>396240</xdr:colOff>
      <xdr:row>2</xdr:row>
      <xdr:rowOff>464820</xdr:rowOff>
    </xdr:to>
    <xdr:grpSp>
      <xdr:nvGrpSpPr>
        <xdr:cNvPr id="529085" name="Group 460">
          <a:extLst>
            <a:ext uri="{FF2B5EF4-FFF2-40B4-BE49-F238E27FC236}">
              <a16:creationId xmlns:a16="http://schemas.microsoft.com/office/drawing/2014/main" id="{F8387CF1-5AD5-247A-92DF-220857700F21}"/>
            </a:ext>
          </a:extLst>
        </xdr:cNvPr>
        <xdr:cNvGrpSpPr>
          <a:grpSpLocks/>
        </xdr:cNvGrpSpPr>
      </xdr:nvGrpSpPr>
      <xdr:grpSpPr bwMode="auto">
        <a:xfrm>
          <a:off x="6103620" y="1219200"/>
          <a:ext cx="426720" cy="381000"/>
          <a:chOff x="335" y="195"/>
          <a:chExt cx="352" cy="282"/>
        </a:xfrm>
      </xdr:grpSpPr>
      <xdr:grpSp>
        <xdr:nvGrpSpPr>
          <xdr:cNvPr id="534127" name="Group 461">
            <a:extLst>
              <a:ext uri="{FF2B5EF4-FFF2-40B4-BE49-F238E27FC236}">
                <a16:creationId xmlns:a16="http://schemas.microsoft.com/office/drawing/2014/main" id="{8CAA35F2-8601-4201-D20C-46383EECA9A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4139" name="Rectangle 462">
              <a:extLst>
                <a:ext uri="{FF2B5EF4-FFF2-40B4-BE49-F238E27FC236}">
                  <a16:creationId xmlns:a16="http://schemas.microsoft.com/office/drawing/2014/main" id="{BAF6C42B-464E-EAB0-8E4D-FF4BD03B8A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0" name="Line 463">
              <a:extLst>
                <a:ext uri="{FF2B5EF4-FFF2-40B4-BE49-F238E27FC236}">
                  <a16:creationId xmlns:a16="http://schemas.microsoft.com/office/drawing/2014/main" id="{8FEB5170-8D3D-859F-2C22-F0E674F6F9F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41" name="Line 464">
              <a:extLst>
                <a:ext uri="{FF2B5EF4-FFF2-40B4-BE49-F238E27FC236}">
                  <a16:creationId xmlns:a16="http://schemas.microsoft.com/office/drawing/2014/main" id="{737B9CA2-FF92-7F37-5A84-FC8F85582D2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42" name="Rectangle 465">
              <a:extLst>
                <a:ext uri="{FF2B5EF4-FFF2-40B4-BE49-F238E27FC236}">
                  <a16:creationId xmlns:a16="http://schemas.microsoft.com/office/drawing/2014/main" id="{98E6C628-D21E-0FCC-CDBF-2CBA9161C0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3" name="Oval 466">
              <a:extLst>
                <a:ext uri="{FF2B5EF4-FFF2-40B4-BE49-F238E27FC236}">
                  <a16:creationId xmlns:a16="http://schemas.microsoft.com/office/drawing/2014/main" id="{5128C21B-F737-01F0-3F2E-5B7CE3F20D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44" name="Oval 467">
              <a:extLst>
                <a:ext uri="{FF2B5EF4-FFF2-40B4-BE49-F238E27FC236}">
                  <a16:creationId xmlns:a16="http://schemas.microsoft.com/office/drawing/2014/main" id="{3F3633A2-655E-3B50-FD9E-284263CDF7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45" name="Rectangle 468">
              <a:extLst>
                <a:ext uri="{FF2B5EF4-FFF2-40B4-BE49-F238E27FC236}">
                  <a16:creationId xmlns:a16="http://schemas.microsoft.com/office/drawing/2014/main" id="{63FDD23D-9E16-1D93-8026-FCAC2FF352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6" name="Rectangle 469">
              <a:extLst>
                <a:ext uri="{FF2B5EF4-FFF2-40B4-BE49-F238E27FC236}">
                  <a16:creationId xmlns:a16="http://schemas.microsoft.com/office/drawing/2014/main" id="{B6243B0E-1924-8442-956A-C72D61C640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7" name="Rectangle 470">
              <a:extLst>
                <a:ext uri="{FF2B5EF4-FFF2-40B4-BE49-F238E27FC236}">
                  <a16:creationId xmlns:a16="http://schemas.microsoft.com/office/drawing/2014/main" id="{4D210B2D-1A28-80F4-DEE5-623F3E1D59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48" name="Rectangle 471">
              <a:extLst>
                <a:ext uri="{FF2B5EF4-FFF2-40B4-BE49-F238E27FC236}">
                  <a16:creationId xmlns:a16="http://schemas.microsoft.com/office/drawing/2014/main" id="{5BE67D7A-46AA-FE0E-CB3D-98FC448AC8B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4128" name="Group 472">
            <a:extLst>
              <a:ext uri="{FF2B5EF4-FFF2-40B4-BE49-F238E27FC236}">
                <a16:creationId xmlns:a16="http://schemas.microsoft.com/office/drawing/2014/main" id="{ADC98890-89CC-0BA6-FF89-9BB0ACE7DE48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4129" name="Rectangle 473">
              <a:extLst>
                <a:ext uri="{FF2B5EF4-FFF2-40B4-BE49-F238E27FC236}">
                  <a16:creationId xmlns:a16="http://schemas.microsoft.com/office/drawing/2014/main" id="{84B6813F-8461-B3BA-7D85-05832F34756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0" name="Line 474">
              <a:extLst>
                <a:ext uri="{FF2B5EF4-FFF2-40B4-BE49-F238E27FC236}">
                  <a16:creationId xmlns:a16="http://schemas.microsoft.com/office/drawing/2014/main" id="{49A41E76-B30C-F8AB-92B6-D9AC5320F3F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31" name="Line 475">
              <a:extLst>
                <a:ext uri="{FF2B5EF4-FFF2-40B4-BE49-F238E27FC236}">
                  <a16:creationId xmlns:a16="http://schemas.microsoft.com/office/drawing/2014/main" id="{5A3A9DF1-EDD8-5119-EE5E-951F9A9C080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32" name="Rectangle 476">
              <a:extLst>
                <a:ext uri="{FF2B5EF4-FFF2-40B4-BE49-F238E27FC236}">
                  <a16:creationId xmlns:a16="http://schemas.microsoft.com/office/drawing/2014/main" id="{F3F60F54-2CA6-F3AA-0DA5-A39A9DD799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3" name="Oval 477">
              <a:extLst>
                <a:ext uri="{FF2B5EF4-FFF2-40B4-BE49-F238E27FC236}">
                  <a16:creationId xmlns:a16="http://schemas.microsoft.com/office/drawing/2014/main" id="{C49B2560-6577-FBDD-E67C-10E880DE91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34" name="Oval 478">
              <a:extLst>
                <a:ext uri="{FF2B5EF4-FFF2-40B4-BE49-F238E27FC236}">
                  <a16:creationId xmlns:a16="http://schemas.microsoft.com/office/drawing/2014/main" id="{0119B111-9D21-9D70-AB5F-DACE21887D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35" name="Rectangle 479">
              <a:extLst>
                <a:ext uri="{FF2B5EF4-FFF2-40B4-BE49-F238E27FC236}">
                  <a16:creationId xmlns:a16="http://schemas.microsoft.com/office/drawing/2014/main" id="{512CC010-20D2-2874-9A7A-89DD226E01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6" name="Rectangle 480">
              <a:extLst>
                <a:ext uri="{FF2B5EF4-FFF2-40B4-BE49-F238E27FC236}">
                  <a16:creationId xmlns:a16="http://schemas.microsoft.com/office/drawing/2014/main" id="{581186FA-440D-F125-B0CD-8A7F1203B6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7" name="Rectangle 481">
              <a:extLst>
                <a:ext uri="{FF2B5EF4-FFF2-40B4-BE49-F238E27FC236}">
                  <a16:creationId xmlns:a16="http://schemas.microsoft.com/office/drawing/2014/main" id="{FD524457-A31F-1994-2281-8C29F98D1B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38" name="Rectangle 482">
              <a:extLst>
                <a:ext uri="{FF2B5EF4-FFF2-40B4-BE49-F238E27FC236}">
                  <a16:creationId xmlns:a16="http://schemas.microsoft.com/office/drawing/2014/main" id="{1C99DFE8-5CA0-712A-DA2C-696834811D6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304800</xdr:colOff>
      <xdr:row>3</xdr:row>
      <xdr:rowOff>38100</xdr:rowOff>
    </xdr:from>
    <xdr:to>
      <xdr:col>8</xdr:col>
      <xdr:colOff>365760</xdr:colOff>
      <xdr:row>5</xdr:row>
      <xdr:rowOff>76200</xdr:rowOff>
    </xdr:to>
    <xdr:grpSp>
      <xdr:nvGrpSpPr>
        <xdr:cNvPr id="529086" name="Group 483">
          <a:extLst>
            <a:ext uri="{FF2B5EF4-FFF2-40B4-BE49-F238E27FC236}">
              <a16:creationId xmlns:a16="http://schemas.microsoft.com/office/drawing/2014/main" id="{F49BFD5D-D4B1-3029-1210-5444D8FB6D44}"/>
            </a:ext>
          </a:extLst>
        </xdr:cNvPr>
        <xdr:cNvGrpSpPr>
          <a:grpSpLocks/>
        </xdr:cNvGrpSpPr>
      </xdr:nvGrpSpPr>
      <xdr:grpSpPr bwMode="auto">
        <a:xfrm>
          <a:off x="5615940" y="1744980"/>
          <a:ext cx="883920" cy="411480"/>
          <a:chOff x="220" y="176"/>
          <a:chExt cx="556" cy="247"/>
        </a:xfrm>
      </xdr:grpSpPr>
      <xdr:sp macro="" textlink="">
        <xdr:nvSpPr>
          <xdr:cNvPr id="534104" name="Rectangle 484">
            <a:extLst>
              <a:ext uri="{FF2B5EF4-FFF2-40B4-BE49-F238E27FC236}">
                <a16:creationId xmlns:a16="http://schemas.microsoft.com/office/drawing/2014/main" id="{557CC532-173D-6AB8-6430-0FA8D47AF48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05" name="Line 485">
            <a:extLst>
              <a:ext uri="{FF2B5EF4-FFF2-40B4-BE49-F238E27FC236}">
                <a16:creationId xmlns:a16="http://schemas.microsoft.com/office/drawing/2014/main" id="{B43B5F58-F645-398E-A5CE-5CF7A4B9C44A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06" name="Line 486">
            <a:extLst>
              <a:ext uri="{FF2B5EF4-FFF2-40B4-BE49-F238E27FC236}">
                <a16:creationId xmlns:a16="http://schemas.microsoft.com/office/drawing/2014/main" id="{800465E4-70E6-226F-70B8-4423A4D95982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107" name="Rectangle 487">
            <a:extLst>
              <a:ext uri="{FF2B5EF4-FFF2-40B4-BE49-F238E27FC236}">
                <a16:creationId xmlns:a16="http://schemas.microsoft.com/office/drawing/2014/main" id="{A4B04FD7-E290-C55D-9F79-ACA2251F69D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08" name="Oval 488">
            <a:extLst>
              <a:ext uri="{FF2B5EF4-FFF2-40B4-BE49-F238E27FC236}">
                <a16:creationId xmlns:a16="http://schemas.microsoft.com/office/drawing/2014/main" id="{18B52A7A-709A-979F-B198-EFB0BF26D84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09" name="Oval 489">
            <a:extLst>
              <a:ext uri="{FF2B5EF4-FFF2-40B4-BE49-F238E27FC236}">
                <a16:creationId xmlns:a16="http://schemas.microsoft.com/office/drawing/2014/main" id="{5A6C5C51-ED2F-11B9-4C25-65144DB8D76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110" name="Rectangle 490">
            <a:extLst>
              <a:ext uri="{FF2B5EF4-FFF2-40B4-BE49-F238E27FC236}">
                <a16:creationId xmlns:a16="http://schemas.microsoft.com/office/drawing/2014/main" id="{F707B295-F717-C7C5-D327-705BAD9D8A95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11" name="Rectangle 491">
            <a:extLst>
              <a:ext uri="{FF2B5EF4-FFF2-40B4-BE49-F238E27FC236}">
                <a16:creationId xmlns:a16="http://schemas.microsoft.com/office/drawing/2014/main" id="{88FA95E0-CD15-5FF4-FDC3-4349B56694E4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12" name="Rectangle 492">
            <a:extLst>
              <a:ext uri="{FF2B5EF4-FFF2-40B4-BE49-F238E27FC236}">
                <a16:creationId xmlns:a16="http://schemas.microsoft.com/office/drawing/2014/main" id="{4F490CAE-3538-AB95-B119-AEE9FD434D3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13" name="Rectangle 493">
            <a:extLst>
              <a:ext uri="{FF2B5EF4-FFF2-40B4-BE49-F238E27FC236}">
                <a16:creationId xmlns:a16="http://schemas.microsoft.com/office/drawing/2014/main" id="{3592A2E7-E92D-75F2-4D6B-CA2E17F10FC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114" name="Group 494">
            <a:extLst>
              <a:ext uri="{FF2B5EF4-FFF2-40B4-BE49-F238E27FC236}">
                <a16:creationId xmlns:a16="http://schemas.microsoft.com/office/drawing/2014/main" id="{7CF2517D-3837-B2C2-9D01-DCA0F34FF26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117" name="Rectangle 495">
              <a:extLst>
                <a:ext uri="{FF2B5EF4-FFF2-40B4-BE49-F238E27FC236}">
                  <a16:creationId xmlns:a16="http://schemas.microsoft.com/office/drawing/2014/main" id="{A6B4B5C3-3AE7-C261-9183-D7A4334EFC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18" name="Line 496">
              <a:extLst>
                <a:ext uri="{FF2B5EF4-FFF2-40B4-BE49-F238E27FC236}">
                  <a16:creationId xmlns:a16="http://schemas.microsoft.com/office/drawing/2014/main" id="{5A73A275-1F45-CD00-B2D0-E03FF5DD70F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19" name="Line 497">
              <a:extLst>
                <a:ext uri="{FF2B5EF4-FFF2-40B4-BE49-F238E27FC236}">
                  <a16:creationId xmlns:a16="http://schemas.microsoft.com/office/drawing/2014/main" id="{B438F5E4-F1FA-D482-A6A2-586203A2D8F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120" name="Rectangle 498">
              <a:extLst>
                <a:ext uri="{FF2B5EF4-FFF2-40B4-BE49-F238E27FC236}">
                  <a16:creationId xmlns:a16="http://schemas.microsoft.com/office/drawing/2014/main" id="{6ACA18EA-D24D-6727-6617-CFF216B0F4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21" name="Oval 499">
              <a:extLst>
                <a:ext uri="{FF2B5EF4-FFF2-40B4-BE49-F238E27FC236}">
                  <a16:creationId xmlns:a16="http://schemas.microsoft.com/office/drawing/2014/main" id="{7D769063-9D67-6F14-9707-9875F0901C1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22" name="Oval 500">
              <a:extLst>
                <a:ext uri="{FF2B5EF4-FFF2-40B4-BE49-F238E27FC236}">
                  <a16:creationId xmlns:a16="http://schemas.microsoft.com/office/drawing/2014/main" id="{6D77D666-AB32-1A1D-9894-EFAFBC8E87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23" name="Rectangle 501">
              <a:extLst>
                <a:ext uri="{FF2B5EF4-FFF2-40B4-BE49-F238E27FC236}">
                  <a16:creationId xmlns:a16="http://schemas.microsoft.com/office/drawing/2014/main" id="{797145ED-248D-E715-2806-DB146B1914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24" name="Rectangle 502">
              <a:extLst>
                <a:ext uri="{FF2B5EF4-FFF2-40B4-BE49-F238E27FC236}">
                  <a16:creationId xmlns:a16="http://schemas.microsoft.com/office/drawing/2014/main" id="{6A3B5EDC-AD69-0310-987C-2AAAC007F2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25" name="Rectangle 503">
              <a:extLst>
                <a:ext uri="{FF2B5EF4-FFF2-40B4-BE49-F238E27FC236}">
                  <a16:creationId xmlns:a16="http://schemas.microsoft.com/office/drawing/2014/main" id="{FF6944AE-17F1-E84E-82D9-631E2CC22A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26" name="Rectangle 504">
              <a:extLst>
                <a:ext uri="{FF2B5EF4-FFF2-40B4-BE49-F238E27FC236}">
                  <a16:creationId xmlns:a16="http://schemas.microsoft.com/office/drawing/2014/main" id="{915646C3-88E5-E5D5-EC6C-9E2AE22AA1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115" name="Rectangle 505">
            <a:extLst>
              <a:ext uri="{FF2B5EF4-FFF2-40B4-BE49-F238E27FC236}">
                <a16:creationId xmlns:a16="http://schemas.microsoft.com/office/drawing/2014/main" id="{08EB5E68-E8E2-1DC1-442A-882A045E15F9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116" name="Rectangle 506">
            <a:extLst>
              <a:ext uri="{FF2B5EF4-FFF2-40B4-BE49-F238E27FC236}">
                <a16:creationId xmlns:a16="http://schemas.microsoft.com/office/drawing/2014/main" id="{1D8B7FE7-277F-95FF-23A4-0122E7F88A8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87" name="Group 531">
          <a:extLst>
            <a:ext uri="{FF2B5EF4-FFF2-40B4-BE49-F238E27FC236}">
              <a16:creationId xmlns:a16="http://schemas.microsoft.com/office/drawing/2014/main" id="{9DA9715A-C816-E85F-02D3-22BCDA2AA7E3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4081" name="Rectangle 532">
            <a:extLst>
              <a:ext uri="{FF2B5EF4-FFF2-40B4-BE49-F238E27FC236}">
                <a16:creationId xmlns:a16="http://schemas.microsoft.com/office/drawing/2014/main" id="{B6FBBCA7-1A5C-9EEE-76AA-D381E9E5CCD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82" name="Line 533">
            <a:extLst>
              <a:ext uri="{FF2B5EF4-FFF2-40B4-BE49-F238E27FC236}">
                <a16:creationId xmlns:a16="http://schemas.microsoft.com/office/drawing/2014/main" id="{C0A7C330-5D53-B622-B349-D5D8A345547E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83" name="Line 534">
            <a:extLst>
              <a:ext uri="{FF2B5EF4-FFF2-40B4-BE49-F238E27FC236}">
                <a16:creationId xmlns:a16="http://schemas.microsoft.com/office/drawing/2014/main" id="{D4D24EED-4DBF-40F7-65B8-D9003C82E326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84" name="Rectangle 535">
            <a:extLst>
              <a:ext uri="{FF2B5EF4-FFF2-40B4-BE49-F238E27FC236}">
                <a16:creationId xmlns:a16="http://schemas.microsoft.com/office/drawing/2014/main" id="{4D9E4158-9EC8-E650-6ABA-F4756121BB66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85" name="Oval 536">
            <a:extLst>
              <a:ext uri="{FF2B5EF4-FFF2-40B4-BE49-F238E27FC236}">
                <a16:creationId xmlns:a16="http://schemas.microsoft.com/office/drawing/2014/main" id="{700349BD-6CA6-87B6-85D2-AFF2B9F418E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86" name="Oval 537">
            <a:extLst>
              <a:ext uri="{FF2B5EF4-FFF2-40B4-BE49-F238E27FC236}">
                <a16:creationId xmlns:a16="http://schemas.microsoft.com/office/drawing/2014/main" id="{AB29DA0A-5741-1C64-A0F1-AD8ABAE59853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87" name="Rectangle 538">
            <a:extLst>
              <a:ext uri="{FF2B5EF4-FFF2-40B4-BE49-F238E27FC236}">
                <a16:creationId xmlns:a16="http://schemas.microsoft.com/office/drawing/2014/main" id="{BE9ED703-FAA8-7556-82ED-64D51B11C98B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88" name="Rectangle 539">
            <a:extLst>
              <a:ext uri="{FF2B5EF4-FFF2-40B4-BE49-F238E27FC236}">
                <a16:creationId xmlns:a16="http://schemas.microsoft.com/office/drawing/2014/main" id="{248C5A83-E2FC-5669-7C5E-B41AE71364A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89" name="Rectangle 540">
            <a:extLst>
              <a:ext uri="{FF2B5EF4-FFF2-40B4-BE49-F238E27FC236}">
                <a16:creationId xmlns:a16="http://schemas.microsoft.com/office/drawing/2014/main" id="{807B125C-CE6F-0C49-B82B-C0DE10D925F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90" name="Rectangle 541">
            <a:extLst>
              <a:ext uri="{FF2B5EF4-FFF2-40B4-BE49-F238E27FC236}">
                <a16:creationId xmlns:a16="http://schemas.microsoft.com/office/drawing/2014/main" id="{A1C359A9-3EF9-931A-5A5C-F35B886DD89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091" name="Group 542">
            <a:extLst>
              <a:ext uri="{FF2B5EF4-FFF2-40B4-BE49-F238E27FC236}">
                <a16:creationId xmlns:a16="http://schemas.microsoft.com/office/drawing/2014/main" id="{79211EC7-9752-2F69-B41B-4D0ECE1792BC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94" name="Rectangle 543">
              <a:extLst>
                <a:ext uri="{FF2B5EF4-FFF2-40B4-BE49-F238E27FC236}">
                  <a16:creationId xmlns:a16="http://schemas.microsoft.com/office/drawing/2014/main" id="{8C60110C-0F7F-8D4F-6E40-0C333BEECB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95" name="Line 544">
              <a:extLst>
                <a:ext uri="{FF2B5EF4-FFF2-40B4-BE49-F238E27FC236}">
                  <a16:creationId xmlns:a16="http://schemas.microsoft.com/office/drawing/2014/main" id="{191CC1C6-5A55-43C7-7729-A5CD49D298F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96" name="Line 545">
              <a:extLst>
                <a:ext uri="{FF2B5EF4-FFF2-40B4-BE49-F238E27FC236}">
                  <a16:creationId xmlns:a16="http://schemas.microsoft.com/office/drawing/2014/main" id="{83478D50-2541-D0DA-5560-F4192A62254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97" name="Rectangle 546">
              <a:extLst>
                <a:ext uri="{FF2B5EF4-FFF2-40B4-BE49-F238E27FC236}">
                  <a16:creationId xmlns:a16="http://schemas.microsoft.com/office/drawing/2014/main" id="{DDD69908-2142-BE4F-8757-FBD40F1A3B5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98" name="Oval 547">
              <a:extLst>
                <a:ext uri="{FF2B5EF4-FFF2-40B4-BE49-F238E27FC236}">
                  <a16:creationId xmlns:a16="http://schemas.microsoft.com/office/drawing/2014/main" id="{10AFA6EE-63A9-B1AC-B836-ACF6D84E5C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99" name="Oval 548">
              <a:extLst>
                <a:ext uri="{FF2B5EF4-FFF2-40B4-BE49-F238E27FC236}">
                  <a16:creationId xmlns:a16="http://schemas.microsoft.com/office/drawing/2014/main" id="{67240213-9B37-AA6F-F9F5-77B0764D0A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100" name="Rectangle 549">
              <a:extLst>
                <a:ext uri="{FF2B5EF4-FFF2-40B4-BE49-F238E27FC236}">
                  <a16:creationId xmlns:a16="http://schemas.microsoft.com/office/drawing/2014/main" id="{DCA499A2-1BD7-6E89-33D6-3ABA484073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01" name="Rectangle 550">
              <a:extLst>
                <a:ext uri="{FF2B5EF4-FFF2-40B4-BE49-F238E27FC236}">
                  <a16:creationId xmlns:a16="http://schemas.microsoft.com/office/drawing/2014/main" id="{571BFDE7-94E3-BAED-AE6A-0E4B9FD68A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02" name="Rectangle 551">
              <a:extLst>
                <a:ext uri="{FF2B5EF4-FFF2-40B4-BE49-F238E27FC236}">
                  <a16:creationId xmlns:a16="http://schemas.microsoft.com/office/drawing/2014/main" id="{990AF6F6-858F-33D8-3A5E-FF356E150F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103" name="Rectangle 552">
              <a:extLst>
                <a:ext uri="{FF2B5EF4-FFF2-40B4-BE49-F238E27FC236}">
                  <a16:creationId xmlns:a16="http://schemas.microsoft.com/office/drawing/2014/main" id="{301FF2E1-9B58-09CD-6EEC-5F15633DC80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92" name="Rectangle 553">
            <a:extLst>
              <a:ext uri="{FF2B5EF4-FFF2-40B4-BE49-F238E27FC236}">
                <a16:creationId xmlns:a16="http://schemas.microsoft.com/office/drawing/2014/main" id="{BA060A11-9387-17F1-2C23-581F5D90748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93" name="Rectangle 554">
            <a:extLst>
              <a:ext uri="{FF2B5EF4-FFF2-40B4-BE49-F238E27FC236}">
                <a16:creationId xmlns:a16="http://schemas.microsoft.com/office/drawing/2014/main" id="{A934768F-C817-F98C-B687-5814F71920D8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88" name="Group 555">
          <a:extLst>
            <a:ext uri="{FF2B5EF4-FFF2-40B4-BE49-F238E27FC236}">
              <a16:creationId xmlns:a16="http://schemas.microsoft.com/office/drawing/2014/main" id="{2244BE29-2E06-917D-EC61-00A7C06572AF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4058" name="Rectangle 556">
            <a:extLst>
              <a:ext uri="{FF2B5EF4-FFF2-40B4-BE49-F238E27FC236}">
                <a16:creationId xmlns:a16="http://schemas.microsoft.com/office/drawing/2014/main" id="{E71B1464-1519-73E3-6780-847A6489C1A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59" name="Line 557">
            <a:extLst>
              <a:ext uri="{FF2B5EF4-FFF2-40B4-BE49-F238E27FC236}">
                <a16:creationId xmlns:a16="http://schemas.microsoft.com/office/drawing/2014/main" id="{F6537C31-86C9-9387-831E-0499101089DF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60" name="Line 558">
            <a:extLst>
              <a:ext uri="{FF2B5EF4-FFF2-40B4-BE49-F238E27FC236}">
                <a16:creationId xmlns:a16="http://schemas.microsoft.com/office/drawing/2014/main" id="{FB4A98F1-7B84-660F-F7EE-2B4C4B7BC586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61" name="Rectangle 559">
            <a:extLst>
              <a:ext uri="{FF2B5EF4-FFF2-40B4-BE49-F238E27FC236}">
                <a16:creationId xmlns:a16="http://schemas.microsoft.com/office/drawing/2014/main" id="{FAED413F-2A52-50F4-D839-B2CBA9CAB1BF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62" name="Oval 560">
            <a:extLst>
              <a:ext uri="{FF2B5EF4-FFF2-40B4-BE49-F238E27FC236}">
                <a16:creationId xmlns:a16="http://schemas.microsoft.com/office/drawing/2014/main" id="{1E030B81-59F0-A583-0CFE-B5F33BF01CFA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63" name="Oval 561">
            <a:extLst>
              <a:ext uri="{FF2B5EF4-FFF2-40B4-BE49-F238E27FC236}">
                <a16:creationId xmlns:a16="http://schemas.microsoft.com/office/drawing/2014/main" id="{BFFB19BB-F2BD-6E22-5B8A-1AC0618EFD4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64" name="Rectangle 562">
            <a:extLst>
              <a:ext uri="{FF2B5EF4-FFF2-40B4-BE49-F238E27FC236}">
                <a16:creationId xmlns:a16="http://schemas.microsoft.com/office/drawing/2014/main" id="{59AE8A95-898F-40AD-97C8-3383E51CA4BC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65" name="Rectangle 563">
            <a:extLst>
              <a:ext uri="{FF2B5EF4-FFF2-40B4-BE49-F238E27FC236}">
                <a16:creationId xmlns:a16="http://schemas.microsoft.com/office/drawing/2014/main" id="{D8407474-2A05-39A5-43D9-9A36ACA4D9FC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66" name="Rectangle 564">
            <a:extLst>
              <a:ext uri="{FF2B5EF4-FFF2-40B4-BE49-F238E27FC236}">
                <a16:creationId xmlns:a16="http://schemas.microsoft.com/office/drawing/2014/main" id="{F021DFCC-FE10-1BC6-6823-DB838008B5D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67" name="Rectangle 565">
            <a:extLst>
              <a:ext uri="{FF2B5EF4-FFF2-40B4-BE49-F238E27FC236}">
                <a16:creationId xmlns:a16="http://schemas.microsoft.com/office/drawing/2014/main" id="{E33D7354-D613-0F6B-C985-875ABEE1931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068" name="Group 566">
            <a:extLst>
              <a:ext uri="{FF2B5EF4-FFF2-40B4-BE49-F238E27FC236}">
                <a16:creationId xmlns:a16="http://schemas.microsoft.com/office/drawing/2014/main" id="{1E6E5261-AB41-05AD-B285-83E1BB171FD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71" name="Rectangle 567">
              <a:extLst>
                <a:ext uri="{FF2B5EF4-FFF2-40B4-BE49-F238E27FC236}">
                  <a16:creationId xmlns:a16="http://schemas.microsoft.com/office/drawing/2014/main" id="{C9FC69C1-540E-0C3C-B6AA-FE2F2F5E87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72" name="Line 568">
              <a:extLst>
                <a:ext uri="{FF2B5EF4-FFF2-40B4-BE49-F238E27FC236}">
                  <a16:creationId xmlns:a16="http://schemas.microsoft.com/office/drawing/2014/main" id="{1F4E7B0E-B522-4554-F72E-56FCFCC000F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73" name="Line 569">
              <a:extLst>
                <a:ext uri="{FF2B5EF4-FFF2-40B4-BE49-F238E27FC236}">
                  <a16:creationId xmlns:a16="http://schemas.microsoft.com/office/drawing/2014/main" id="{A7D20F7B-A8A5-BA15-2187-511657786FB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74" name="Rectangle 570">
              <a:extLst>
                <a:ext uri="{FF2B5EF4-FFF2-40B4-BE49-F238E27FC236}">
                  <a16:creationId xmlns:a16="http://schemas.microsoft.com/office/drawing/2014/main" id="{A507C7F5-A84F-1ADA-F914-A710253EEC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75" name="Oval 571">
              <a:extLst>
                <a:ext uri="{FF2B5EF4-FFF2-40B4-BE49-F238E27FC236}">
                  <a16:creationId xmlns:a16="http://schemas.microsoft.com/office/drawing/2014/main" id="{8A82C023-C055-3BFD-3C9A-674A1CFB8C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76" name="Oval 572">
              <a:extLst>
                <a:ext uri="{FF2B5EF4-FFF2-40B4-BE49-F238E27FC236}">
                  <a16:creationId xmlns:a16="http://schemas.microsoft.com/office/drawing/2014/main" id="{8A0638B9-01E2-AEB5-2A44-95BCCA44021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77" name="Rectangle 573">
              <a:extLst>
                <a:ext uri="{FF2B5EF4-FFF2-40B4-BE49-F238E27FC236}">
                  <a16:creationId xmlns:a16="http://schemas.microsoft.com/office/drawing/2014/main" id="{17840F9D-42ED-0659-AB3C-E98714D6FEA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78" name="Rectangle 574">
              <a:extLst>
                <a:ext uri="{FF2B5EF4-FFF2-40B4-BE49-F238E27FC236}">
                  <a16:creationId xmlns:a16="http://schemas.microsoft.com/office/drawing/2014/main" id="{92760107-5CD0-7A3D-1E88-89057FE258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79" name="Rectangle 575">
              <a:extLst>
                <a:ext uri="{FF2B5EF4-FFF2-40B4-BE49-F238E27FC236}">
                  <a16:creationId xmlns:a16="http://schemas.microsoft.com/office/drawing/2014/main" id="{8CE579DF-E53D-95A2-6BF5-AA1E878F17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80" name="Rectangle 576">
              <a:extLst>
                <a:ext uri="{FF2B5EF4-FFF2-40B4-BE49-F238E27FC236}">
                  <a16:creationId xmlns:a16="http://schemas.microsoft.com/office/drawing/2014/main" id="{A068B123-84DF-EED8-F016-C1EB0DEB42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69" name="Rectangle 577">
            <a:extLst>
              <a:ext uri="{FF2B5EF4-FFF2-40B4-BE49-F238E27FC236}">
                <a16:creationId xmlns:a16="http://schemas.microsoft.com/office/drawing/2014/main" id="{E41CC156-0A65-1EA8-1646-0FBDEDD627D7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70" name="Rectangle 578">
            <a:extLst>
              <a:ext uri="{FF2B5EF4-FFF2-40B4-BE49-F238E27FC236}">
                <a16:creationId xmlns:a16="http://schemas.microsoft.com/office/drawing/2014/main" id="{E6D75DA3-0C50-87EF-0E98-F328341D6955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89" name="Group 579">
          <a:extLst>
            <a:ext uri="{FF2B5EF4-FFF2-40B4-BE49-F238E27FC236}">
              <a16:creationId xmlns:a16="http://schemas.microsoft.com/office/drawing/2014/main" id="{CE706648-5722-2D61-FCE7-BB90007A8C01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4035" name="Rectangle 580">
            <a:extLst>
              <a:ext uri="{FF2B5EF4-FFF2-40B4-BE49-F238E27FC236}">
                <a16:creationId xmlns:a16="http://schemas.microsoft.com/office/drawing/2014/main" id="{D93DEDC3-D6EA-9243-CB91-0AFC70F3F83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36" name="Line 581">
            <a:extLst>
              <a:ext uri="{FF2B5EF4-FFF2-40B4-BE49-F238E27FC236}">
                <a16:creationId xmlns:a16="http://schemas.microsoft.com/office/drawing/2014/main" id="{C4B9B172-5FD3-7C8E-0A72-D395EAA0168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37" name="Line 582">
            <a:extLst>
              <a:ext uri="{FF2B5EF4-FFF2-40B4-BE49-F238E27FC236}">
                <a16:creationId xmlns:a16="http://schemas.microsoft.com/office/drawing/2014/main" id="{82B6BEFF-1567-939E-115B-E48B4C6E852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38" name="Rectangle 583">
            <a:extLst>
              <a:ext uri="{FF2B5EF4-FFF2-40B4-BE49-F238E27FC236}">
                <a16:creationId xmlns:a16="http://schemas.microsoft.com/office/drawing/2014/main" id="{8F387D90-1FA5-2DCC-18F7-026541A94BC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39" name="Oval 584">
            <a:extLst>
              <a:ext uri="{FF2B5EF4-FFF2-40B4-BE49-F238E27FC236}">
                <a16:creationId xmlns:a16="http://schemas.microsoft.com/office/drawing/2014/main" id="{B2C817E5-7D57-28E1-30D1-591DDA210E8E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40" name="Oval 585">
            <a:extLst>
              <a:ext uri="{FF2B5EF4-FFF2-40B4-BE49-F238E27FC236}">
                <a16:creationId xmlns:a16="http://schemas.microsoft.com/office/drawing/2014/main" id="{44E214D8-4B47-BC41-BFD1-CC053EA28DB3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41" name="Rectangle 586">
            <a:extLst>
              <a:ext uri="{FF2B5EF4-FFF2-40B4-BE49-F238E27FC236}">
                <a16:creationId xmlns:a16="http://schemas.microsoft.com/office/drawing/2014/main" id="{193BD606-A3E7-D9A6-BE08-E8131ACEA44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42" name="Rectangle 587">
            <a:extLst>
              <a:ext uri="{FF2B5EF4-FFF2-40B4-BE49-F238E27FC236}">
                <a16:creationId xmlns:a16="http://schemas.microsoft.com/office/drawing/2014/main" id="{D972A55C-7266-A7B9-6BE5-9894AA9AA7B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43" name="Rectangle 588">
            <a:extLst>
              <a:ext uri="{FF2B5EF4-FFF2-40B4-BE49-F238E27FC236}">
                <a16:creationId xmlns:a16="http://schemas.microsoft.com/office/drawing/2014/main" id="{66E33290-73AA-7F59-E302-869E56EAE39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44" name="Rectangle 589">
            <a:extLst>
              <a:ext uri="{FF2B5EF4-FFF2-40B4-BE49-F238E27FC236}">
                <a16:creationId xmlns:a16="http://schemas.microsoft.com/office/drawing/2014/main" id="{67DEA54F-1658-1138-4A4F-21B60BAF3C57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045" name="Group 590">
            <a:extLst>
              <a:ext uri="{FF2B5EF4-FFF2-40B4-BE49-F238E27FC236}">
                <a16:creationId xmlns:a16="http://schemas.microsoft.com/office/drawing/2014/main" id="{26233B8A-CF8B-45FB-8EBC-3D131FC9B0F5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48" name="Rectangle 591">
              <a:extLst>
                <a:ext uri="{FF2B5EF4-FFF2-40B4-BE49-F238E27FC236}">
                  <a16:creationId xmlns:a16="http://schemas.microsoft.com/office/drawing/2014/main" id="{C81B53CE-B404-0973-981D-6336FFDE73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49" name="Line 592">
              <a:extLst>
                <a:ext uri="{FF2B5EF4-FFF2-40B4-BE49-F238E27FC236}">
                  <a16:creationId xmlns:a16="http://schemas.microsoft.com/office/drawing/2014/main" id="{AC6511FB-D54F-3CF1-55F3-55C215A2A9A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50" name="Line 593">
              <a:extLst>
                <a:ext uri="{FF2B5EF4-FFF2-40B4-BE49-F238E27FC236}">
                  <a16:creationId xmlns:a16="http://schemas.microsoft.com/office/drawing/2014/main" id="{2420A0C8-FD03-F5A3-B914-BC1D33B1BD1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51" name="Rectangle 594">
              <a:extLst>
                <a:ext uri="{FF2B5EF4-FFF2-40B4-BE49-F238E27FC236}">
                  <a16:creationId xmlns:a16="http://schemas.microsoft.com/office/drawing/2014/main" id="{8F8AEBF4-A795-9A3D-FEE7-27B5B9D0A8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52" name="Oval 595">
              <a:extLst>
                <a:ext uri="{FF2B5EF4-FFF2-40B4-BE49-F238E27FC236}">
                  <a16:creationId xmlns:a16="http://schemas.microsoft.com/office/drawing/2014/main" id="{326AD996-BD3C-5748-8E71-71BF01A1E8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53" name="Oval 596">
              <a:extLst>
                <a:ext uri="{FF2B5EF4-FFF2-40B4-BE49-F238E27FC236}">
                  <a16:creationId xmlns:a16="http://schemas.microsoft.com/office/drawing/2014/main" id="{D5D46FED-1CDE-BC7E-7C2C-1FC6292F9DC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54" name="Rectangle 597">
              <a:extLst>
                <a:ext uri="{FF2B5EF4-FFF2-40B4-BE49-F238E27FC236}">
                  <a16:creationId xmlns:a16="http://schemas.microsoft.com/office/drawing/2014/main" id="{26D6C64B-C98D-4653-0C34-3B10A6594B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55" name="Rectangle 598">
              <a:extLst>
                <a:ext uri="{FF2B5EF4-FFF2-40B4-BE49-F238E27FC236}">
                  <a16:creationId xmlns:a16="http://schemas.microsoft.com/office/drawing/2014/main" id="{2067884C-1233-1A10-BC28-128DAEB629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56" name="Rectangle 599">
              <a:extLst>
                <a:ext uri="{FF2B5EF4-FFF2-40B4-BE49-F238E27FC236}">
                  <a16:creationId xmlns:a16="http://schemas.microsoft.com/office/drawing/2014/main" id="{28A697E0-7BEE-F140-C8F3-C23CB576EA8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57" name="Rectangle 600">
              <a:extLst>
                <a:ext uri="{FF2B5EF4-FFF2-40B4-BE49-F238E27FC236}">
                  <a16:creationId xmlns:a16="http://schemas.microsoft.com/office/drawing/2014/main" id="{0390B26E-E0FC-E71D-189C-8CCA8F2538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46" name="Rectangle 601">
            <a:extLst>
              <a:ext uri="{FF2B5EF4-FFF2-40B4-BE49-F238E27FC236}">
                <a16:creationId xmlns:a16="http://schemas.microsoft.com/office/drawing/2014/main" id="{B607D9EA-9D60-2A20-D876-A1157E6A93F3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47" name="Rectangle 602">
            <a:extLst>
              <a:ext uri="{FF2B5EF4-FFF2-40B4-BE49-F238E27FC236}">
                <a16:creationId xmlns:a16="http://schemas.microsoft.com/office/drawing/2014/main" id="{D954E63B-B60A-4294-FC90-C44AA1B4149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90" name="Group 603">
          <a:extLst>
            <a:ext uri="{FF2B5EF4-FFF2-40B4-BE49-F238E27FC236}">
              <a16:creationId xmlns:a16="http://schemas.microsoft.com/office/drawing/2014/main" id="{BCC26496-6222-860C-AFB2-E16C12E38B9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4012" name="Rectangle 604">
            <a:extLst>
              <a:ext uri="{FF2B5EF4-FFF2-40B4-BE49-F238E27FC236}">
                <a16:creationId xmlns:a16="http://schemas.microsoft.com/office/drawing/2014/main" id="{A2ED5222-56D6-ABAB-19F6-957ADEBDE09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13" name="Line 605">
            <a:extLst>
              <a:ext uri="{FF2B5EF4-FFF2-40B4-BE49-F238E27FC236}">
                <a16:creationId xmlns:a16="http://schemas.microsoft.com/office/drawing/2014/main" id="{045D5547-16B5-D40E-04A7-0461726DEBAB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14" name="Line 606">
            <a:extLst>
              <a:ext uri="{FF2B5EF4-FFF2-40B4-BE49-F238E27FC236}">
                <a16:creationId xmlns:a16="http://schemas.microsoft.com/office/drawing/2014/main" id="{A5C5FB90-E28F-D3AA-4AA1-B1139460D5C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015" name="Rectangle 607">
            <a:extLst>
              <a:ext uri="{FF2B5EF4-FFF2-40B4-BE49-F238E27FC236}">
                <a16:creationId xmlns:a16="http://schemas.microsoft.com/office/drawing/2014/main" id="{26940495-D02F-4C76-890F-48563C57AD0B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16" name="Oval 608">
            <a:extLst>
              <a:ext uri="{FF2B5EF4-FFF2-40B4-BE49-F238E27FC236}">
                <a16:creationId xmlns:a16="http://schemas.microsoft.com/office/drawing/2014/main" id="{B8696A01-09F0-8A42-C5C3-4F1206DE7B61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17" name="Oval 609">
            <a:extLst>
              <a:ext uri="{FF2B5EF4-FFF2-40B4-BE49-F238E27FC236}">
                <a16:creationId xmlns:a16="http://schemas.microsoft.com/office/drawing/2014/main" id="{AE3B0C07-0680-67A6-8601-3B1FD609694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4018" name="Rectangle 610">
            <a:extLst>
              <a:ext uri="{FF2B5EF4-FFF2-40B4-BE49-F238E27FC236}">
                <a16:creationId xmlns:a16="http://schemas.microsoft.com/office/drawing/2014/main" id="{62393F8D-9395-2408-EFD6-F5581DC7AAC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19" name="Rectangle 611">
            <a:extLst>
              <a:ext uri="{FF2B5EF4-FFF2-40B4-BE49-F238E27FC236}">
                <a16:creationId xmlns:a16="http://schemas.microsoft.com/office/drawing/2014/main" id="{1EF51A3F-3666-6E89-FF07-8EEB10EBDDD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20" name="Rectangle 612">
            <a:extLst>
              <a:ext uri="{FF2B5EF4-FFF2-40B4-BE49-F238E27FC236}">
                <a16:creationId xmlns:a16="http://schemas.microsoft.com/office/drawing/2014/main" id="{18697961-0972-23B8-F211-B60D520D8B1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21" name="Rectangle 613">
            <a:extLst>
              <a:ext uri="{FF2B5EF4-FFF2-40B4-BE49-F238E27FC236}">
                <a16:creationId xmlns:a16="http://schemas.microsoft.com/office/drawing/2014/main" id="{DBBC37C0-FD41-F885-7889-A1E91B6405D2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4022" name="Group 614">
            <a:extLst>
              <a:ext uri="{FF2B5EF4-FFF2-40B4-BE49-F238E27FC236}">
                <a16:creationId xmlns:a16="http://schemas.microsoft.com/office/drawing/2014/main" id="{5D24E331-0D69-BF41-F623-2AEA975057C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25" name="Rectangle 615">
              <a:extLst>
                <a:ext uri="{FF2B5EF4-FFF2-40B4-BE49-F238E27FC236}">
                  <a16:creationId xmlns:a16="http://schemas.microsoft.com/office/drawing/2014/main" id="{0864004D-07B3-33DE-CB35-FD96FFE058C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26" name="Line 616">
              <a:extLst>
                <a:ext uri="{FF2B5EF4-FFF2-40B4-BE49-F238E27FC236}">
                  <a16:creationId xmlns:a16="http://schemas.microsoft.com/office/drawing/2014/main" id="{7EF71F59-2062-7656-DF92-3A977CEB452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27" name="Line 617">
              <a:extLst>
                <a:ext uri="{FF2B5EF4-FFF2-40B4-BE49-F238E27FC236}">
                  <a16:creationId xmlns:a16="http://schemas.microsoft.com/office/drawing/2014/main" id="{8A115674-2536-69DA-7117-3E0B60CF27D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28" name="Rectangle 618">
              <a:extLst>
                <a:ext uri="{FF2B5EF4-FFF2-40B4-BE49-F238E27FC236}">
                  <a16:creationId xmlns:a16="http://schemas.microsoft.com/office/drawing/2014/main" id="{A2D45943-4D52-A5A5-50AB-655D6F118A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29" name="Oval 619">
              <a:extLst>
                <a:ext uri="{FF2B5EF4-FFF2-40B4-BE49-F238E27FC236}">
                  <a16:creationId xmlns:a16="http://schemas.microsoft.com/office/drawing/2014/main" id="{8BFF4D79-E1C4-FE03-F294-172751CAB4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30" name="Oval 620">
              <a:extLst>
                <a:ext uri="{FF2B5EF4-FFF2-40B4-BE49-F238E27FC236}">
                  <a16:creationId xmlns:a16="http://schemas.microsoft.com/office/drawing/2014/main" id="{19E11199-1345-A915-67E2-E4C73706E7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31" name="Rectangle 621">
              <a:extLst>
                <a:ext uri="{FF2B5EF4-FFF2-40B4-BE49-F238E27FC236}">
                  <a16:creationId xmlns:a16="http://schemas.microsoft.com/office/drawing/2014/main" id="{120C7810-1DCA-C93A-7CEB-101D8EEF84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32" name="Rectangle 622">
              <a:extLst>
                <a:ext uri="{FF2B5EF4-FFF2-40B4-BE49-F238E27FC236}">
                  <a16:creationId xmlns:a16="http://schemas.microsoft.com/office/drawing/2014/main" id="{DFAA2F40-D7C6-6BAA-3809-B0ED6F41FD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33" name="Rectangle 623">
              <a:extLst>
                <a:ext uri="{FF2B5EF4-FFF2-40B4-BE49-F238E27FC236}">
                  <a16:creationId xmlns:a16="http://schemas.microsoft.com/office/drawing/2014/main" id="{C8241963-2427-1E17-7101-8CEA506BD9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34" name="Rectangle 624">
              <a:extLst>
                <a:ext uri="{FF2B5EF4-FFF2-40B4-BE49-F238E27FC236}">
                  <a16:creationId xmlns:a16="http://schemas.microsoft.com/office/drawing/2014/main" id="{6397E264-5DE9-26CA-BCDA-1EB2617198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23" name="Rectangle 625">
            <a:extLst>
              <a:ext uri="{FF2B5EF4-FFF2-40B4-BE49-F238E27FC236}">
                <a16:creationId xmlns:a16="http://schemas.microsoft.com/office/drawing/2014/main" id="{8D1955FC-505A-7DEB-BCA5-3B18DBCC43E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24" name="Rectangle 626">
            <a:extLst>
              <a:ext uri="{FF2B5EF4-FFF2-40B4-BE49-F238E27FC236}">
                <a16:creationId xmlns:a16="http://schemas.microsoft.com/office/drawing/2014/main" id="{3BBAA2C6-8E64-15C2-33AD-96480B624330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091" name="Group 627">
          <a:extLst>
            <a:ext uri="{FF2B5EF4-FFF2-40B4-BE49-F238E27FC236}">
              <a16:creationId xmlns:a16="http://schemas.microsoft.com/office/drawing/2014/main" id="{882CB4F6-DC95-61E0-E1B7-FD14B8A77E17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989" name="Rectangle 628">
            <a:extLst>
              <a:ext uri="{FF2B5EF4-FFF2-40B4-BE49-F238E27FC236}">
                <a16:creationId xmlns:a16="http://schemas.microsoft.com/office/drawing/2014/main" id="{CA97D21D-4A68-B6B8-8599-80DEC2A74DF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0" name="Line 629">
            <a:extLst>
              <a:ext uri="{FF2B5EF4-FFF2-40B4-BE49-F238E27FC236}">
                <a16:creationId xmlns:a16="http://schemas.microsoft.com/office/drawing/2014/main" id="{22140450-8DAC-2C12-F399-EA12BC13A9E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91" name="Line 630">
            <a:extLst>
              <a:ext uri="{FF2B5EF4-FFF2-40B4-BE49-F238E27FC236}">
                <a16:creationId xmlns:a16="http://schemas.microsoft.com/office/drawing/2014/main" id="{BE2CF585-D644-1069-D7C0-CD4FDDFC3ED2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92" name="Rectangle 631">
            <a:extLst>
              <a:ext uri="{FF2B5EF4-FFF2-40B4-BE49-F238E27FC236}">
                <a16:creationId xmlns:a16="http://schemas.microsoft.com/office/drawing/2014/main" id="{ECD10C38-8B43-7CAC-C0C8-DB3A5CCA216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3" name="Oval 632">
            <a:extLst>
              <a:ext uri="{FF2B5EF4-FFF2-40B4-BE49-F238E27FC236}">
                <a16:creationId xmlns:a16="http://schemas.microsoft.com/office/drawing/2014/main" id="{F67582A8-3B56-56C6-F545-BADD4E04660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94" name="Oval 633">
            <a:extLst>
              <a:ext uri="{FF2B5EF4-FFF2-40B4-BE49-F238E27FC236}">
                <a16:creationId xmlns:a16="http://schemas.microsoft.com/office/drawing/2014/main" id="{0DC015BA-B29B-1D80-46FE-B9908662A759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95" name="Rectangle 634">
            <a:extLst>
              <a:ext uri="{FF2B5EF4-FFF2-40B4-BE49-F238E27FC236}">
                <a16:creationId xmlns:a16="http://schemas.microsoft.com/office/drawing/2014/main" id="{BB3DF025-8E4C-0797-BF90-DBA67C9A776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6" name="Rectangle 635">
            <a:extLst>
              <a:ext uri="{FF2B5EF4-FFF2-40B4-BE49-F238E27FC236}">
                <a16:creationId xmlns:a16="http://schemas.microsoft.com/office/drawing/2014/main" id="{EF383024-015C-DFA9-37CB-623100D359F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7" name="Rectangle 636">
            <a:extLst>
              <a:ext uri="{FF2B5EF4-FFF2-40B4-BE49-F238E27FC236}">
                <a16:creationId xmlns:a16="http://schemas.microsoft.com/office/drawing/2014/main" id="{44F9FC5F-32E7-3D3E-2075-0B97E5D50AD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98" name="Rectangle 637">
            <a:extLst>
              <a:ext uri="{FF2B5EF4-FFF2-40B4-BE49-F238E27FC236}">
                <a16:creationId xmlns:a16="http://schemas.microsoft.com/office/drawing/2014/main" id="{A0EB20F2-F4A7-6E60-8628-F3440AE5D728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999" name="Group 638">
            <a:extLst>
              <a:ext uri="{FF2B5EF4-FFF2-40B4-BE49-F238E27FC236}">
                <a16:creationId xmlns:a16="http://schemas.microsoft.com/office/drawing/2014/main" id="{DEB6F670-292B-760F-741F-6B7E4BC5E0A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4002" name="Rectangle 639">
              <a:extLst>
                <a:ext uri="{FF2B5EF4-FFF2-40B4-BE49-F238E27FC236}">
                  <a16:creationId xmlns:a16="http://schemas.microsoft.com/office/drawing/2014/main" id="{4BD473E7-B978-42C3-2FE7-27953805C4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03" name="Line 640">
              <a:extLst>
                <a:ext uri="{FF2B5EF4-FFF2-40B4-BE49-F238E27FC236}">
                  <a16:creationId xmlns:a16="http://schemas.microsoft.com/office/drawing/2014/main" id="{E0273934-1CB4-A9ED-781C-10195A5DE1F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04" name="Line 641">
              <a:extLst>
                <a:ext uri="{FF2B5EF4-FFF2-40B4-BE49-F238E27FC236}">
                  <a16:creationId xmlns:a16="http://schemas.microsoft.com/office/drawing/2014/main" id="{43693E75-4371-8261-BED7-38A44BB8A04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005" name="Rectangle 642">
              <a:extLst>
                <a:ext uri="{FF2B5EF4-FFF2-40B4-BE49-F238E27FC236}">
                  <a16:creationId xmlns:a16="http://schemas.microsoft.com/office/drawing/2014/main" id="{7F337F66-5EA8-D223-607F-1CAC5A8DFD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06" name="Oval 643">
              <a:extLst>
                <a:ext uri="{FF2B5EF4-FFF2-40B4-BE49-F238E27FC236}">
                  <a16:creationId xmlns:a16="http://schemas.microsoft.com/office/drawing/2014/main" id="{5051F4CF-416C-C88D-9B5D-71A3B730E9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07" name="Oval 644">
              <a:extLst>
                <a:ext uri="{FF2B5EF4-FFF2-40B4-BE49-F238E27FC236}">
                  <a16:creationId xmlns:a16="http://schemas.microsoft.com/office/drawing/2014/main" id="{985DFF5F-6FD2-2328-5EC1-29F7B496F64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4008" name="Rectangle 645">
              <a:extLst>
                <a:ext uri="{FF2B5EF4-FFF2-40B4-BE49-F238E27FC236}">
                  <a16:creationId xmlns:a16="http://schemas.microsoft.com/office/drawing/2014/main" id="{C43B1812-7BDC-D36E-AA18-AEC9290D6B0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09" name="Rectangle 646">
              <a:extLst>
                <a:ext uri="{FF2B5EF4-FFF2-40B4-BE49-F238E27FC236}">
                  <a16:creationId xmlns:a16="http://schemas.microsoft.com/office/drawing/2014/main" id="{1D7EEEF3-85A2-7856-2A74-726E838A94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10" name="Rectangle 647">
              <a:extLst>
                <a:ext uri="{FF2B5EF4-FFF2-40B4-BE49-F238E27FC236}">
                  <a16:creationId xmlns:a16="http://schemas.microsoft.com/office/drawing/2014/main" id="{061AA620-2CD3-2857-94B3-1BD4AEB3AC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4011" name="Rectangle 648">
              <a:extLst>
                <a:ext uri="{FF2B5EF4-FFF2-40B4-BE49-F238E27FC236}">
                  <a16:creationId xmlns:a16="http://schemas.microsoft.com/office/drawing/2014/main" id="{A8621E92-70E7-527E-4433-12E8C01EA3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4000" name="Rectangle 649">
            <a:extLst>
              <a:ext uri="{FF2B5EF4-FFF2-40B4-BE49-F238E27FC236}">
                <a16:creationId xmlns:a16="http://schemas.microsoft.com/office/drawing/2014/main" id="{CDC79A82-2559-7FC2-4D85-74199B14D8B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001" name="Rectangle 650">
            <a:extLst>
              <a:ext uri="{FF2B5EF4-FFF2-40B4-BE49-F238E27FC236}">
                <a16:creationId xmlns:a16="http://schemas.microsoft.com/office/drawing/2014/main" id="{15D28F2D-D87A-A12E-DCD5-9BFFDE673E75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152400</xdr:rowOff>
    </xdr:from>
    <xdr:to>
      <xdr:col>9</xdr:col>
      <xdr:colOff>0</xdr:colOff>
      <xdr:row>3</xdr:row>
      <xdr:rowOff>0</xdr:rowOff>
    </xdr:to>
    <xdr:grpSp>
      <xdr:nvGrpSpPr>
        <xdr:cNvPr id="529092" name="Group 651">
          <a:extLst>
            <a:ext uri="{FF2B5EF4-FFF2-40B4-BE49-F238E27FC236}">
              <a16:creationId xmlns:a16="http://schemas.microsoft.com/office/drawing/2014/main" id="{EC2DB5F0-8ED3-AE67-6889-DACE9F107DE1}"/>
            </a:ext>
          </a:extLst>
        </xdr:cNvPr>
        <xdr:cNvGrpSpPr>
          <a:grpSpLocks/>
        </xdr:cNvGrpSpPr>
      </xdr:nvGrpSpPr>
      <xdr:grpSpPr bwMode="auto">
        <a:xfrm>
          <a:off x="6812280" y="1287780"/>
          <a:ext cx="0" cy="419100"/>
          <a:chOff x="333" y="153"/>
          <a:chExt cx="219" cy="333"/>
        </a:xfrm>
      </xdr:grpSpPr>
      <xdr:sp macro="" textlink="">
        <xdr:nvSpPr>
          <xdr:cNvPr id="533979" name="Rectangle 652">
            <a:extLst>
              <a:ext uri="{FF2B5EF4-FFF2-40B4-BE49-F238E27FC236}">
                <a16:creationId xmlns:a16="http://schemas.microsoft.com/office/drawing/2014/main" id="{CDB549FF-3425-0549-BACC-30AEAFBB2E8F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0" name="Line 653">
            <a:extLst>
              <a:ext uri="{FF2B5EF4-FFF2-40B4-BE49-F238E27FC236}">
                <a16:creationId xmlns:a16="http://schemas.microsoft.com/office/drawing/2014/main" id="{6DA9360F-CAEE-6839-B42B-46261DE48B38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81" name="Line 654">
            <a:extLst>
              <a:ext uri="{FF2B5EF4-FFF2-40B4-BE49-F238E27FC236}">
                <a16:creationId xmlns:a16="http://schemas.microsoft.com/office/drawing/2014/main" id="{E71C95C6-21E4-9820-C364-169D8ACA82CE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82" name="Rectangle 655">
            <a:extLst>
              <a:ext uri="{FF2B5EF4-FFF2-40B4-BE49-F238E27FC236}">
                <a16:creationId xmlns:a16="http://schemas.microsoft.com/office/drawing/2014/main" id="{6D7CDDA2-4ED0-DA99-8BFC-E776A16B55E6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3" name="Oval 656">
            <a:extLst>
              <a:ext uri="{FF2B5EF4-FFF2-40B4-BE49-F238E27FC236}">
                <a16:creationId xmlns:a16="http://schemas.microsoft.com/office/drawing/2014/main" id="{30FFC2A8-012F-6B6E-C6DF-312ED90830F4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84" name="Oval 657">
            <a:extLst>
              <a:ext uri="{FF2B5EF4-FFF2-40B4-BE49-F238E27FC236}">
                <a16:creationId xmlns:a16="http://schemas.microsoft.com/office/drawing/2014/main" id="{4FF52BB8-5C7F-89FC-61D9-5B8D69E4E104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85" name="Rectangle 658">
            <a:extLst>
              <a:ext uri="{FF2B5EF4-FFF2-40B4-BE49-F238E27FC236}">
                <a16:creationId xmlns:a16="http://schemas.microsoft.com/office/drawing/2014/main" id="{521FA9B6-1CD5-5587-821D-F63D4D170978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6" name="Rectangle 659">
            <a:extLst>
              <a:ext uri="{FF2B5EF4-FFF2-40B4-BE49-F238E27FC236}">
                <a16:creationId xmlns:a16="http://schemas.microsoft.com/office/drawing/2014/main" id="{F82AED9D-1A26-AF26-EF94-27AB7B3726AF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7" name="Rectangle 660">
            <a:extLst>
              <a:ext uri="{FF2B5EF4-FFF2-40B4-BE49-F238E27FC236}">
                <a16:creationId xmlns:a16="http://schemas.microsoft.com/office/drawing/2014/main" id="{0BF7EDB2-E76E-D7BF-54BC-66F0AE55FF06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88" name="Rectangle 661">
            <a:extLst>
              <a:ext uri="{FF2B5EF4-FFF2-40B4-BE49-F238E27FC236}">
                <a16:creationId xmlns:a16="http://schemas.microsoft.com/office/drawing/2014/main" id="{A7832EBC-3E6B-5C33-E20A-4CD24E532C56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152400</xdr:rowOff>
    </xdr:from>
    <xdr:to>
      <xdr:col>9</xdr:col>
      <xdr:colOff>0</xdr:colOff>
      <xdr:row>3</xdr:row>
      <xdr:rowOff>0</xdr:rowOff>
    </xdr:to>
    <xdr:grpSp>
      <xdr:nvGrpSpPr>
        <xdr:cNvPr id="529093" name="Group 662">
          <a:extLst>
            <a:ext uri="{FF2B5EF4-FFF2-40B4-BE49-F238E27FC236}">
              <a16:creationId xmlns:a16="http://schemas.microsoft.com/office/drawing/2014/main" id="{4BA806B4-5BB9-0C7F-18BD-4B29AD05D10B}"/>
            </a:ext>
          </a:extLst>
        </xdr:cNvPr>
        <xdr:cNvGrpSpPr>
          <a:grpSpLocks/>
        </xdr:cNvGrpSpPr>
      </xdr:nvGrpSpPr>
      <xdr:grpSpPr bwMode="auto">
        <a:xfrm>
          <a:off x="6812280" y="1287780"/>
          <a:ext cx="0" cy="419100"/>
          <a:chOff x="333" y="153"/>
          <a:chExt cx="219" cy="333"/>
        </a:xfrm>
      </xdr:grpSpPr>
      <xdr:sp macro="" textlink="">
        <xdr:nvSpPr>
          <xdr:cNvPr id="533969" name="Rectangle 663">
            <a:extLst>
              <a:ext uri="{FF2B5EF4-FFF2-40B4-BE49-F238E27FC236}">
                <a16:creationId xmlns:a16="http://schemas.microsoft.com/office/drawing/2014/main" id="{0B5685B2-D9C3-43A3-1B51-7F6A28F6868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0" name="Line 664">
            <a:extLst>
              <a:ext uri="{FF2B5EF4-FFF2-40B4-BE49-F238E27FC236}">
                <a16:creationId xmlns:a16="http://schemas.microsoft.com/office/drawing/2014/main" id="{70BD3225-FF70-6073-0C90-180DCB4F81D2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71" name="Line 665">
            <a:extLst>
              <a:ext uri="{FF2B5EF4-FFF2-40B4-BE49-F238E27FC236}">
                <a16:creationId xmlns:a16="http://schemas.microsoft.com/office/drawing/2014/main" id="{B51CA03D-799E-8EBC-AEAB-33835E130F0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972" name="Rectangle 666">
            <a:extLst>
              <a:ext uri="{FF2B5EF4-FFF2-40B4-BE49-F238E27FC236}">
                <a16:creationId xmlns:a16="http://schemas.microsoft.com/office/drawing/2014/main" id="{6E9AEFA7-1C40-E59D-7499-CE9949C37B48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3" name="Oval 667">
            <a:extLst>
              <a:ext uri="{FF2B5EF4-FFF2-40B4-BE49-F238E27FC236}">
                <a16:creationId xmlns:a16="http://schemas.microsoft.com/office/drawing/2014/main" id="{BB9EA598-70F2-6C17-937A-0FD88C114C51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74" name="Oval 668">
            <a:extLst>
              <a:ext uri="{FF2B5EF4-FFF2-40B4-BE49-F238E27FC236}">
                <a16:creationId xmlns:a16="http://schemas.microsoft.com/office/drawing/2014/main" id="{5DF30ED0-DA71-C432-5FF5-1F57B0016B44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975" name="Rectangle 669">
            <a:extLst>
              <a:ext uri="{FF2B5EF4-FFF2-40B4-BE49-F238E27FC236}">
                <a16:creationId xmlns:a16="http://schemas.microsoft.com/office/drawing/2014/main" id="{333B21A5-B6BF-C224-B12E-89DB18398F55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6" name="Rectangle 670">
            <a:extLst>
              <a:ext uri="{FF2B5EF4-FFF2-40B4-BE49-F238E27FC236}">
                <a16:creationId xmlns:a16="http://schemas.microsoft.com/office/drawing/2014/main" id="{7D31BB3B-24E2-C31B-2A6B-EB9CE2C4AD98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7" name="Rectangle 671">
            <a:extLst>
              <a:ext uri="{FF2B5EF4-FFF2-40B4-BE49-F238E27FC236}">
                <a16:creationId xmlns:a16="http://schemas.microsoft.com/office/drawing/2014/main" id="{697CB7BE-D4E9-08DA-4907-8BFE7D0D764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978" name="Rectangle 672">
            <a:extLst>
              <a:ext uri="{FF2B5EF4-FFF2-40B4-BE49-F238E27FC236}">
                <a16:creationId xmlns:a16="http://schemas.microsoft.com/office/drawing/2014/main" id="{7BEF9CAF-AB58-E27C-7CCE-0B2E464B4736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4" name="Group 673">
          <a:extLst>
            <a:ext uri="{FF2B5EF4-FFF2-40B4-BE49-F238E27FC236}">
              <a16:creationId xmlns:a16="http://schemas.microsoft.com/office/drawing/2014/main" id="{1C71CB91-2969-2C63-FE03-4EBFB795FF39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947" name="Group 674">
            <a:extLst>
              <a:ext uri="{FF2B5EF4-FFF2-40B4-BE49-F238E27FC236}">
                <a16:creationId xmlns:a16="http://schemas.microsoft.com/office/drawing/2014/main" id="{73FBBD40-AA4B-AF1F-8567-985F56C889A6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959" name="Rectangle 675">
              <a:extLst>
                <a:ext uri="{FF2B5EF4-FFF2-40B4-BE49-F238E27FC236}">
                  <a16:creationId xmlns:a16="http://schemas.microsoft.com/office/drawing/2014/main" id="{7BF4F25A-49C0-C055-0802-129905BCC9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0" name="Line 676">
              <a:extLst>
                <a:ext uri="{FF2B5EF4-FFF2-40B4-BE49-F238E27FC236}">
                  <a16:creationId xmlns:a16="http://schemas.microsoft.com/office/drawing/2014/main" id="{3E60E67F-C65D-1ABE-A2A9-16738D5702E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61" name="Line 677">
              <a:extLst>
                <a:ext uri="{FF2B5EF4-FFF2-40B4-BE49-F238E27FC236}">
                  <a16:creationId xmlns:a16="http://schemas.microsoft.com/office/drawing/2014/main" id="{45D5E954-F6AA-0020-FC31-1DD7EB15C03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62" name="Rectangle 678">
              <a:extLst>
                <a:ext uri="{FF2B5EF4-FFF2-40B4-BE49-F238E27FC236}">
                  <a16:creationId xmlns:a16="http://schemas.microsoft.com/office/drawing/2014/main" id="{6D9A6DD1-712E-827F-7DA0-78FC942F3C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3" name="Oval 679">
              <a:extLst>
                <a:ext uri="{FF2B5EF4-FFF2-40B4-BE49-F238E27FC236}">
                  <a16:creationId xmlns:a16="http://schemas.microsoft.com/office/drawing/2014/main" id="{5B4F5BCF-7E4C-5B3D-6198-97FDF79F77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64" name="Oval 680">
              <a:extLst>
                <a:ext uri="{FF2B5EF4-FFF2-40B4-BE49-F238E27FC236}">
                  <a16:creationId xmlns:a16="http://schemas.microsoft.com/office/drawing/2014/main" id="{11581E89-8A25-DDA4-515F-DD421B7EB9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65" name="Rectangle 681">
              <a:extLst>
                <a:ext uri="{FF2B5EF4-FFF2-40B4-BE49-F238E27FC236}">
                  <a16:creationId xmlns:a16="http://schemas.microsoft.com/office/drawing/2014/main" id="{51A39D98-E3CC-45EE-5EDD-08BDE25F3B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6" name="Rectangle 682">
              <a:extLst>
                <a:ext uri="{FF2B5EF4-FFF2-40B4-BE49-F238E27FC236}">
                  <a16:creationId xmlns:a16="http://schemas.microsoft.com/office/drawing/2014/main" id="{F8D67011-F3A9-174B-C41F-98A4D331CCC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7" name="Rectangle 683">
              <a:extLst>
                <a:ext uri="{FF2B5EF4-FFF2-40B4-BE49-F238E27FC236}">
                  <a16:creationId xmlns:a16="http://schemas.microsoft.com/office/drawing/2014/main" id="{2037F634-B6DE-F37E-7E86-D4D04AE04C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68" name="Rectangle 684">
              <a:extLst>
                <a:ext uri="{FF2B5EF4-FFF2-40B4-BE49-F238E27FC236}">
                  <a16:creationId xmlns:a16="http://schemas.microsoft.com/office/drawing/2014/main" id="{ED334E18-7070-763B-EB77-49F6C086A0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948" name="Group 685">
            <a:extLst>
              <a:ext uri="{FF2B5EF4-FFF2-40B4-BE49-F238E27FC236}">
                <a16:creationId xmlns:a16="http://schemas.microsoft.com/office/drawing/2014/main" id="{5A3B4B28-50F0-975C-F999-2B98D595764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949" name="Rectangle 686">
              <a:extLst>
                <a:ext uri="{FF2B5EF4-FFF2-40B4-BE49-F238E27FC236}">
                  <a16:creationId xmlns:a16="http://schemas.microsoft.com/office/drawing/2014/main" id="{E10BF8CE-7EDA-8BD0-1FB6-8BF934DEEA3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0" name="Line 687">
              <a:extLst>
                <a:ext uri="{FF2B5EF4-FFF2-40B4-BE49-F238E27FC236}">
                  <a16:creationId xmlns:a16="http://schemas.microsoft.com/office/drawing/2014/main" id="{D9A68A45-37C7-DB08-51A6-EBA3AA72D33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51" name="Line 688">
              <a:extLst>
                <a:ext uri="{FF2B5EF4-FFF2-40B4-BE49-F238E27FC236}">
                  <a16:creationId xmlns:a16="http://schemas.microsoft.com/office/drawing/2014/main" id="{36F706C1-8FF2-10C9-169C-18619B51FA4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52" name="Rectangle 689">
              <a:extLst>
                <a:ext uri="{FF2B5EF4-FFF2-40B4-BE49-F238E27FC236}">
                  <a16:creationId xmlns:a16="http://schemas.microsoft.com/office/drawing/2014/main" id="{C9ED2A59-AB24-7CB8-20C2-4E003F3B05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3" name="Oval 690">
              <a:extLst>
                <a:ext uri="{FF2B5EF4-FFF2-40B4-BE49-F238E27FC236}">
                  <a16:creationId xmlns:a16="http://schemas.microsoft.com/office/drawing/2014/main" id="{93FCC916-2795-973F-4B04-495420C3E5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54" name="Oval 691">
              <a:extLst>
                <a:ext uri="{FF2B5EF4-FFF2-40B4-BE49-F238E27FC236}">
                  <a16:creationId xmlns:a16="http://schemas.microsoft.com/office/drawing/2014/main" id="{B6C3CB38-33A4-7A65-4DC1-900861789D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55" name="Rectangle 692">
              <a:extLst>
                <a:ext uri="{FF2B5EF4-FFF2-40B4-BE49-F238E27FC236}">
                  <a16:creationId xmlns:a16="http://schemas.microsoft.com/office/drawing/2014/main" id="{876992A7-55F3-F530-2A2F-D65F465F562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6" name="Rectangle 693">
              <a:extLst>
                <a:ext uri="{FF2B5EF4-FFF2-40B4-BE49-F238E27FC236}">
                  <a16:creationId xmlns:a16="http://schemas.microsoft.com/office/drawing/2014/main" id="{844623A0-F26A-00EA-4A34-FB03860C17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7" name="Rectangle 694">
              <a:extLst>
                <a:ext uri="{FF2B5EF4-FFF2-40B4-BE49-F238E27FC236}">
                  <a16:creationId xmlns:a16="http://schemas.microsoft.com/office/drawing/2014/main" id="{9737C9B2-EC4F-01BF-6E7B-50060190DD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58" name="Rectangle 695">
              <a:extLst>
                <a:ext uri="{FF2B5EF4-FFF2-40B4-BE49-F238E27FC236}">
                  <a16:creationId xmlns:a16="http://schemas.microsoft.com/office/drawing/2014/main" id="{AC728A7D-E676-9841-8A84-4670BA6209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5" name="Group 696">
          <a:extLst>
            <a:ext uri="{FF2B5EF4-FFF2-40B4-BE49-F238E27FC236}">
              <a16:creationId xmlns:a16="http://schemas.microsoft.com/office/drawing/2014/main" id="{796A4A95-5F21-EE8E-568F-F39DB69BB84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925" name="Group 697">
            <a:extLst>
              <a:ext uri="{FF2B5EF4-FFF2-40B4-BE49-F238E27FC236}">
                <a16:creationId xmlns:a16="http://schemas.microsoft.com/office/drawing/2014/main" id="{19721964-20E2-4384-9534-F69635AECD50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937" name="Rectangle 698">
              <a:extLst>
                <a:ext uri="{FF2B5EF4-FFF2-40B4-BE49-F238E27FC236}">
                  <a16:creationId xmlns:a16="http://schemas.microsoft.com/office/drawing/2014/main" id="{0D4BF70F-B4F9-A4B1-053B-021660300A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8" name="Line 699">
              <a:extLst>
                <a:ext uri="{FF2B5EF4-FFF2-40B4-BE49-F238E27FC236}">
                  <a16:creationId xmlns:a16="http://schemas.microsoft.com/office/drawing/2014/main" id="{0F450D05-BDBF-B9A7-4776-C33FD83823D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39" name="Line 700">
              <a:extLst>
                <a:ext uri="{FF2B5EF4-FFF2-40B4-BE49-F238E27FC236}">
                  <a16:creationId xmlns:a16="http://schemas.microsoft.com/office/drawing/2014/main" id="{7FF78D9D-55E2-4319-C446-33B2E8A7D72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40" name="Rectangle 701">
              <a:extLst>
                <a:ext uri="{FF2B5EF4-FFF2-40B4-BE49-F238E27FC236}">
                  <a16:creationId xmlns:a16="http://schemas.microsoft.com/office/drawing/2014/main" id="{0D2B8072-A38A-42FB-551B-12ED75B1F9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41" name="Oval 702">
              <a:extLst>
                <a:ext uri="{FF2B5EF4-FFF2-40B4-BE49-F238E27FC236}">
                  <a16:creationId xmlns:a16="http://schemas.microsoft.com/office/drawing/2014/main" id="{EE3AC5A3-4027-E1DD-E4FB-43DBF075592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42" name="Oval 703">
              <a:extLst>
                <a:ext uri="{FF2B5EF4-FFF2-40B4-BE49-F238E27FC236}">
                  <a16:creationId xmlns:a16="http://schemas.microsoft.com/office/drawing/2014/main" id="{84C6BE92-E70C-FD4D-7399-06B36BCA7A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43" name="Rectangle 704">
              <a:extLst>
                <a:ext uri="{FF2B5EF4-FFF2-40B4-BE49-F238E27FC236}">
                  <a16:creationId xmlns:a16="http://schemas.microsoft.com/office/drawing/2014/main" id="{5882354F-6B00-DBA2-3DB0-A1E6D084635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44" name="Rectangle 705">
              <a:extLst>
                <a:ext uri="{FF2B5EF4-FFF2-40B4-BE49-F238E27FC236}">
                  <a16:creationId xmlns:a16="http://schemas.microsoft.com/office/drawing/2014/main" id="{93416F96-8659-AEA0-5E66-78279EB70C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45" name="Rectangle 706">
              <a:extLst>
                <a:ext uri="{FF2B5EF4-FFF2-40B4-BE49-F238E27FC236}">
                  <a16:creationId xmlns:a16="http://schemas.microsoft.com/office/drawing/2014/main" id="{57EEEAEF-3F77-DB46-6090-98357FBCFB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46" name="Rectangle 707">
              <a:extLst>
                <a:ext uri="{FF2B5EF4-FFF2-40B4-BE49-F238E27FC236}">
                  <a16:creationId xmlns:a16="http://schemas.microsoft.com/office/drawing/2014/main" id="{E6455C2D-CF6F-B6CD-DA72-BD6E759B0E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926" name="Group 708">
            <a:extLst>
              <a:ext uri="{FF2B5EF4-FFF2-40B4-BE49-F238E27FC236}">
                <a16:creationId xmlns:a16="http://schemas.microsoft.com/office/drawing/2014/main" id="{074DC803-C107-7C7E-73D4-DD1F7A91C6B1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927" name="Rectangle 709">
              <a:extLst>
                <a:ext uri="{FF2B5EF4-FFF2-40B4-BE49-F238E27FC236}">
                  <a16:creationId xmlns:a16="http://schemas.microsoft.com/office/drawing/2014/main" id="{9A2D03AC-7048-4B6B-1197-FA291B87DAA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28" name="Line 710">
              <a:extLst>
                <a:ext uri="{FF2B5EF4-FFF2-40B4-BE49-F238E27FC236}">
                  <a16:creationId xmlns:a16="http://schemas.microsoft.com/office/drawing/2014/main" id="{881F92CA-717E-8582-D7A5-507FB634B3C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29" name="Line 711">
              <a:extLst>
                <a:ext uri="{FF2B5EF4-FFF2-40B4-BE49-F238E27FC236}">
                  <a16:creationId xmlns:a16="http://schemas.microsoft.com/office/drawing/2014/main" id="{DFE8B466-BE44-7E4D-6BAE-DAB2E4A02D0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30" name="Rectangle 712">
              <a:extLst>
                <a:ext uri="{FF2B5EF4-FFF2-40B4-BE49-F238E27FC236}">
                  <a16:creationId xmlns:a16="http://schemas.microsoft.com/office/drawing/2014/main" id="{35D8D8C1-7AD6-0749-5447-5C35AE5868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1" name="Oval 713">
              <a:extLst>
                <a:ext uri="{FF2B5EF4-FFF2-40B4-BE49-F238E27FC236}">
                  <a16:creationId xmlns:a16="http://schemas.microsoft.com/office/drawing/2014/main" id="{23DA970C-BE92-0FB6-E4E8-F78A5530F32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32" name="Oval 714">
              <a:extLst>
                <a:ext uri="{FF2B5EF4-FFF2-40B4-BE49-F238E27FC236}">
                  <a16:creationId xmlns:a16="http://schemas.microsoft.com/office/drawing/2014/main" id="{C34C35F5-CC95-BFFE-9348-B489096A12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33" name="Rectangle 715">
              <a:extLst>
                <a:ext uri="{FF2B5EF4-FFF2-40B4-BE49-F238E27FC236}">
                  <a16:creationId xmlns:a16="http://schemas.microsoft.com/office/drawing/2014/main" id="{BE80920E-7313-C5F2-4044-2FF4F57303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4" name="Rectangle 716">
              <a:extLst>
                <a:ext uri="{FF2B5EF4-FFF2-40B4-BE49-F238E27FC236}">
                  <a16:creationId xmlns:a16="http://schemas.microsoft.com/office/drawing/2014/main" id="{D3038F59-1E17-9191-1E83-493A6FB912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5" name="Rectangle 717">
              <a:extLst>
                <a:ext uri="{FF2B5EF4-FFF2-40B4-BE49-F238E27FC236}">
                  <a16:creationId xmlns:a16="http://schemas.microsoft.com/office/drawing/2014/main" id="{74C770B7-51B6-9FD7-A562-76EBC14FFBE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36" name="Rectangle 718">
              <a:extLst>
                <a:ext uri="{FF2B5EF4-FFF2-40B4-BE49-F238E27FC236}">
                  <a16:creationId xmlns:a16="http://schemas.microsoft.com/office/drawing/2014/main" id="{E93CBA95-CE90-A669-1983-55DD573736A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6" name="Group 719">
          <a:extLst>
            <a:ext uri="{FF2B5EF4-FFF2-40B4-BE49-F238E27FC236}">
              <a16:creationId xmlns:a16="http://schemas.microsoft.com/office/drawing/2014/main" id="{EDF8E75E-6BE3-C2D0-C494-B291820697D8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903" name="Group 720">
            <a:extLst>
              <a:ext uri="{FF2B5EF4-FFF2-40B4-BE49-F238E27FC236}">
                <a16:creationId xmlns:a16="http://schemas.microsoft.com/office/drawing/2014/main" id="{5BCE8A31-C6BF-4D00-F5F3-1610F624B887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915" name="Rectangle 721">
              <a:extLst>
                <a:ext uri="{FF2B5EF4-FFF2-40B4-BE49-F238E27FC236}">
                  <a16:creationId xmlns:a16="http://schemas.microsoft.com/office/drawing/2014/main" id="{D3FA1519-7586-973A-2F0A-CCA4FDE88A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6" name="Line 722">
              <a:extLst>
                <a:ext uri="{FF2B5EF4-FFF2-40B4-BE49-F238E27FC236}">
                  <a16:creationId xmlns:a16="http://schemas.microsoft.com/office/drawing/2014/main" id="{74997887-3B55-67CC-1731-7E140A286B6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17" name="Line 723">
              <a:extLst>
                <a:ext uri="{FF2B5EF4-FFF2-40B4-BE49-F238E27FC236}">
                  <a16:creationId xmlns:a16="http://schemas.microsoft.com/office/drawing/2014/main" id="{3DAAD5AB-5EE1-4298-C34D-BFFB5FDD2A8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18" name="Rectangle 724">
              <a:extLst>
                <a:ext uri="{FF2B5EF4-FFF2-40B4-BE49-F238E27FC236}">
                  <a16:creationId xmlns:a16="http://schemas.microsoft.com/office/drawing/2014/main" id="{C11587A1-AA6C-43A9-4BF9-90C3AC201D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9" name="Oval 725">
              <a:extLst>
                <a:ext uri="{FF2B5EF4-FFF2-40B4-BE49-F238E27FC236}">
                  <a16:creationId xmlns:a16="http://schemas.microsoft.com/office/drawing/2014/main" id="{D3FDABF3-1880-93DF-D421-D288019BAD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20" name="Oval 726">
              <a:extLst>
                <a:ext uri="{FF2B5EF4-FFF2-40B4-BE49-F238E27FC236}">
                  <a16:creationId xmlns:a16="http://schemas.microsoft.com/office/drawing/2014/main" id="{B7725164-6647-69FE-60F7-549E790B5D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21" name="Rectangle 727">
              <a:extLst>
                <a:ext uri="{FF2B5EF4-FFF2-40B4-BE49-F238E27FC236}">
                  <a16:creationId xmlns:a16="http://schemas.microsoft.com/office/drawing/2014/main" id="{5B8CAE2B-AD32-9BB6-8D09-7DD3157358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22" name="Rectangle 728">
              <a:extLst>
                <a:ext uri="{FF2B5EF4-FFF2-40B4-BE49-F238E27FC236}">
                  <a16:creationId xmlns:a16="http://schemas.microsoft.com/office/drawing/2014/main" id="{AFFB7FFA-E119-D74B-C77B-68C0377242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23" name="Rectangle 729">
              <a:extLst>
                <a:ext uri="{FF2B5EF4-FFF2-40B4-BE49-F238E27FC236}">
                  <a16:creationId xmlns:a16="http://schemas.microsoft.com/office/drawing/2014/main" id="{A30E6DCD-0DAD-0BA7-5AF8-4E647CC7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24" name="Rectangle 730">
              <a:extLst>
                <a:ext uri="{FF2B5EF4-FFF2-40B4-BE49-F238E27FC236}">
                  <a16:creationId xmlns:a16="http://schemas.microsoft.com/office/drawing/2014/main" id="{ACE6671A-599D-90F5-411A-FA6E85A4ED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904" name="Group 731">
            <a:extLst>
              <a:ext uri="{FF2B5EF4-FFF2-40B4-BE49-F238E27FC236}">
                <a16:creationId xmlns:a16="http://schemas.microsoft.com/office/drawing/2014/main" id="{F5F570AA-A5A7-6DB8-E9CD-CC7F18DC3E5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905" name="Rectangle 732">
              <a:extLst>
                <a:ext uri="{FF2B5EF4-FFF2-40B4-BE49-F238E27FC236}">
                  <a16:creationId xmlns:a16="http://schemas.microsoft.com/office/drawing/2014/main" id="{83EE3633-F3A1-43AA-FC85-EA8E3D4567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6" name="Line 733">
              <a:extLst>
                <a:ext uri="{FF2B5EF4-FFF2-40B4-BE49-F238E27FC236}">
                  <a16:creationId xmlns:a16="http://schemas.microsoft.com/office/drawing/2014/main" id="{4F1C5477-CF6E-0AE3-112A-70E12FEC1A9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07" name="Line 734">
              <a:extLst>
                <a:ext uri="{FF2B5EF4-FFF2-40B4-BE49-F238E27FC236}">
                  <a16:creationId xmlns:a16="http://schemas.microsoft.com/office/drawing/2014/main" id="{05309AD6-43C3-2AA8-0FA6-BC1928B8A9C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908" name="Rectangle 735">
              <a:extLst>
                <a:ext uri="{FF2B5EF4-FFF2-40B4-BE49-F238E27FC236}">
                  <a16:creationId xmlns:a16="http://schemas.microsoft.com/office/drawing/2014/main" id="{15B69541-3D03-B625-AA36-9C6D63BF89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9" name="Oval 736">
              <a:extLst>
                <a:ext uri="{FF2B5EF4-FFF2-40B4-BE49-F238E27FC236}">
                  <a16:creationId xmlns:a16="http://schemas.microsoft.com/office/drawing/2014/main" id="{B6D2D9FD-CBB8-EE70-65DE-4674CA703D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10" name="Oval 737">
              <a:extLst>
                <a:ext uri="{FF2B5EF4-FFF2-40B4-BE49-F238E27FC236}">
                  <a16:creationId xmlns:a16="http://schemas.microsoft.com/office/drawing/2014/main" id="{A7BBA734-AA00-ABAB-1A07-4F8605D7D2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911" name="Rectangle 738">
              <a:extLst>
                <a:ext uri="{FF2B5EF4-FFF2-40B4-BE49-F238E27FC236}">
                  <a16:creationId xmlns:a16="http://schemas.microsoft.com/office/drawing/2014/main" id="{D452028C-C43F-B64B-928D-3E8083789B1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2" name="Rectangle 739">
              <a:extLst>
                <a:ext uri="{FF2B5EF4-FFF2-40B4-BE49-F238E27FC236}">
                  <a16:creationId xmlns:a16="http://schemas.microsoft.com/office/drawing/2014/main" id="{EC897F87-6D4E-70EA-8A89-7D6E5F810B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3" name="Rectangle 740">
              <a:extLst>
                <a:ext uri="{FF2B5EF4-FFF2-40B4-BE49-F238E27FC236}">
                  <a16:creationId xmlns:a16="http://schemas.microsoft.com/office/drawing/2014/main" id="{903B5E26-0193-DE54-F75A-59173C5783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14" name="Rectangle 741">
              <a:extLst>
                <a:ext uri="{FF2B5EF4-FFF2-40B4-BE49-F238E27FC236}">
                  <a16:creationId xmlns:a16="http://schemas.microsoft.com/office/drawing/2014/main" id="{77E027EB-22AF-6138-A261-1712AF33F8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7" name="Group 742">
          <a:extLst>
            <a:ext uri="{FF2B5EF4-FFF2-40B4-BE49-F238E27FC236}">
              <a16:creationId xmlns:a16="http://schemas.microsoft.com/office/drawing/2014/main" id="{9C1F4C4D-AAFB-F9ED-2007-934130A8EF38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881" name="Group 743">
            <a:extLst>
              <a:ext uri="{FF2B5EF4-FFF2-40B4-BE49-F238E27FC236}">
                <a16:creationId xmlns:a16="http://schemas.microsoft.com/office/drawing/2014/main" id="{4AA56902-09F5-EC1A-8B23-55E0A6687647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893" name="Rectangle 744">
              <a:extLst>
                <a:ext uri="{FF2B5EF4-FFF2-40B4-BE49-F238E27FC236}">
                  <a16:creationId xmlns:a16="http://schemas.microsoft.com/office/drawing/2014/main" id="{9EC37E1E-55C4-C10C-4B12-519DF74DA20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4" name="Line 745">
              <a:extLst>
                <a:ext uri="{FF2B5EF4-FFF2-40B4-BE49-F238E27FC236}">
                  <a16:creationId xmlns:a16="http://schemas.microsoft.com/office/drawing/2014/main" id="{C49D3B4F-782C-582B-0D06-406E14EBE6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95" name="Line 746">
              <a:extLst>
                <a:ext uri="{FF2B5EF4-FFF2-40B4-BE49-F238E27FC236}">
                  <a16:creationId xmlns:a16="http://schemas.microsoft.com/office/drawing/2014/main" id="{A9D57C7A-55E1-9ACA-7A5E-F9A3BE91A526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96" name="Rectangle 747">
              <a:extLst>
                <a:ext uri="{FF2B5EF4-FFF2-40B4-BE49-F238E27FC236}">
                  <a16:creationId xmlns:a16="http://schemas.microsoft.com/office/drawing/2014/main" id="{89A7DFFA-C4ED-A828-3264-1E46D30ABE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7" name="Oval 748">
              <a:extLst>
                <a:ext uri="{FF2B5EF4-FFF2-40B4-BE49-F238E27FC236}">
                  <a16:creationId xmlns:a16="http://schemas.microsoft.com/office/drawing/2014/main" id="{ACE2D2C7-ABA8-28F5-622C-B8B1FBAFE7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98" name="Oval 749">
              <a:extLst>
                <a:ext uri="{FF2B5EF4-FFF2-40B4-BE49-F238E27FC236}">
                  <a16:creationId xmlns:a16="http://schemas.microsoft.com/office/drawing/2014/main" id="{CEF6C14B-588D-A37A-DC75-2D5E8335AC6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99" name="Rectangle 750">
              <a:extLst>
                <a:ext uri="{FF2B5EF4-FFF2-40B4-BE49-F238E27FC236}">
                  <a16:creationId xmlns:a16="http://schemas.microsoft.com/office/drawing/2014/main" id="{73D3785E-1AD7-62C9-B1A7-A4C7D53636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0" name="Rectangle 751">
              <a:extLst>
                <a:ext uri="{FF2B5EF4-FFF2-40B4-BE49-F238E27FC236}">
                  <a16:creationId xmlns:a16="http://schemas.microsoft.com/office/drawing/2014/main" id="{37568505-F5D4-4701-A49A-1DECDBA804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1" name="Rectangle 752">
              <a:extLst>
                <a:ext uri="{FF2B5EF4-FFF2-40B4-BE49-F238E27FC236}">
                  <a16:creationId xmlns:a16="http://schemas.microsoft.com/office/drawing/2014/main" id="{D59D87CE-B666-0C82-BE10-A33ED091137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902" name="Rectangle 753">
              <a:extLst>
                <a:ext uri="{FF2B5EF4-FFF2-40B4-BE49-F238E27FC236}">
                  <a16:creationId xmlns:a16="http://schemas.microsoft.com/office/drawing/2014/main" id="{F7214338-BEFF-A23C-5D75-DA78EEDD1A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882" name="Group 754">
            <a:extLst>
              <a:ext uri="{FF2B5EF4-FFF2-40B4-BE49-F238E27FC236}">
                <a16:creationId xmlns:a16="http://schemas.microsoft.com/office/drawing/2014/main" id="{110294FD-958F-83C5-0259-25EA8069EE1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883" name="Rectangle 755">
              <a:extLst>
                <a:ext uri="{FF2B5EF4-FFF2-40B4-BE49-F238E27FC236}">
                  <a16:creationId xmlns:a16="http://schemas.microsoft.com/office/drawing/2014/main" id="{11636061-41C1-753F-CD8D-BE71745FA5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84" name="Line 756">
              <a:extLst>
                <a:ext uri="{FF2B5EF4-FFF2-40B4-BE49-F238E27FC236}">
                  <a16:creationId xmlns:a16="http://schemas.microsoft.com/office/drawing/2014/main" id="{418F6542-DE31-E892-67E9-1A61E971487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85" name="Line 757">
              <a:extLst>
                <a:ext uri="{FF2B5EF4-FFF2-40B4-BE49-F238E27FC236}">
                  <a16:creationId xmlns:a16="http://schemas.microsoft.com/office/drawing/2014/main" id="{553A2743-A0E1-1547-9668-70B2C23E210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86" name="Rectangle 758">
              <a:extLst>
                <a:ext uri="{FF2B5EF4-FFF2-40B4-BE49-F238E27FC236}">
                  <a16:creationId xmlns:a16="http://schemas.microsoft.com/office/drawing/2014/main" id="{6B4CB614-D112-EA9F-7AA8-ECF41A8FFA4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87" name="Oval 759">
              <a:extLst>
                <a:ext uri="{FF2B5EF4-FFF2-40B4-BE49-F238E27FC236}">
                  <a16:creationId xmlns:a16="http://schemas.microsoft.com/office/drawing/2014/main" id="{43DF508B-4F14-DD98-A653-5F97202AB8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88" name="Oval 760">
              <a:extLst>
                <a:ext uri="{FF2B5EF4-FFF2-40B4-BE49-F238E27FC236}">
                  <a16:creationId xmlns:a16="http://schemas.microsoft.com/office/drawing/2014/main" id="{4FF2D004-165C-B15A-9D2E-E359C6B12B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89" name="Rectangle 761">
              <a:extLst>
                <a:ext uri="{FF2B5EF4-FFF2-40B4-BE49-F238E27FC236}">
                  <a16:creationId xmlns:a16="http://schemas.microsoft.com/office/drawing/2014/main" id="{3D5C6DE3-5723-348A-A254-D3E8B98004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0" name="Rectangle 762">
              <a:extLst>
                <a:ext uri="{FF2B5EF4-FFF2-40B4-BE49-F238E27FC236}">
                  <a16:creationId xmlns:a16="http://schemas.microsoft.com/office/drawing/2014/main" id="{1E38CFA4-C628-AEDC-8E2A-2A19C10F17F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1" name="Rectangle 763">
              <a:extLst>
                <a:ext uri="{FF2B5EF4-FFF2-40B4-BE49-F238E27FC236}">
                  <a16:creationId xmlns:a16="http://schemas.microsoft.com/office/drawing/2014/main" id="{895D49F7-2B9B-C8FA-7F05-F471B6715CB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92" name="Rectangle 764">
              <a:extLst>
                <a:ext uri="{FF2B5EF4-FFF2-40B4-BE49-F238E27FC236}">
                  <a16:creationId xmlns:a16="http://schemas.microsoft.com/office/drawing/2014/main" id="{0C0669FE-AA8A-16BE-13DC-876DA738A7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8" name="Group 765">
          <a:extLst>
            <a:ext uri="{FF2B5EF4-FFF2-40B4-BE49-F238E27FC236}">
              <a16:creationId xmlns:a16="http://schemas.microsoft.com/office/drawing/2014/main" id="{C2F13CBE-E9E3-DABA-C483-FA82AA188211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859" name="Group 766">
            <a:extLst>
              <a:ext uri="{FF2B5EF4-FFF2-40B4-BE49-F238E27FC236}">
                <a16:creationId xmlns:a16="http://schemas.microsoft.com/office/drawing/2014/main" id="{56CEC293-A4EA-9DB2-15B9-5C27451989C5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871" name="Rectangle 767">
              <a:extLst>
                <a:ext uri="{FF2B5EF4-FFF2-40B4-BE49-F238E27FC236}">
                  <a16:creationId xmlns:a16="http://schemas.microsoft.com/office/drawing/2014/main" id="{B4465E3E-3172-5846-330F-06BBF0795E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2" name="Line 768">
              <a:extLst>
                <a:ext uri="{FF2B5EF4-FFF2-40B4-BE49-F238E27FC236}">
                  <a16:creationId xmlns:a16="http://schemas.microsoft.com/office/drawing/2014/main" id="{D12A85F8-DD8A-5FA0-FEC8-AF73582D093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73" name="Line 769">
              <a:extLst>
                <a:ext uri="{FF2B5EF4-FFF2-40B4-BE49-F238E27FC236}">
                  <a16:creationId xmlns:a16="http://schemas.microsoft.com/office/drawing/2014/main" id="{968C5925-57A6-C0DA-F319-FFB45B3F5F2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74" name="Rectangle 770">
              <a:extLst>
                <a:ext uri="{FF2B5EF4-FFF2-40B4-BE49-F238E27FC236}">
                  <a16:creationId xmlns:a16="http://schemas.microsoft.com/office/drawing/2014/main" id="{3B3C0E56-A3FE-45AF-D8AD-00908D1923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5" name="Oval 771">
              <a:extLst>
                <a:ext uri="{FF2B5EF4-FFF2-40B4-BE49-F238E27FC236}">
                  <a16:creationId xmlns:a16="http://schemas.microsoft.com/office/drawing/2014/main" id="{33BAC1B0-7351-3F37-23C2-31EB2FBF7D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76" name="Oval 772">
              <a:extLst>
                <a:ext uri="{FF2B5EF4-FFF2-40B4-BE49-F238E27FC236}">
                  <a16:creationId xmlns:a16="http://schemas.microsoft.com/office/drawing/2014/main" id="{2036F2FA-220D-A625-54F5-3CA4115CFB0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77" name="Rectangle 773">
              <a:extLst>
                <a:ext uri="{FF2B5EF4-FFF2-40B4-BE49-F238E27FC236}">
                  <a16:creationId xmlns:a16="http://schemas.microsoft.com/office/drawing/2014/main" id="{F8C8D2DD-B648-0B4D-0EF2-2955DB6C9B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8" name="Rectangle 774">
              <a:extLst>
                <a:ext uri="{FF2B5EF4-FFF2-40B4-BE49-F238E27FC236}">
                  <a16:creationId xmlns:a16="http://schemas.microsoft.com/office/drawing/2014/main" id="{00D8413C-AE14-F324-369C-463EBC88CB7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9" name="Rectangle 775">
              <a:extLst>
                <a:ext uri="{FF2B5EF4-FFF2-40B4-BE49-F238E27FC236}">
                  <a16:creationId xmlns:a16="http://schemas.microsoft.com/office/drawing/2014/main" id="{DDDBC2A3-BD28-8624-D2FB-AE2EB42FED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80" name="Rectangle 776">
              <a:extLst>
                <a:ext uri="{FF2B5EF4-FFF2-40B4-BE49-F238E27FC236}">
                  <a16:creationId xmlns:a16="http://schemas.microsoft.com/office/drawing/2014/main" id="{1F3C95DC-EE2D-BF51-04DA-D517367A6A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860" name="Group 777">
            <a:extLst>
              <a:ext uri="{FF2B5EF4-FFF2-40B4-BE49-F238E27FC236}">
                <a16:creationId xmlns:a16="http://schemas.microsoft.com/office/drawing/2014/main" id="{8C8260E4-083C-8549-6711-77A95F99E896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861" name="Rectangle 778">
              <a:extLst>
                <a:ext uri="{FF2B5EF4-FFF2-40B4-BE49-F238E27FC236}">
                  <a16:creationId xmlns:a16="http://schemas.microsoft.com/office/drawing/2014/main" id="{FF310CD0-C583-5E4C-BE45-01B9559CF6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62" name="Line 779">
              <a:extLst>
                <a:ext uri="{FF2B5EF4-FFF2-40B4-BE49-F238E27FC236}">
                  <a16:creationId xmlns:a16="http://schemas.microsoft.com/office/drawing/2014/main" id="{B754CB55-2C74-96CA-D902-E5F1DDE50E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63" name="Line 780">
              <a:extLst>
                <a:ext uri="{FF2B5EF4-FFF2-40B4-BE49-F238E27FC236}">
                  <a16:creationId xmlns:a16="http://schemas.microsoft.com/office/drawing/2014/main" id="{3366A2AD-5E58-DC63-A1FA-1A5185BBE7C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64" name="Rectangle 781">
              <a:extLst>
                <a:ext uri="{FF2B5EF4-FFF2-40B4-BE49-F238E27FC236}">
                  <a16:creationId xmlns:a16="http://schemas.microsoft.com/office/drawing/2014/main" id="{C280DC8E-97DF-19E5-42DF-ED598D1F37C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65" name="Oval 782">
              <a:extLst>
                <a:ext uri="{FF2B5EF4-FFF2-40B4-BE49-F238E27FC236}">
                  <a16:creationId xmlns:a16="http://schemas.microsoft.com/office/drawing/2014/main" id="{D0F95181-4A1F-846E-AA84-D1DBE9C32E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66" name="Oval 783">
              <a:extLst>
                <a:ext uri="{FF2B5EF4-FFF2-40B4-BE49-F238E27FC236}">
                  <a16:creationId xmlns:a16="http://schemas.microsoft.com/office/drawing/2014/main" id="{9251C14A-2F5F-59F9-4195-B92747AD88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67" name="Rectangle 784">
              <a:extLst>
                <a:ext uri="{FF2B5EF4-FFF2-40B4-BE49-F238E27FC236}">
                  <a16:creationId xmlns:a16="http://schemas.microsoft.com/office/drawing/2014/main" id="{AE82E097-8DB7-920B-C51F-9BD1097F5F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68" name="Rectangle 785">
              <a:extLst>
                <a:ext uri="{FF2B5EF4-FFF2-40B4-BE49-F238E27FC236}">
                  <a16:creationId xmlns:a16="http://schemas.microsoft.com/office/drawing/2014/main" id="{4DCCF7A1-02F1-AA2A-68AD-C67ECE318BD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69" name="Rectangle 786">
              <a:extLst>
                <a:ext uri="{FF2B5EF4-FFF2-40B4-BE49-F238E27FC236}">
                  <a16:creationId xmlns:a16="http://schemas.microsoft.com/office/drawing/2014/main" id="{E523888E-7517-6790-1CC6-E12F1AFCFA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70" name="Rectangle 787">
              <a:extLst>
                <a:ext uri="{FF2B5EF4-FFF2-40B4-BE49-F238E27FC236}">
                  <a16:creationId xmlns:a16="http://schemas.microsoft.com/office/drawing/2014/main" id="{F0643B6A-241B-4881-8FF6-95B591BF8B4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099" name="Group 788">
          <a:extLst>
            <a:ext uri="{FF2B5EF4-FFF2-40B4-BE49-F238E27FC236}">
              <a16:creationId xmlns:a16="http://schemas.microsoft.com/office/drawing/2014/main" id="{7E8D6538-35EF-E711-EE93-75553789580D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837" name="Group 789">
            <a:extLst>
              <a:ext uri="{FF2B5EF4-FFF2-40B4-BE49-F238E27FC236}">
                <a16:creationId xmlns:a16="http://schemas.microsoft.com/office/drawing/2014/main" id="{E60FF22F-90F9-73F5-082E-F29E262BB66B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849" name="Rectangle 790">
              <a:extLst>
                <a:ext uri="{FF2B5EF4-FFF2-40B4-BE49-F238E27FC236}">
                  <a16:creationId xmlns:a16="http://schemas.microsoft.com/office/drawing/2014/main" id="{A0945287-CAF3-DA85-8AF2-EC06F762935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0" name="Line 791">
              <a:extLst>
                <a:ext uri="{FF2B5EF4-FFF2-40B4-BE49-F238E27FC236}">
                  <a16:creationId xmlns:a16="http://schemas.microsoft.com/office/drawing/2014/main" id="{BA4285CC-E652-C6A5-299E-0F59EAFA4AC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51" name="Line 792">
              <a:extLst>
                <a:ext uri="{FF2B5EF4-FFF2-40B4-BE49-F238E27FC236}">
                  <a16:creationId xmlns:a16="http://schemas.microsoft.com/office/drawing/2014/main" id="{CE8112FA-24AD-A7C9-619A-491D0FBE1C4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52" name="Rectangle 793">
              <a:extLst>
                <a:ext uri="{FF2B5EF4-FFF2-40B4-BE49-F238E27FC236}">
                  <a16:creationId xmlns:a16="http://schemas.microsoft.com/office/drawing/2014/main" id="{4FB5BB87-B373-3104-8868-9A14B01020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3" name="Oval 794">
              <a:extLst>
                <a:ext uri="{FF2B5EF4-FFF2-40B4-BE49-F238E27FC236}">
                  <a16:creationId xmlns:a16="http://schemas.microsoft.com/office/drawing/2014/main" id="{5DFBFCAC-8683-472B-53CD-4FC33A7990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54" name="Oval 795">
              <a:extLst>
                <a:ext uri="{FF2B5EF4-FFF2-40B4-BE49-F238E27FC236}">
                  <a16:creationId xmlns:a16="http://schemas.microsoft.com/office/drawing/2014/main" id="{04076D98-5ACD-A3DE-B23D-C8164B521E5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55" name="Rectangle 796">
              <a:extLst>
                <a:ext uri="{FF2B5EF4-FFF2-40B4-BE49-F238E27FC236}">
                  <a16:creationId xmlns:a16="http://schemas.microsoft.com/office/drawing/2014/main" id="{8CB4D241-D4B3-60C5-C2C0-44F4F4433B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6" name="Rectangle 797">
              <a:extLst>
                <a:ext uri="{FF2B5EF4-FFF2-40B4-BE49-F238E27FC236}">
                  <a16:creationId xmlns:a16="http://schemas.microsoft.com/office/drawing/2014/main" id="{521428A6-97F4-BCD1-9245-B319E2C2F1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7" name="Rectangle 798">
              <a:extLst>
                <a:ext uri="{FF2B5EF4-FFF2-40B4-BE49-F238E27FC236}">
                  <a16:creationId xmlns:a16="http://schemas.microsoft.com/office/drawing/2014/main" id="{414562DF-046A-E130-26D9-2F694FD3B12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58" name="Rectangle 799">
              <a:extLst>
                <a:ext uri="{FF2B5EF4-FFF2-40B4-BE49-F238E27FC236}">
                  <a16:creationId xmlns:a16="http://schemas.microsoft.com/office/drawing/2014/main" id="{93780C25-0052-9C6F-4132-28759910CF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838" name="Group 800">
            <a:extLst>
              <a:ext uri="{FF2B5EF4-FFF2-40B4-BE49-F238E27FC236}">
                <a16:creationId xmlns:a16="http://schemas.microsoft.com/office/drawing/2014/main" id="{2D555931-9E7C-052B-1CA0-AE9F07D42659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839" name="Rectangle 801">
              <a:extLst>
                <a:ext uri="{FF2B5EF4-FFF2-40B4-BE49-F238E27FC236}">
                  <a16:creationId xmlns:a16="http://schemas.microsoft.com/office/drawing/2014/main" id="{933B53D1-73C4-9580-79F5-B1C49CCEC6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0" name="Line 802">
              <a:extLst>
                <a:ext uri="{FF2B5EF4-FFF2-40B4-BE49-F238E27FC236}">
                  <a16:creationId xmlns:a16="http://schemas.microsoft.com/office/drawing/2014/main" id="{77798616-8E35-A030-ABFD-F3290522713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41" name="Line 803">
              <a:extLst>
                <a:ext uri="{FF2B5EF4-FFF2-40B4-BE49-F238E27FC236}">
                  <a16:creationId xmlns:a16="http://schemas.microsoft.com/office/drawing/2014/main" id="{CD0D4306-16BF-2A04-7FA9-1D508DA20C7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42" name="Rectangle 804">
              <a:extLst>
                <a:ext uri="{FF2B5EF4-FFF2-40B4-BE49-F238E27FC236}">
                  <a16:creationId xmlns:a16="http://schemas.microsoft.com/office/drawing/2014/main" id="{44867E29-E2B3-C24E-35EF-1C82E4A072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3" name="Oval 805">
              <a:extLst>
                <a:ext uri="{FF2B5EF4-FFF2-40B4-BE49-F238E27FC236}">
                  <a16:creationId xmlns:a16="http://schemas.microsoft.com/office/drawing/2014/main" id="{EC279F1A-6D31-8BF2-1E6A-ABA6F753226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44" name="Oval 806">
              <a:extLst>
                <a:ext uri="{FF2B5EF4-FFF2-40B4-BE49-F238E27FC236}">
                  <a16:creationId xmlns:a16="http://schemas.microsoft.com/office/drawing/2014/main" id="{001F200D-540C-EA4C-E900-411CF9A73D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45" name="Rectangle 807">
              <a:extLst>
                <a:ext uri="{FF2B5EF4-FFF2-40B4-BE49-F238E27FC236}">
                  <a16:creationId xmlns:a16="http://schemas.microsoft.com/office/drawing/2014/main" id="{93F1D766-EBB9-A0EA-0063-6F2FE2D4E1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6" name="Rectangle 808">
              <a:extLst>
                <a:ext uri="{FF2B5EF4-FFF2-40B4-BE49-F238E27FC236}">
                  <a16:creationId xmlns:a16="http://schemas.microsoft.com/office/drawing/2014/main" id="{28AC7B03-0F5E-30D4-2685-B5E595FD36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7" name="Rectangle 809">
              <a:extLst>
                <a:ext uri="{FF2B5EF4-FFF2-40B4-BE49-F238E27FC236}">
                  <a16:creationId xmlns:a16="http://schemas.microsoft.com/office/drawing/2014/main" id="{F3E541A0-EE00-B386-F70E-F85565B83F3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48" name="Rectangle 810">
              <a:extLst>
                <a:ext uri="{FF2B5EF4-FFF2-40B4-BE49-F238E27FC236}">
                  <a16:creationId xmlns:a16="http://schemas.microsoft.com/office/drawing/2014/main" id="{306F6C6E-BB41-D8ED-995D-1AAB774046E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00" name="Group 811">
          <a:extLst>
            <a:ext uri="{FF2B5EF4-FFF2-40B4-BE49-F238E27FC236}">
              <a16:creationId xmlns:a16="http://schemas.microsoft.com/office/drawing/2014/main" id="{88215C85-9053-DF6F-7CE4-D6C23568C4BE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815" name="Group 812">
            <a:extLst>
              <a:ext uri="{FF2B5EF4-FFF2-40B4-BE49-F238E27FC236}">
                <a16:creationId xmlns:a16="http://schemas.microsoft.com/office/drawing/2014/main" id="{E2D7546B-5A77-6C69-C5B2-2D3C51639766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827" name="Rectangle 813">
              <a:extLst>
                <a:ext uri="{FF2B5EF4-FFF2-40B4-BE49-F238E27FC236}">
                  <a16:creationId xmlns:a16="http://schemas.microsoft.com/office/drawing/2014/main" id="{1A8F3BFB-5C72-9973-3AE1-40F991ABB5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8" name="Line 814">
              <a:extLst>
                <a:ext uri="{FF2B5EF4-FFF2-40B4-BE49-F238E27FC236}">
                  <a16:creationId xmlns:a16="http://schemas.microsoft.com/office/drawing/2014/main" id="{FBBAEB8D-305E-9683-5D49-DC9E68968B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29" name="Line 815">
              <a:extLst>
                <a:ext uri="{FF2B5EF4-FFF2-40B4-BE49-F238E27FC236}">
                  <a16:creationId xmlns:a16="http://schemas.microsoft.com/office/drawing/2014/main" id="{DA011D52-E44C-C9ED-9B33-79B4ED53C66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30" name="Rectangle 816">
              <a:extLst>
                <a:ext uri="{FF2B5EF4-FFF2-40B4-BE49-F238E27FC236}">
                  <a16:creationId xmlns:a16="http://schemas.microsoft.com/office/drawing/2014/main" id="{4A9D5C9E-3DE6-874E-4A60-C079338099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31" name="Oval 817">
              <a:extLst>
                <a:ext uri="{FF2B5EF4-FFF2-40B4-BE49-F238E27FC236}">
                  <a16:creationId xmlns:a16="http://schemas.microsoft.com/office/drawing/2014/main" id="{0E3A2A3C-BBC3-908A-6F74-339A45E5E1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32" name="Oval 818">
              <a:extLst>
                <a:ext uri="{FF2B5EF4-FFF2-40B4-BE49-F238E27FC236}">
                  <a16:creationId xmlns:a16="http://schemas.microsoft.com/office/drawing/2014/main" id="{3B96180C-D24B-1826-2260-D7FB3BFF12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33" name="Rectangle 819">
              <a:extLst>
                <a:ext uri="{FF2B5EF4-FFF2-40B4-BE49-F238E27FC236}">
                  <a16:creationId xmlns:a16="http://schemas.microsoft.com/office/drawing/2014/main" id="{5CACE661-F13F-1530-1B97-C62B659FBA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34" name="Rectangle 820">
              <a:extLst>
                <a:ext uri="{FF2B5EF4-FFF2-40B4-BE49-F238E27FC236}">
                  <a16:creationId xmlns:a16="http://schemas.microsoft.com/office/drawing/2014/main" id="{DA9514A4-2470-E7DF-2E24-7C0CAE373C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35" name="Rectangle 821">
              <a:extLst>
                <a:ext uri="{FF2B5EF4-FFF2-40B4-BE49-F238E27FC236}">
                  <a16:creationId xmlns:a16="http://schemas.microsoft.com/office/drawing/2014/main" id="{4465E59C-DD6D-4A9F-BF54-4E35CD21962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36" name="Rectangle 822">
              <a:extLst>
                <a:ext uri="{FF2B5EF4-FFF2-40B4-BE49-F238E27FC236}">
                  <a16:creationId xmlns:a16="http://schemas.microsoft.com/office/drawing/2014/main" id="{A103DBB1-22BF-0357-3EAB-C0500B5F40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816" name="Group 823">
            <a:extLst>
              <a:ext uri="{FF2B5EF4-FFF2-40B4-BE49-F238E27FC236}">
                <a16:creationId xmlns:a16="http://schemas.microsoft.com/office/drawing/2014/main" id="{54B0DF5C-9711-9946-108F-061FC26DB9DD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817" name="Rectangle 824">
              <a:extLst>
                <a:ext uri="{FF2B5EF4-FFF2-40B4-BE49-F238E27FC236}">
                  <a16:creationId xmlns:a16="http://schemas.microsoft.com/office/drawing/2014/main" id="{CE17E270-64FB-F2AC-8366-B1F1BB36F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18" name="Line 825">
              <a:extLst>
                <a:ext uri="{FF2B5EF4-FFF2-40B4-BE49-F238E27FC236}">
                  <a16:creationId xmlns:a16="http://schemas.microsoft.com/office/drawing/2014/main" id="{4CE4AC21-2ADD-419F-10C3-4844AD622B6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19" name="Line 826">
              <a:extLst>
                <a:ext uri="{FF2B5EF4-FFF2-40B4-BE49-F238E27FC236}">
                  <a16:creationId xmlns:a16="http://schemas.microsoft.com/office/drawing/2014/main" id="{FF199A46-9B75-B56B-4B22-9681DEDA9F15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20" name="Rectangle 827">
              <a:extLst>
                <a:ext uri="{FF2B5EF4-FFF2-40B4-BE49-F238E27FC236}">
                  <a16:creationId xmlns:a16="http://schemas.microsoft.com/office/drawing/2014/main" id="{FA53C317-C32D-093D-C37C-C671339A3E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1" name="Oval 828">
              <a:extLst>
                <a:ext uri="{FF2B5EF4-FFF2-40B4-BE49-F238E27FC236}">
                  <a16:creationId xmlns:a16="http://schemas.microsoft.com/office/drawing/2014/main" id="{CD0F4287-6612-BF86-3A9A-7CD829F65C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22" name="Oval 829">
              <a:extLst>
                <a:ext uri="{FF2B5EF4-FFF2-40B4-BE49-F238E27FC236}">
                  <a16:creationId xmlns:a16="http://schemas.microsoft.com/office/drawing/2014/main" id="{4DF176E8-CB44-4522-C138-7DD9CA0797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23" name="Rectangle 830">
              <a:extLst>
                <a:ext uri="{FF2B5EF4-FFF2-40B4-BE49-F238E27FC236}">
                  <a16:creationId xmlns:a16="http://schemas.microsoft.com/office/drawing/2014/main" id="{0238212B-AC54-54B5-BDA2-40258F99F9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4" name="Rectangle 831">
              <a:extLst>
                <a:ext uri="{FF2B5EF4-FFF2-40B4-BE49-F238E27FC236}">
                  <a16:creationId xmlns:a16="http://schemas.microsoft.com/office/drawing/2014/main" id="{6A0EFE32-A4A0-2048-7E16-1C2FAB881B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5" name="Rectangle 832">
              <a:extLst>
                <a:ext uri="{FF2B5EF4-FFF2-40B4-BE49-F238E27FC236}">
                  <a16:creationId xmlns:a16="http://schemas.microsoft.com/office/drawing/2014/main" id="{073D9D65-A412-04AF-078D-2732E611A3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26" name="Rectangle 833">
              <a:extLst>
                <a:ext uri="{FF2B5EF4-FFF2-40B4-BE49-F238E27FC236}">
                  <a16:creationId xmlns:a16="http://schemas.microsoft.com/office/drawing/2014/main" id="{F135BADE-8EC9-81AC-C270-6ACF9766CD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1" name="Group 834">
          <a:extLst>
            <a:ext uri="{FF2B5EF4-FFF2-40B4-BE49-F238E27FC236}">
              <a16:creationId xmlns:a16="http://schemas.microsoft.com/office/drawing/2014/main" id="{9BAA9F4E-1D4C-CBBF-A9B8-0682AC67E30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92" name="Rectangle 835">
            <a:extLst>
              <a:ext uri="{FF2B5EF4-FFF2-40B4-BE49-F238E27FC236}">
                <a16:creationId xmlns:a16="http://schemas.microsoft.com/office/drawing/2014/main" id="{E9CF40EB-3DC1-12EC-09BE-669385D6695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93" name="Line 836">
            <a:extLst>
              <a:ext uri="{FF2B5EF4-FFF2-40B4-BE49-F238E27FC236}">
                <a16:creationId xmlns:a16="http://schemas.microsoft.com/office/drawing/2014/main" id="{5BA82E80-94C2-9ACB-2217-804751B97D8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94" name="Line 837">
            <a:extLst>
              <a:ext uri="{FF2B5EF4-FFF2-40B4-BE49-F238E27FC236}">
                <a16:creationId xmlns:a16="http://schemas.microsoft.com/office/drawing/2014/main" id="{E6BC12A2-FC62-0D0F-D851-03DD7940121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95" name="Rectangle 838">
            <a:extLst>
              <a:ext uri="{FF2B5EF4-FFF2-40B4-BE49-F238E27FC236}">
                <a16:creationId xmlns:a16="http://schemas.microsoft.com/office/drawing/2014/main" id="{9D0A6F0E-0949-F651-DEAB-CD19A6941D1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96" name="Oval 839">
            <a:extLst>
              <a:ext uri="{FF2B5EF4-FFF2-40B4-BE49-F238E27FC236}">
                <a16:creationId xmlns:a16="http://schemas.microsoft.com/office/drawing/2014/main" id="{84675DB2-788E-EF5A-9FFF-8FCDCC5EE01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97" name="Oval 840">
            <a:extLst>
              <a:ext uri="{FF2B5EF4-FFF2-40B4-BE49-F238E27FC236}">
                <a16:creationId xmlns:a16="http://schemas.microsoft.com/office/drawing/2014/main" id="{B4BCD291-27C6-6D6C-06C0-D7F480B2576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98" name="Rectangle 841">
            <a:extLst>
              <a:ext uri="{FF2B5EF4-FFF2-40B4-BE49-F238E27FC236}">
                <a16:creationId xmlns:a16="http://schemas.microsoft.com/office/drawing/2014/main" id="{B0996EA3-931E-038E-B6B6-F5CBC1B37B8E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99" name="Rectangle 842">
            <a:extLst>
              <a:ext uri="{FF2B5EF4-FFF2-40B4-BE49-F238E27FC236}">
                <a16:creationId xmlns:a16="http://schemas.microsoft.com/office/drawing/2014/main" id="{1D8AEE59-8A9C-9484-772D-660395867C1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800" name="Rectangle 843">
            <a:extLst>
              <a:ext uri="{FF2B5EF4-FFF2-40B4-BE49-F238E27FC236}">
                <a16:creationId xmlns:a16="http://schemas.microsoft.com/office/drawing/2014/main" id="{94931872-2DC2-7E06-A0B4-CA949F23150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801" name="Rectangle 844">
            <a:extLst>
              <a:ext uri="{FF2B5EF4-FFF2-40B4-BE49-F238E27FC236}">
                <a16:creationId xmlns:a16="http://schemas.microsoft.com/office/drawing/2014/main" id="{A1FAC138-60FA-C51F-B8F4-828835588A77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802" name="Group 845">
            <a:extLst>
              <a:ext uri="{FF2B5EF4-FFF2-40B4-BE49-F238E27FC236}">
                <a16:creationId xmlns:a16="http://schemas.microsoft.com/office/drawing/2014/main" id="{25236166-F42D-5826-3B00-557D57DEB31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805" name="Rectangle 846">
              <a:extLst>
                <a:ext uri="{FF2B5EF4-FFF2-40B4-BE49-F238E27FC236}">
                  <a16:creationId xmlns:a16="http://schemas.microsoft.com/office/drawing/2014/main" id="{B34C253A-BDC5-383A-4E9D-23019E2BDD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06" name="Line 847">
              <a:extLst>
                <a:ext uri="{FF2B5EF4-FFF2-40B4-BE49-F238E27FC236}">
                  <a16:creationId xmlns:a16="http://schemas.microsoft.com/office/drawing/2014/main" id="{97162189-403A-8774-9472-B1D97448C1F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07" name="Line 848">
              <a:extLst>
                <a:ext uri="{FF2B5EF4-FFF2-40B4-BE49-F238E27FC236}">
                  <a16:creationId xmlns:a16="http://schemas.microsoft.com/office/drawing/2014/main" id="{118A3709-8A8D-4888-B842-B029F8FF879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808" name="Rectangle 849">
              <a:extLst>
                <a:ext uri="{FF2B5EF4-FFF2-40B4-BE49-F238E27FC236}">
                  <a16:creationId xmlns:a16="http://schemas.microsoft.com/office/drawing/2014/main" id="{A7042B8A-B7D8-E977-D0A7-029BDF5DAC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09" name="Oval 850">
              <a:extLst>
                <a:ext uri="{FF2B5EF4-FFF2-40B4-BE49-F238E27FC236}">
                  <a16:creationId xmlns:a16="http://schemas.microsoft.com/office/drawing/2014/main" id="{CD148024-2893-D217-474D-604339553C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10" name="Oval 851">
              <a:extLst>
                <a:ext uri="{FF2B5EF4-FFF2-40B4-BE49-F238E27FC236}">
                  <a16:creationId xmlns:a16="http://schemas.microsoft.com/office/drawing/2014/main" id="{7C93F1A3-2696-F75F-CC8A-491D308483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811" name="Rectangle 852">
              <a:extLst>
                <a:ext uri="{FF2B5EF4-FFF2-40B4-BE49-F238E27FC236}">
                  <a16:creationId xmlns:a16="http://schemas.microsoft.com/office/drawing/2014/main" id="{46CC9F19-4DAB-5C9E-86F2-2DD1AACA7F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12" name="Rectangle 853">
              <a:extLst>
                <a:ext uri="{FF2B5EF4-FFF2-40B4-BE49-F238E27FC236}">
                  <a16:creationId xmlns:a16="http://schemas.microsoft.com/office/drawing/2014/main" id="{7F412E40-D8D6-DD75-5032-AD44195DD8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13" name="Rectangle 854">
              <a:extLst>
                <a:ext uri="{FF2B5EF4-FFF2-40B4-BE49-F238E27FC236}">
                  <a16:creationId xmlns:a16="http://schemas.microsoft.com/office/drawing/2014/main" id="{FC59151A-58CD-14A3-4F5D-3DF9C3C1B3E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814" name="Rectangle 855">
              <a:extLst>
                <a:ext uri="{FF2B5EF4-FFF2-40B4-BE49-F238E27FC236}">
                  <a16:creationId xmlns:a16="http://schemas.microsoft.com/office/drawing/2014/main" id="{C07C02F4-93F0-BA55-A61E-FF2AAD09D0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803" name="Rectangle 856">
            <a:extLst>
              <a:ext uri="{FF2B5EF4-FFF2-40B4-BE49-F238E27FC236}">
                <a16:creationId xmlns:a16="http://schemas.microsoft.com/office/drawing/2014/main" id="{A8AF0057-244E-C97F-F42E-99D7794ADFA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804" name="Rectangle 857">
            <a:extLst>
              <a:ext uri="{FF2B5EF4-FFF2-40B4-BE49-F238E27FC236}">
                <a16:creationId xmlns:a16="http://schemas.microsoft.com/office/drawing/2014/main" id="{D77D23B7-7AB8-BE53-AEA6-3BA332907F3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2" name="Group 858">
          <a:extLst>
            <a:ext uri="{FF2B5EF4-FFF2-40B4-BE49-F238E27FC236}">
              <a16:creationId xmlns:a16="http://schemas.microsoft.com/office/drawing/2014/main" id="{E5E21FA8-7E69-4325-49D3-139457C41B6B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69" name="Rectangle 859">
            <a:extLst>
              <a:ext uri="{FF2B5EF4-FFF2-40B4-BE49-F238E27FC236}">
                <a16:creationId xmlns:a16="http://schemas.microsoft.com/office/drawing/2014/main" id="{F175AC47-11E0-03AF-C65D-98D15D3B646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0" name="Line 860">
            <a:extLst>
              <a:ext uri="{FF2B5EF4-FFF2-40B4-BE49-F238E27FC236}">
                <a16:creationId xmlns:a16="http://schemas.microsoft.com/office/drawing/2014/main" id="{ACA766B4-CEA3-369F-C4DA-018A52C3AB5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71" name="Line 861">
            <a:extLst>
              <a:ext uri="{FF2B5EF4-FFF2-40B4-BE49-F238E27FC236}">
                <a16:creationId xmlns:a16="http://schemas.microsoft.com/office/drawing/2014/main" id="{D29A9F18-CC48-2B21-B07E-F7F9F66114B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72" name="Rectangle 862">
            <a:extLst>
              <a:ext uri="{FF2B5EF4-FFF2-40B4-BE49-F238E27FC236}">
                <a16:creationId xmlns:a16="http://schemas.microsoft.com/office/drawing/2014/main" id="{4F39A3E9-3D96-AEE5-987E-2A98CCDA980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3" name="Oval 863">
            <a:extLst>
              <a:ext uri="{FF2B5EF4-FFF2-40B4-BE49-F238E27FC236}">
                <a16:creationId xmlns:a16="http://schemas.microsoft.com/office/drawing/2014/main" id="{28FB26E8-3430-BE49-8239-C20A587D859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74" name="Oval 864">
            <a:extLst>
              <a:ext uri="{FF2B5EF4-FFF2-40B4-BE49-F238E27FC236}">
                <a16:creationId xmlns:a16="http://schemas.microsoft.com/office/drawing/2014/main" id="{8158A8BD-3794-B2EB-784D-5F55BA6414F5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75" name="Rectangle 865">
            <a:extLst>
              <a:ext uri="{FF2B5EF4-FFF2-40B4-BE49-F238E27FC236}">
                <a16:creationId xmlns:a16="http://schemas.microsoft.com/office/drawing/2014/main" id="{F69410C3-DC38-5699-6CD3-486F3ECF997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6" name="Rectangle 866">
            <a:extLst>
              <a:ext uri="{FF2B5EF4-FFF2-40B4-BE49-F238E27FC236}">
                <a16:creationId xmlns:a16="http://schemas.microsoft.com/office/drawing/2014/main" id="{2DCE47BC-3FE5-7B91-A68C-7363C81FD55A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7" name="Rectangle 867">
            <a:extLst>
              <a:ext uri="{FF2B5EF4-FFF2-40B4-BE49-F238E27FC236}">
                <a16:creationId xmlns:a16="http://schemas.microsoft.com/office/drawing/2014/main" id="{AF6BCFD1-5A3E-C99A-E523-BB84778A365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78" name="Rectangle 868">
            <a:extLst>
              <a:ext uri="{FF2B5EF4-FFF2-40B4-BE49-F238E27FC236}">
                <a16:creationId xmlns:a16="http://schemas.microsoft.com/office/drawing/2014/main" id="{8D685BFF-6339-125F-30C4-14E44F8E3423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779" name="Group 869">
            <a:extLst>
              <a:ext uri="{FF2B5EF4-FFF2-40B4-BE49-F238E27FC236}">
                <a16:creationId xmlns:a16="http://schemas.microsoft.com/office/drawing/2014/main" id="{9A7A0DE5-8FBF-2729-AFB6-7CC8ABE3AA5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782" name="Rectangle 870">
              <a:extLst>
                <a:ext uri="{FF2B5EF4-FFF2-40B4-BE49-F238E27FC236}">
                  <a16:creationId xmlns:a16="http://schemas.microsoft.com/office/drawing/2014/main" id="{C6A5F3C4-821B-F144-9093-CF5DEDCE45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83" name="Line 871">
              <a:extLst>
                <a:ext uri="{FF2B5EF4-FFF2-40B4-BE49-F238E27FC236}">
                  <a16:creationId xmlns:a16="http://schemas.microsoft.com/office/drawing/2014/main" id="{5A6D46A5-4DDD-F618-A228-36CE9FFE6C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84" name="Line 872">
              <a:extLst>
                <a:ext uri="{FF2B5EF4-FFF2-40B4-BE49-F238E27FC236}">
                  <a16:creationId xmlns:a16="http://schemas.microsoft.com/office/drawing/2014/main" id="{C584B27F-9C98-A750-D1BB-A4195BE6C8C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85" name="Rectangle 873">
              <a:extLst>
                <a:ext uri="{FF2B5EF4-FFF2-40B4-BE49-F238E27FC236}">
                  <a16:creationId xmlns:a16="http://schemas.microsoft.com/office/drawing/2014/main" id="{7D6B23AB-8A0F-B0D4-3DC8-2215C0C645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86" name="Oval 874">
              <a:extLst>
                <a:ext uri="{FF2B5EF4-FFF2-40B4-BE49-F238E27FC236}">
                  <a16:creationId xmlns:a16="http://schemas.microsoft.com/office/drawing/2014/main" id="{A86D0C77-9502-52F8-B6B5-17441FB69C4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87" name="Oval 875">
              <a:extLst>
                <a:ext uri="{FF2B5EF4-FFF2-40B4-BE49-F238E27FC236}">
                  <a16:creationId xmlns:a16="http://schemas.microsoft.com/office/drawing/2014/main" id="{93C28610-47B7-28BC-C091-A404E2EC8D9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88" name="Rectangle 876">
              <a:extLst>
                <a:ext uri="{FF2B5EF4-FFF2-40B4-BE49-F238E27FC236}">
                  <a16:creationId xmlns:a16="http://schemas.microsoft.com/office/drawing/2014/main" id="{108277CE-F333-5AF4-3481-A1A30FBCE0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89" name="Rectangle 877">
              <a:extLst>
                <a:ext uri="{FF2B5EF4-FFF2-40B4-BE49-F238E27FC236}">
                  <a16:creationId xmlns:a16="http://schemas.microsoft.com/office/drawing/2014/main" id="{872069AB-E811-C85E-A8FA-892B1CA341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90" name="Rectangle 878">
              <a:extLst>
                <a:ext uri="{FF2B5EF4-FFF2-40B4-BE49-F238E27FC236}">
                  <a16:creationId xmlns:a16="http://schemas.microsoft.com/office/drawing/2014/main" id="{BB0A508C-9CC7-FF7B-2A34-2D9B555A85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91" name="Rectangle 879">
              <a:extLst>
                <a:ext uri="{FF2B5EF4-FFF2-40B4-BE49-F238E27FC236}">
                  <a16:creationId xmlns:a16="http://schemas.microsoft.com/office/drawing/2014/main" id="{ABECE245-4415-2056-B4F1-26EA2AF77EE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780" name="Rectangle 880">
            <a:extLst>
              <a:ext uri="{FF2B5EF4-FFF2-40B4-BE49-F238E27FC236}">
                <a16:creationId xmlns:a16="http://schemas.microsoft.com/office/drawing/2014/main" id="{B39D7EB6-3758-F3E1-94A2-97443E136E6B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81" name="Rectangle 881">
            <a:extLst>
              <a:ext uri="{FF2B5EF4-FFF2-40B4-BE49-F238E27FC236}">
                <a16:creationId xmlns:a16="http://schemas.microsoft.com/office/drawing/2014/main" id="{473F7288-10E8-854C-5EE6-390137E4AA14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3" name="Group 882">
          <a:extLst>
            <a:ext uri="{FF2B5EF4-FFF2-40B4-BE49-F238E27FC236}">
              <a16:creationId xmlns:a16="http://schemas.microsoft.com/office/drawing/2014/main" id="{D44F41C5-C3C0-3C17-EB8A-58A983BC8909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46" name="Rectangle 883">
            <a:extLst>
              <a:ext uri="{FF2B5EF4-FFF2-40B4-BE49-F238E27FC236}">
                <a16:creationId xmlns:a16="http://schemas.microsoft.com/office/drawing/2014/main" id="{3F02E09C-E337-4584-2F3B-FF0DC5A3E4C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47" name="Line 884">
            <a:extLst>
              <a:ext uri="{FF2B5EF4-FFF2-40B4-BE49-F238E27FC236}">
                <a16:creationId xmlns:a16="http://schemas.microsoft.com/office/drawing/2014/main" id="{E9297289-CBD7-F761-0165-C69FAFAC6EF0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48" name="Line 885">
            <a:extLst>
              <a:ext uri="{FF2B5EF4-FFF2-40B4-BE49-F238E27FC236}">
                <a16:creationId xmlns:a16="http://schemas.microsoft.com/office/drawing/2014/main" id="{CE907071-F24B-04C3-DD1F-A8C2C674904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49" name="Rectangle 886">
            <a:extLst>
              <a:ext uri="{FF2B5EF4-FFF2-40B4-BE49-F238E27FC236}">
                <a16:creationId xmlns:a16="http://schemas.microsoft.com/office/drawing/2014/main" id="{FCDC1773-8707-B503-E6E4-D755E14775EE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0" name="Oval 887">
            <a:extLst>
              <a:ext uri="{FF2B5EF4-FFF2-40B4-BE49-F238E27FC236}">
                <a16:creationId xmlns:a16="http://schemas.microsoft.com/office/drawing/2014/main" id="{B717DE46-A9E3-69BF-F24C-F448E3B0B00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51" name="Oval 888">
            <a:extLst>
              <a:ext uri="{FF2B5EF4-FFF2-40B4-BE49-F238E27FC236}">
                <a16:creationId xmlns:a16="http://schemas.microsoft.com/office/drawing/2014/main" id="{E84105AF-FC19-A5EA-D692-10316A9AA65A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52" name="Rectangle 889">
            <a:extLst>
              <a:ext uri="{FF2B5EF4-FFF2-40B4-BE49-F238E27FC236}">
                <a16:creationId xmlns:a16="http://schemas.microsoft.com/office/drawing/2014/main" id="{DBB50613-9493-36C4-8EF5-02D2BDD7E47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3" name="Rectangle 890">
            <a:extLst>
              <a:ext uri="{FF2B5EF4-FFF2-40B4-BE49-F238E27FC236}">
                <a16:creationId xmlns:a16="http://schemas.microsoft.com/office/drawing/2014/main" id="{5686FC40-7124-2675-24DE-D8110ACD02C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4" name="Rectangle 891">
            <a:extLst>
              <a:ext uri="{FF2B5EF4-FFF2-40B4-BE49-F238E27FC236}">
                <a16:creationId xmlns:a16="http://schemas.microsoft.com/office/drawing/2014/main" id="{FBCA8174-3A5D-07AD-3EFC-52A64150C50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5" name="Rectangle 892">
            <a:extLst>
              <a:ext uri="{FF2B5EF4-FFF2-40B4-BE49-F238E27FC236}">
                <a16:creationId xmlns:a16="http://schemas.microsoft.com/office/drawing/2014/main" id="{3D1803C4-BA3A-4C91-A1FC-F32EEC141C2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756" name="Group 893">
            <a:extLst>
              <a:ext uri="{FF2B5EF4-FFF2-40B4-BE49-F238E27FC236}">
                <a16:creationId xmlns:a16="http://schemas.microsoft.com/office/drawing/2014/main" id="{15BC7445-B12B-2E13-E271-037CEF61614E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759" name="Rectangle 894">
              <a:extLst>
                <a:ext uri="{FF2B5EF4-FFF2-40B4-BE49-F238E27FC236}">
                  <a16:creationId xmlns:a16="http://schemas.microsoft.com/office/drawing/2014/main" id="{781FEEBA-B3C3-6DD3-9A3A-AB8B1EEC70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0" name="Line 895">
              <a:extLst>
                <a:ext uri="{FF2B5EF4-FFF2-40B4-BE49-F238E27FC236}">
                  <a16:creationId xmlns:a16="http://schemas.microsoft.com/office/drawing/2014/main" id="{ACBB4D00-017D-0DF2-8B6F-06D4BAF884F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61" name="Line 896">
              <a:extLst>
                <a:ext uri="{FF2B5EF4-FFF2-40B4-BE49-F238E27FC236}">
                  <a16:creationId xmlns:a16="http://schemas.microsoft.com/office/drawing/2014/main" id="{6D05A35F-46CC-D54A-4A58-4819CA2057F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62" name="Rectangle 897">
              <a:extLst>
                <a:ext uri="{FF2B5EF4-FFF2-40B4-BE49-F238E27FC236}">
                  <a16:creationId xmlns:a16="http://schemas.microsoft.com/office/drawing/2014/main" id="{F836A491-5884-9C8D-564E-40BFC5456C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3" name="Oval 898">
              <a:extLst>
                <a:ext uri="{FF2B5EF4-FFF2-40B4-BE49-F238E27FC236}">
                  <a16:creationId xmlns:a16="http://schemas.microsoft.com/office/drawing/2014/main" id="{8BC7639A-C1A5-A43F-33E7-CEE2C888E4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64" name="Oval 899">
              <a:extLst>
                <a:ext uri="{FF2B5EF4-FFF2-40B4-BE49-F238E27FC236}">
                  <a16:creationId xmlns:a16="http://schemas.microsoft.com/office/drawing/2014/main" id="{D8FFF78E-65F7-DCBC-57E2-CF757546B0C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65" name="Rectangle 900">
              <a:extLst>
                <a:ext uri="{FF2B5EF4-FFF2-40B4-BE49-F238E27FC236}">
                  <a16:creationId xmlns:a16="http://schemas.microsoft.com/office/drawing/2014/main" id="{9BA94D80-C23F-34F7-3489-77AEA3E739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6" name="Rectangle 901">
              <a:extLst>
                <a:ext uri="{FF2B5EF4-FFF2-40B4-BE49-F238E27FC236}">
                  <a16:creationId xmlns:a16="http://schemas.microsoft.com/office/drawing/2014/main" id="{83F9A89D-DC2B-F5E8-4FEF-8F7B6D224B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7" name="Rectangle 902">
              <a:extLst>
                <a:ext uri="{FF2B5EF4-FFF2-40B4-BE49-F238E27FC236}">
                  <a16:creationId xmlns:a16="http://schemas.microsoft.com/office/drawing/2014/main" id="{EF664E45-D2AD-AC03-3FDC-BB4519C3D2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68" name="Rectangle 903">
              <a:extLst>
                <a:ext uri="{FF2B5EF4-FFF2-40B4-BE49-F238E27FC236}">
                  <a16:creationId xmlns:a16="http://schemas.microsoft.com/office/drawing/2014/main" id="{5EC55EEC-D1A4-E7AB-DEA3-3E897FE932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757" name="Rectangle 904">
            <a:extLst>
              <a:ext uri="{FF2B5EF4-FFF2-40B4-BE49-F238E27FC236}">
                <a16:creationId xmlns:a16="http://schemas.microsoft.com/office/drawing/2014/main" id="{14816EEF-0976-B56E-054C-BAFC515840E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58" name="Rectangle 905">
            <a:extLst>
              <a:ext uri="{FF2B5EF4-FFF2-40B4-BE49-F238E27FC236}">
                <a16:creationId xmlns:a16="http://schemas.microsoft.com/office/drawing/2014/main" id="{F40431E5-90EF-C6EB-E00D-F0E201237957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4" name="Group 906">
          <a:extLst>
            <a:ext uri="{FF2B5EF4-FFF2-40B4-BE49-F238E27FC236}">
              <a16:creationId xmlns:a16="http://schemas.microsoft.com/office/drawing/2014/main" id="{AAB51E9C-5B1E-3D35-1EB9-C4D53BCCEB70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23" name="Rectangle 907">
            <a:extLst>
              <a:ext uri="{FF2B5EF4-FFF2-40B4-BE49-F238E27FC236}">
                <a16:creationId xmlns:a16="http://schemas.microsoft.com/office/drawing/2014/main" id="{66792EF1-9712-17EA-3E8A-F0E72EE6607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24" name="Line 908">
            <a:extLst>
              <a:ext uri="{FF2B5EF4-FFF2-40B4-BE49-F238E27FC236}">
                <a16:creationId xmlns:a16="http://schemas.microsoft.com/office/drawing/2014/main" id="{6900B818-030C-A263-C5A0-14E95BFF4F75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25" name="Line 909">
            <a:extLst>
              <a:ext uri="{FF2B5EF4-FFF2-40B4-BE49-F238E27FC236}">
                <a16:creationId xmlns:a16="http://schemas.microsoft.com/office/drawing/2014/main" id="{CB68E3E1-37DF-123C-8BBB-99F25D786725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26" name="Rectangle 910">
            <a:extLst>
              <a:ext uri="{FF2B5EF4-FFF2-40B4-BE49-F238E27FC236}">
                <a16:creationId xmlns:a16="http://schemas.microsoft.com/office/drawing/2014/main" id="{251F808D-E933-C8D6-269A-C00BBD598542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27" name="Oval 911">
            <a:extLst>
              <a:ext uri="{FF2B5EF4-FFF2-40B4-BE49-F238E27FC236}">
                <a16:creationId xmlns:a16="http://schemas.microsoft.com/office/drawing/2014/main" id="{C8D0C691-3D38-3944-2827-3274D8AE4D5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28" name="Oval 912">
            <a:extLst>
              <a:ext uri="{FF2B5EF4-FFF2-40B4-BE49-F238E27FC236}">
                <a16:creationId xmlns:a16="http://schemas.microsoft.com/office/drawing/2014/main" id="{E93BE118-EE94-809F-ABD6-5811E76CB1A6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29" name="Rectangle 913">
            <a:extLst>
              <a:ext uri="{FF2B5EF4-FFF2-40B4-BE49-F238E27FC236}">
                <a16:creationId xmlns:a16="http://schemas.microsoft.com/office/drawing/2014/main" id="{40B95D41-FD9B-386D-0E9F-EEC64C96D9B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30" name="Rectangle 914">
            <a:extLst>
              <a:ext uri="{FF2B5EF4-FFF2-40B4-BE49-F238E27FC236}">
                <a16:creationId xmlns:a16="http://schemas.microsoft.com/office/drawing/2014/main" id="{67131230-294E-D8E8-C891-EE6797216789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31" name="Rectangle 915">
            <a:extLst>
              <a:ext uri="{FF2B5EF4-FFF2-40B4-BE49-F238E27FC236}">
                <a16:creationId xmlns:a16="http://schemas.microsoft.com/office/drawing/2014/main" id="{B54662CE-F9A7-A2A2-FEA3-1E71F4B56E8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32" name="Rectangle 916">
            <a:extLst>
              <a:ext uri="{FF2B5EF4-FFF2-40B4-BE49-F238E27FC236}">
                <a16:creationId xmlns:a16="http://schemas.microsoft.com/office/drawing/2014/main" id="{4CAF4667-C3D3-9F36-20A3-BDD73D407C5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733" name="Group 917">
            <a:extLst>
              <a:ext uri="{FF2B5EF4-FFF2-40B4-BE49-F238E27FC236}">
                <a16:creationId xmlns:a16="http://schemas.microsoft.com/office/drawing/2014/main" id="{59238CC2-9A49-B826-31FD-A33CE6BE9C6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736" name="Rectangle 918">
              <a:extLst>
                <a:ext uri="{FF2B5EF4-FFF2-40B4-BE49-F238E27FC236}">
                  <a16:creationId xmlns:a16="http://schemas.microsoft.com/office/drawing/2014/main" id="{482D8049-0CD7-FAA4-8783-718A9A3D21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37" name="Line 919">
              <a:extLst>
                <a:ext uri="{FF2B5EF4-FFF2-40B4-BE49-F238E27FC236}">
                  <a16:creationId xmlns:a16="http://schemas.microsoft.com/office/drawing/2014/main" id="{FCD838B4-1C48-9EE8-864B-BE7F0C0A6A9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38" name="Line 920">
              <a:extLst>
                <a:ext uri="{FF2B5EF4-FFF2-40B4-BE49-F238E27FC236}">
                  <a16:creationId xmlns:a16="http://schemas.microsoft.com/office/drawing/2014/main" id="{2C93E3DE-5F96-2771-FBA2-19E37C2B732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39" name="Rectangle 921">
              <a:extLst>
                <a:ext uri="{FF2B5EF4-FFF2-40B4-BE49-F238E27FC236}">
                  <a16:creationId xmlns:a16="http://schemas.microsoft.com/office/drawing/2014/main" id="{EC9A7762-978F-43F3-E2C7-DFA7C7D53BD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40" name="Oval 922">
              <a:extLst>
                <a:ext uri="{FF2B5EF4-FFF2-40B4-BE49-F238E27FC236}">
                  <a16:creationId xmlns:a16="http://schemas.microsoft.com/office/drawing/2014/main" id="{7A7CB86C-1A0B-9C23-E050-5D69C5C62BB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41" name="Oval 923">
              <a:extLst>
                <a:ext uri="{FF2B5EF4-FFF2-40B4-BE49-F238E27FC236}">
                  <a16:creationId xmlns:a16="http://schemas.microsoft.com/office/drawing/2014/main" id="{CDC97A9A-15EF-8D38-C3D1-E58AE9AAAE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42" name="Rectangle 924">
              <a:extLst>
                <a:ext uri="{FF2B5EF4-FFF2-40B4-BE49-F238E27FC236}">
                  <a16:creationId xmlns:a16="http://schemas.microsoft.com/office/drawing/2014/main" id="{70E3BC25-0AFA-1C30-9536-1988FE8106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43" name="Rectangle 925">
              <a:extLst>
                <a:ext uri="{FF2B5EF4-FFF2-40B4-BE49-F238E27FC236}">
                  <a16:creationId xmlns:a16="http://schemas.microsoft.com/office/drawing/2014/main" id="{404C9A89-8F83-82E4-C5D6-FD7BE46921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44" name="Rectangle 926">
              <a:extLst>
                <a:ext uri="{FF2B5EF4-FFF2-40B4-BE49-F238E27FC236}">
                  <a16:creationId xmlns:a16="http://schemas.microsoft.com/office/drawing/2014/main" id="{39E25796-47D8-67F9-FE57-E4C8F53306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45" name="Rectangle 927">
              <a:extLst>
                <a:ext uri="{FF2B5EF4-FFF2-40B4-BE49-F238E27FC236}">
                  <a16:creationId xmlns:a16="http://schemas.microsoft.com/office/drawing/2014/main" id="{A3249FE4-9A67-0166-66CE-28BD560C5B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734" name="Rectangle 928">
            <a:extLst>
              <a:ext uri="{FF2B5EF4-FFF2-40B4-BE49-F238E27FC236}">
                <a16:creationId xmlns:a16="http://schemas.microsoft.com/office/drawing/2014/main" id="{0066F60B-98DC-B291-A212-5C03F0F0228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35" name="Rectangle 929">
            <a:extLst>
              <a:ext uri="{FF2B5EF4-FFF2-40B4-BE49-F238E27FC236}">
                <a16:creationId xmlns:a16="http://schemas.microsoft.com/office/drawing/2014/main" id="{8ACB50D1-2D61-6825-A538-457A84B35E5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05" name="Group 930">
          <a:extLst>
            <a:ext uri="{FF2B5EF4-FFF2-40B4-BE49-F238E27FC236}">
              <a16:creationId xmlns:a16="http://schemas.microsoft.com/office/drawing/2014/main" id="{0289CB3C-9767-A717-B3E1-48396E508F6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700" name="Rectangle 931">
            <a:extLst>
              <a:ext uri="{FF2B5EF4-FFF2-40B4-BE49-F238E27FC236}">
                <a16:creationId xmlns:a16="http://schemas.microsoft.com/office/drawing/2014/main" id="{6F5B05DA-191B-F692-D2E9-500B76D077D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1" name="Line 932">
            <a:extLst>
              <a:ext uri="{FF2B5EF4-FFF2-40B4-BE49-F238E27FC236}">
                <a16:creationId xmlns:a16="http://schemas.microsoft.com/office/drawing/2014/main" id="{EABF58AF-B3EB-6288-9BCD-51486581179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02" name="Line 933">
            <a:extLst>
              <a:ext uri="{FF2B5EF4-FFF2-40B4-BE49-F238E27FC236}">
                <a16:creationId xmlns:a16="http://schemas.microsoft.com/office/drawing/2014/main" id="{5C343125-8709-89FF-B345-6721F7FF90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703" name="Rectangle 934">
            <a:extLst>
              <a:ext uri="{FF2B5EF4-FFF2-40B4-BE49-F238E27FC236}">
                <a16:creationId xmlns:a16="http://schemas.microsoft.com/office/drawing/2014/main" id="{DACD5CF6-9611-3AE3-D060-E2D168921D3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4" name="Oval 935">
            <a:extLst>
              <a:ext uri="{FF2B5EF4-FFF2-40B4-BE49-F238E27FC236}">
                <a16:creationId xmlns:a16="http://schemas.microsoft.com/office/drawing/2014/main" id="{FE2F34A1-D53B-8B5E-D689-B61BF44965CE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05" name="Oval 936">
            <a:extLst>
              <a:ext uri="{FF2B5EF4-FFF2-40B4-BE49-F238E27FC236}">
                <a16:creationId xmlns:a16="http://schemas.microsoft.com/office/drawing/2014/main" id="{F8AC70F0-EC02-62B8-FA1F-8B5E8BEF9E8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706" name="Rectangle 937">
            <a:extLst>
              <a:ext uri="{FF2B5EF4-FFF2-40B4-BE49-F238E27FC236}">
                <a16:creationId xmlns:a16="http://schemas.microsoft.com/office/drawing/2014/main" id="{0E303565-3D0E-F1CD-C46D-DDBDFEBEE3D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7" name="Rectangle 938">
            <a:extLst>
              <a:ext uri="{FF2B5EF4-FFF2-40B4-BE49-F238E27FC236}">
                <a16:creationId xmlns:a16="http://schemas.microsoft.com/office/drawing/2014/main" id="{9573FB17-1A83-A320-02B9-92581284FE93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8" name="Rectangle 939">
            <a:extLst>
              <a:ext uri="{FF2B5EF4-FFF2-40B4-BE49-F238E27FC236}">
                <a16:creationId xmlns:a16="http://schemas.microsoft.com/office/drawing/2014/main" id="{00505C0D-EBC5-3E49-E2BD-CDE81ADF0120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09" name="Rectangle 940">
            <a:extLst>
              <a:ext uri="{FF2B5EF4-FFF2-40B4-BE49-F238E27FC236}">
                <a16:creationId xmlns:a16="http://schemas.microsoft.com/office/drawing/2014/main" id="{DDAD1DBF-39F5-23C2-C1BF-0C0C1249813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710" name="Group 941">
            <a:extLst>
              <a:ext uri="{FF2B5EF4-FFF2-40B4-BE49-F238E27FC236}">
                <a16:creationId xmlns:a16="http://schemas.microsoft.com/office/drawing/2014/main" id="{7ED9F9D9-BCB2-7863-880A-421792529636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713" name="Rectangle 942">
              <a:extLst>
                <a:ext uri="{FF2B5EF4-FFF2-40B4-BE49-F238E27FC236}">
                  <a16:creationId xmlns:a16="http://schemas.microsoft.com/office/drawing/2014/main" id="{2CB38875-414C-82B8-A50D-2B31758231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14" name="Line 943">
              <a:extLst>
                <a:ext uri="{FF2B5EF4-FFF2-40B4-BE49-F238E27FC236}">
                  <a16:creationId xmlns:a16="http://schemas.microsoft.com/office/drawing/2014/main" id="{EC31E275-8BE9-F5A8-0107-000D9EBF73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15" name="Line 944">
              <a:extLst>
                <a:ext uri="{FF2B5EF4-FFF2-40B4-BE49-F238E27FC236}">
                  <a16:creationId xmlns:a16="http://schemas.microsoft.com/office/drawing/2014/main" id="{AF17EF76-9A0A-8D31-DCC5-470C57E6FF2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716" name="Rectangle 945">
              <a:extLst>
                <a:ext uri="{FF2B5EF4-FFF2-40B4-BE49-F238E27FC236}">
                  <a16:creationId xmlns:a16="http://schemas.microsoft.com/office/drawing/2014/main" id="{0BB66955-5BE5-00D2-A11B-B908AE1BB8E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17" name="Oval 946">
              <a:extLst>
                <a:ext uri="{FF2B5EF4-FFF2-40B4-BE49-F238E27FC236}">
                  <a16:creationId xmlns:a16="http://schemas.microsoft.com/office/drawing/2014/main" id="{CE9DBAF6-FA97-587D-3A75-FF12099C06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18" name="Oval 947">
              <a:extLst>
                <a:ext uri="{FF2B5EF4-FFF2-40B4-BE49-F238E27FC236}">
                  <a16:creationId xmlns:a16="http://schemas.microsoft.com/office/drawing/2014/main" id="{C6E40FFA-E1DB-3779-673D-02E0557B6F4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719" name="Rectangle 948">
              <a:extLst>
                <a:ext uri="{FF2B5EF4-FFF2-40B4-BE49-F238E27FC236}">
                  <a16:creationId xmlns:a16="http://schemas.microsoft.com/office/drawing/2014/main" id="{C4A74B01-7E20-9DAF-B3BC-516EEE61A65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20" name="Rectangle 949">
              <a:extLst>
                <a:ext uri="{FF2B5EF4-FFF2-40B4-BE49-F238E27FC236}">
                  <a16:creationId xmlns:a16="http://schemas.microsoft.com/office/drawing/2014/main" id="{A322A199-8FF3-A433-6AA1-A2FDFC2043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21" name="Rectangle 950">
              <a:extLst>
                <a:ext uri="{FF2B5EF4-FFF2-40B4-BE49-F238E27FC236}">
                  <a16:creationId xmlns:a16="http://schemas.microsoft.com/office/drawing/2014/main" id="{6DE73AD9-25EE-BE04-1B3F-1C75496845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722" name="Rectangle 951">
              <a:extLst>
                <a:ext uri="{FF2B5EF4-FFF2-40B4-BE49-F238E27FC236}">
                  <a16:creationId xmlns:a16="http://schemas.microsoft.com/office/drawing/2014/main" id="{62E5BE5E-8865-B6D7-5434-6122ED3829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711" name="Rectangle 952">
            <a:extLst>
              <a:ext uri="{FF2B5EF4-FFF2-40B4-BE49-F238E27FC236}">
                <a16:creationId xmlns:a16="http://schemas.microsoft.com/office/drawing/2014/main" id="{4A09A38D-B170-A225-0F3E-0F7CADC6332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712" name="Rectangle 953">
            <a:extLst>
              <a:ext uri="{FF2B5EF4-FFF2-40B4-BE49-F238E27FC236}">
                <a16:creationId xmlns:a16="http://schemas.microsoft.com/office/drawing/2014/main" id="{E68F37C2-0564-89BA-D69D-5632D65B5FF4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152400</xdr:rowOff>
    </xdr:from>
    <xdr:to>
      <xdr:col>9</xdr:col>
      <xdr:colOff>0</xdr:colOff>
      <xdr:row>3</xdr:row>
      <xdr:rowOff>0</xdr:rowOff>
    </xdr:to>
    <xdr:grpSp>
      <xdr:nvGrpSpPr>
        <xdr:cNvPr id="529106" name="Group 965">
          <a:extLst>
            <a:ext uri="{FF2B5EF4-FFF2-40B4-BE49-F238E27FC236}">
              <a16:creationId xmlns:a16="http://schemas.microsoft.com/office/drawing/2014/main" id="{51B5A9B3-7ADA-B538-DD6E-B32BA2593513}"/>
            </a:ext>
          </a:extLst>
        </xdr:cNvPr>
        <xdr:cNvGrpSpPr>
          <a:grpSpLocks/>
        </xdr:cNvGrpSpPr>
      </xdr:nvGrpSpPr>
      <xdr:grpSpPr bwMode="auto">
        <a:xfrm>
          <a:off x="6812280" y="1287780"/>
          <a:ext cx="0" cy="419100"/>
          <a:chOff x="333" y="153"/>
          <a:chExt cx="219" cy="333"/>
        </a:xfrm>
      </xdr:grpSpPr>
      <xdr:sp macro="" textlink="">
        <xdr:nvSpPr>
          <xdr:cNvPr id="533690" name="Rectangle 966">
            <a:extLst>
              <a:ext uri="{FF2B5EF4-FFF2-40B4-BE49-F238E27FC236}">
                <a16:creationId xmlns:a16="http://schemas.microsoft.com/office/drawing/2014/main" id="{0F6C8038-2FC3-D500-C4EB-3A64EF5E9EC9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1" name="Line 967">
            <a:extLst>
              <a:ext uri="{FF2B5EF4-FFF2-40B4-BE49-F238E27FC236}">
                <a16:creationId xmlns:a16="http://schemas.microsoft.com/office/drawing/2014/main" id="{747709F0-3D0E-0047-4611-C1AA8F77C804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692" name="Line 968">
            <a:extLst>
              <a:ext uri="{FF2B5EF4-FFF2-40B4-BE49-F238E27FC236}">
                <a16:creationId xmlns:a16="http://schemas.microsoft.com/office/drawing/2014/main" id="{9DDEC2D3-4A06-DF0D-DC04-AFB2CDF5263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693" name="Rectangle 969">
            <a:extLst>
              <a:ext uri="{FF2B5EF4-FFF2-40B4-BE49-F238E27FC236}">
                <a16:creationId xmlns:a16="http://schemas.microsoft.com/office/drawing/2014/main" id="{946D864F-E321-087B-32BE-3C80124A5F99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4" name="Oval 970">
            <a:extLst>
              <a:ext uri="{FF2B5EF4-FFF2-40B4-BE49-F238E27FC236}">
                <a16:creationId xmlns:a16="http://schemas.microsoft.com/office/drawing/2014/main" id="{7EC4082E-24BD-55F1-D6AE-DB6055C2498D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695" name="Oval 971">
            <a:extLst>
              <a:ext uri="{FF2B5EF4-FFF2-40B4-BE49-F238E27FC236}">
                <a16:creationId xmlns:a16="http://schemas.microsoft.com/office/drawing/2014/main" id="{7290B2A4-B3A8-C7AB-477F-1841293E2D2C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696" name="Rectangle 972">
            <a:extLst>
              <a:ext uri="{FF2B5EF4-FFF2-40B4-BE49-F238E27FC236}">
                <a16:creationId xmlns:a16="http://schemas.microsoft.com/office/drawing/2014/main" id="{A1C79C68-46D4-9D23-DA00-2396FD0EB71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7" name="Rectangle 973">
            <a:extLst>
              <a:ext uri="{FF2B5EF4-FFF2-40B4-BE49-F238E27FC236}">
                <a16:creationId xmlns:a16="http://schemas.microsoft.com/office/drawing/2014/main" id="{F3DBCD9B-60B8-9292-D9FF-E53BA7C47995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8" name="Rectangle 974">
            <a:extLst>
              <a:ext uri="{FF2B5EF4-FFF2-40B4-BE49-F238E27FC236}">
                <a16:creationId xmlns:a16="http://schemas.microsoft.com/office/drawing/2014/main" id="{D4061248-5421-78E3-70FB-6E3FF2AFE961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699" name="Rectangle 975">
            <a:extLst>
              <a:ext uri="{FF2B5EF4-FFF2-40B4-BE49-F238E27FC236}">
                <a16:creationId xmlns:a16="http://schemas.microsoft.com/office/drawing/2014/main" id="{7B9D3A25-514C-3911-6EC7-503A3FA5DF0C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07" name="Group 976">
          <a:extLst>
            <a:ext uri="{FF2B5EF4-FFF2-40B4-BE49-F238E27FC236}">
              <a16:creationId xmlns:a16="http://schemas.microsoft.com/office/drawing/2014/main" id="{9FB1C884-D32E-E624-8CEF-B39D78C2501B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668" name="Group 977">
            <a:extLst>
              <a:ext uri="{FF2B5EF4-FFF2-40B4-BE49-F238E27FC236}">
                <a16:creationId xmlns:a16="http://schemas.microsoft.com/office/drawing/2014/main" id="{A57AC839-7791-3CA2-D865-6A870CE0B5EE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680" name="Rectangle 978">
              <a:extLst>
                <a:ext uri="{FF2B5EF4-FFF2-40B4-BE49-F238E27FC236}">
                  <a16:creationId xmlns:a16="http://schemas.microsoft.com/office/drawing/2014/main" id="{EFF23F4D-A1B3-DAD1-9B7D-05C7A87BFE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1" name="Line 979">
              <a:extLst>
                <a:ext uri="{FF2B5EF4-FFF2-40B4-BE49-F238E27FC236}">
                  <a16:creationId xmlns:a16="http://schemas.microsoft.com/office/drawing/2014/main" id="{F8CEA922-9889-A730-9B4B-D5ACE5484F2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82" name="Line 980">
              <a:extLst>
                <a:ext uri="{FF2B5EF4-FFF2-40B4-BE49-F238E27FC236}">
                  <a16:creationId xmlns:a16="http://schemas.microsoft.com/office/drawing/2014/main" id="{2703CAE2-BC0D-F597-04A2-4761A854620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83" name="Rectangle 981">
              <a:extLst>
                <a:ext uri="{FF2B5EF4-FFF2-40B4-BE49-F238E27FC236}">
                  <a16:creationId xmlns:a16="http://schemas.microsoft.com/office/drawing/2014/main" id="{613C2D2F-8870-6F03-08E9-FE2055E496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4" name="Oval 982">
              <a:extLst>
                <a:ext uri="{FF2B5EF4-FFF2-40B4-BE49-F238E27FC236}">
                  <a16:creationId xmlns:a16="http://schemas.microsoft.com/office/drawing/2014/main" id="{32474EEF-54B8-6885-E776-54AEDD5E67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85" name="Oval 983">
              <a:extLst>
                <a:ext uri="{FF2B5EF4-FFF2-40B4-BE49-F238E27FC236}">
                  <a16:creationId xmlns:a16="http://schemas.microsoft.com/office/drawing/2014/main" id="{7A686FE1-5674-CCDA-41FC-8C5EA3BED2F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86" name="Rectangle 984">
              <a:extLst>
                <a:ext uri="{FF2B5EF4-FFF2-40B4-BE49-F238E27FC236}">
                  <a16:creationId xmlns:a16="http://schemas.microsoft.com/office/drawing/2014/main" id="{B94CC194-B684-8808-0081-F6DFD88FFE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7" name="Rectangle 985">
              <a:extLst>
                <a:ext uri="{FF2B5EF4-FFF2-40B4-BE49-F238E27FC236}">
                  <a16:creationId xmlns:a16="http://schemas.microsoft.com/office/drawing/2014/main" id="{682C8BBB-279C-2DD5-B4F1-C68ACE0BD18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8" name="Rectangle 986">
              <a:extLst>
                <a:ext uri="{FF2B5EF4-FFF2-40B4-BE49-F238E27FC236}">
                  <a16:creationId xmlns:a16="http://schemas.microsoft.com/office/drawing/2014/main" id="{8E56D899-5C8F-4B96-E85E-017886C614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89" name="Rectangle 987">
              <a:extLst>
                <a:ext uri="{FF2B5EF4-FFF2-40B4-BE49-F238E27FC236}">
                  <a16:creationId xmlns:a16="http://schemas.microsoft.com/office/drawing/2014/main" id="{597AA97B-A4B0-D452-5FF2-8E36B3EA04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669" name="Group 988">
            <a:extLst>
              <a:ext uri="{FF2B5EF4-FFF2-40B4-BE49-F238E27FC236}">
                <a16:creationId xmlns:a16="http://schemas.microsoft.com/office/drawing/2014/main" id="{68D66C88-3702-AD1E-E2AF-C4EB2ABC5EF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670" name="Rectangle 989">
              <a:extLst>
                <a:ext uri="{FF2B5EF4-FFF2-40B4-BE49-F238E27FC236}">
                  <a16:creationId xmlns:a16="http://schemas.microsoft.com/office/drawing/2014/main" id="{A1121E66-60F9-88FA-1118-70862568CAB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1" name="Line 990">
              <a:extLst>
                <a:ext uri="{FF2B5EF4-FFF2-40B4-BE49-F238E27FC236}">
                  <a16:creationId xmlns:a16="http://schemas.microsoft.com/office/drawing/2014/main" id="{200ACF94-5953-C8B3-D2DE-E9019CD5F9C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72" name="Line 991">
              <a:extLst>
                <a:ext uri="{FF2B5EF4-FFF2-40B4-BE49-F238E27FC236}">
                  <a16:creationId xmlns:a16="http://schemas.microsoft.com/office/drawing/2014/main" id="{1FECFB50-4855-267B-4B1C-FA307369BD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73" name="Rectangle 992">
              <a:extLst>
                <a:ext uri="{FF2B5EF4-FFF2-40B4-BE49-F238E27FC236}">
                  <a16:creationId xmlns:a16="http://schemas.microsoft.com/office/drawing/2014/main" id="{BE57ACA0-63AC-136B-719B-957D8781E9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4" name="Oval 993">
              <a:extLst>
                <a:ext uri="{FF2B5EF4-FFF2-40B4-BE49-F238E27FC236}">
                  <a16:creationId xmlns:a16="http://schemas.microsoft.com/office/drawing/2014/main" id="{37E1193D-4835-964A-FACD-39DF339F63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75" name="Oval 994">
              <a:extLst>
                <a:ext uri="{FF2B5EF4-FFF2-40B4-BE49-F238E27FC236}">
                  <a16:creationId xmlns:a16="http://schemas.microsoft.com/office/drawing/2014/main" id="{CAF8D2C0-2530-976B-790A-A2B4526AD9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76" name="Rectangle 995">
              <a:extLst>
                <a:ext uri="{FF2B5EF4-FFF2-40B4-BE49-F238E27FC236}">
                  <a16:creationId xmlns:a16="http://schemas.microsoft.com/office/drawing/2014/main" id="{D9ECA431-A1D0-FA81-89DC-3222EBAF4CD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7" name="Rectangle 996">
              <a:extLst>
                <a:ext uri="{FF2B5EF4-FFF2-40B4-BE49-F238E27FC236}">
                  <a16:creationId xmlns:a16="http://schemas.microsoft.com/office/drawing/2014/main" id="{DC9A528F-0487-48AC-A1CA-B6A8547C1DE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8" name="Rectangle 997">
              <a:extLst>
                <a:ext uri="{FF2B5EF4-FFF2-40B4-BE49-F238E27FC236}">
                  <a16:creationId xmlns:a16="http://schemas.microsoft.com/office/drawing/2014/main" id="{F3B93E3A-0D51-F79E-6A62-2D22A4E1056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79" name="Rectangle 998">
              <a:extLst>
                <a:ext uri="{FF2B5EF4-FFF2-40B4-BE49-F238E27FC236}">
                  <a16:creationId xmlns:a16="http://schemas.microsoft.com/office/drawing/2014/main" id="{82AC733E-827E-CAB8-D8FA-47F0B7BE89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08" name="Group 999">
          <a:extLst>
            <a:ext uri="{FF2B5EF4-FFF2-40B4-BE49-F238E27FC236}">
              <a16:creationId xmlns:a16="http://schemas.microsoft.com/office/drawing/2014/main" id="{01EA9A02-6FB6-8D8C-36D4-0F1587AE761E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646" name="Group 1000">
            <a:extLst>
              <a:ext uri="{FF2B5EF4-FFF2-40B4-BE49-F238E27FC236}">
                <a16:creationId xmlns:a16="http://schemas.microsoft.com/office/drawing/2014/main" id="{C84CDD7B-7681-8CD1-16FF-3DE7F554E86D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658" name="Rectangle 1001">
              <a:extLst>
                <a:ext uri="{FF2B5EF4-FFF2-40B4-BE49-F238E27FC236}">
                  <a16:creationId xmlns:a16="http://schemas.microsoft.com/office/drawing/2014/main" id="{E0DF689D-3D6E-42DF-C9E6-69B4E42E264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9" name="Line 1002">
              <a:extLst>
                <a:ext uri="{FF2B5EF4-FFF2-40B4-BE49-F238E27FC236}">
                  <a16:creationId xmlns:a16="http://schemas.microsoft.com/office/drawing/2014/main" id="{DD0CD98F-D032-6F1A-0A0D-C84A3C6E0EC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60" name="Line 1003">
              <a:extLst>
                <a:ext uri="{FF2B5EF4-FFF2-40B4-BE49-F238E27FC236}">
                  <a16:creationId xmlns:a16="http://schemas.microsoft.com/office/drawing/2014/main" id="{8E846450-5E57-2866-D51F-4713617F863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61" name="Rectangle 1004">
              <a:extLst>
                <a:ext uri="{FF2B5EF4-FFF2-40B4-BE49-F238E27FC236}">
                  <a16:creationId xmlns:a16="http://schemas.microsoft.com/office/drawing/2014/main" id="{C744C5FC-26C7-CEE0-63B3-1A98E8F4886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62" name="Oval 1005">
              <a:extLst>
                <a:ext uri="{FF2B5EF4-FFF2-40B4-BE49-F238E27FC236}">
                  <a16:creationId xmlns:a16="http://schemas.microsoft.com/office/drawing/2014/main" id="{E10856BB-7C03-8375-DA80-3595E53EF7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63" name="Oval 1006">
              <a:extLst>
                <a:ext uri="{FF2B5EF4-FFF2-40B4-BE49-F238E27FC236}">
                  <a16:creationId xmlns:a16="http://schemas.microsoft.com/office/drawing/2014/main" id="{1846BF41-1B53-A2F6-C038-DA4F43BF144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64" name="Rectangle 1007">
              <a:extLst>
                <a:ext uri="{FF2B5EF4-FFF2-40B4-BE49-F238E27FC236}">
                  <a16:creationId xmlns:a16="http://schemas.microsoft.com/office/drawing/2014/main" id="{2423F5DF-F8ED-0A99-451C-8843DE47EB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65" name="Rectangle 1008">
              <a:extLst>
                <a:ext uri="{FF2B5EF4-FFF2-40B4-BE49-F238E27FC236}">
                  <a16:creationId xmlns:a16="http://schemas.microsoft.com/office/drawing/2014/main" id="{0539423A-4C0B-FF38-9A66-F29D51E7FB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66" name="Rectangle 1009">
              <a:extLst>
                <a:ext uri="{FF2B5EF4-FFF2-40B4-BE49-F238E27FC236}">
                  <a16:creationId xmlns:a16="http://schemas.microsoft.com/office/drawing/2014/main" id="{BBDF2723-D34E-23F9-96AF-E9AB05DE97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67" name="Rectangle 1010">
              <a:extLst>
                <a:ext uri="{FF2B5EF4-FFF2-40B4-BE49-F238E27FC236}">
                  <a16:creationId xmlns:a16="http://schemas.microsoft.com/office/drawing/2014/main" id="{E8E20F3E-05FB-241C-DF89-E6725E4C60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647" name="Group 1011">
            <a:extLst>
              <a:ext uri="{FF2B5EF4-FFF2-40B4-BE49-F238E27FC236}">
                <a16:creationId xmlns:a16="http://schemas.microsoft.com/office/drawing/2014/main" id="{3CD99E4D-B26F-AD6C-3F5E-62697E29E0C7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648" name="Rectangle 1012">
              <a:extLst>
                <a:ext uri="{FF2B5EF4-FFF2-40B4-BE49-F238E27FC236}">
                  <a16:creationId xmlns:a16="http://schemas.microsoft.com/office/drawing/2014/main" id="{587E892C-96BE-ACA2-332B-808243634C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9" name="Line 1013">
              <a:extLst>
                <a:ext uri="{FF2B5EF4-FFF2-40B4-BE49-F238E27FC236}">
                  <a16:creationId xmlns:a16="http://schemas.microsoft.com/office/drawing/2014/main" id="{4DC80AD1-5117-BFD7-65B6-23DFCECB218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50" name="Line 1014">
              <a:extLst>
                <a:ext uri="{FF2B5EF4-FFF2-40B4-BE49-F238E27FC236}">
                  <a16:creationId xmlns:a16="http://schemas.microsoft.com/office/drawing/2014/main" id="{C022D0CA-66F1-ADBF-8FA4-3326A750F5D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51" name="Rectangle 1015">
              <a:extLst>
                <a:ext uri="{FF2B5EF4-FFF2-40B4-BE49-F238E27FC236}">
                  <a16:creationId xmlns:a16="http://schemas.microsoft.com/office/drawing/2014/main" id="{6E308EDB-AB0E-109E-E1AB-C21A0F1FBEF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2" name="Oval 1016">
              <a:extLst>
                <a:ext uri="{FF2B5EF4-FFF2-40B4-BE49-F238E27FC236}">
                  <a16:creationId xmlns:a16="http://schemas.microsoft.com/office/drawing/2014/main" id="{97C0EA47-F33F-8DCF-3885-9AEBCD4C56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53" name="Oval 1017">
              <a:extLst>
                <a:ext uri="{FF2B5EF4-FFF2-40B4-BE49-F238E27FC236}">
                  <a16:creationId xmlns:a16="http://schemas.microsoft.com/office/drawing/2014/main" id="{D2DB68EC-2AFD-C471-814A-AC03B5B0D6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54" name="Rectangle 1018">
              <a:extLst>
                <a:ext uri="{FF2B5EF4-FFF2-40B4-BE49-F238E27FC236}">
                  <a16:creationId xmlns:a16="http://schemas.microsoft.com/office/drawing/2014/main" id="{ECDD8B17-97A9-749C-B69C-2570C286221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5" name="Rectangle 1019">
              <a:extLst>
                <a:ext uri="{FF2B5EF4-FFF2-40B4-BE49-F238E27FC236}">
                  <a16:creationId xmlns:a16="http://schemas.microsoft.com/office/drawing/2014/main" id="{3D477EB9-211B-4FEE-BBFF-1A1EB03B17D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6" name="Rectangle 1020">
              <a:extLst>
                <a:ext uri="{FF2B5EF4-FFF2-40B4-BE49-F238E27FC236}">
                  <a16:creationId xmlns:a16="http://schemas.microsoft.com/office/drawing/2014/main" id="{070D5A43-FEA0-B6B0-5D69-0B8DE0E09CD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57" name="Rectangle 1021">
              <a:extLst>
                <a:ext uri="{FF2B5EF4-FFF2-40B4-BE49-F238E27FC236}">
                  <a16:creationId xmlns:a16="http://schemas.microsoft.com/office/drawing/2014/main" id="{CFF3939A-AF30-E6D2-D98C-2DE53E1C0A5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09" name="Group 1022">
          <a:extLst>
            <a:ext uri="{FF2B5EF4-FFF2-40B4-BE49-F238E27FC236}">
              <a16:creationId xmlns:a16="http://schemas.microsoft.com/office/drawing/2014/main" id="{A8FCB139-F8A3-F252-E7E6-F693483100FF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624" name="Group 1023">
            <a:extLst>
              <a:ext uri="{FF2B5EF4-FFF2-40B4-BE49-F238E27FC236}">
                <a16:creationId xmlns:a16="http://schemas.microsoft.com/office/drawing/2014/main" id="{BC15A030-1E0A-CCAB-94EA-2BC2868F0B4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636" name="Rectangle 1024">
              <a:extLst>
                <a:ext uri="{FF2B5EF4-FFF2-40B4-BE49-F238E27FC236}">
                  <a16:creationId xmlns:a16="http://schemas.microsoft.com/office/drawing/2014/main" id="{9937AED3-57A0-575F-BA3E-3E4586AC9E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7" name="Line 1025">
              <a:extLst>
                <a:ext uri="{FF2B5EF4-FFF2-40B4-BE49-F238E27FC236}">
                  <a16:creationId xmlns:a16="http://schemas.microsoft.com/office/drawing/2014/main" id="{ED05DEC4-0285-9AAB-2709-16425DCBDC9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38" name="Line 1026">
              <a:extLst>
                <a:ext uri="{FF2B5EF4-FFF2-40B4-BE49-F238E27FC236}">
                  <a16:creationId xmlns:a16="http://schemas.microsoft.com/office/drawing/2014/main" id="{50E553C1-0695-4656-CA69-F04C48864E8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39" name="Rectangle 1027">
              <a:extLst>
                <a:ext uri="{FF2B5EF4-FFF2-40B4-BE49-F238E27FC236}">
                  <a16:creationId xmlns:a16="http://schemas.microsoft.com/office/drawing/2014/main" id="{7B84486D-BC6F-86A6-1B06-C55AA30B2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0" name="Oval 1028">
              <a:extLst>
                <a:ext uri="{FF2B5EF4-FFF2-40B4-BE49-F238E27FC236}">
                  <a16:creationId xmlns:a16="http://schemas.microsoft.com/office/drawing/2014/main" id="{33DDB143-68D3-2493-94E7-CCFEAE2173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41" name="Oval 1029">
              <a:extLst>
                <a:ext uri="{FF2B5EF4-FFF2-40B4-BE49-F238E27FC236}">
                  <a16:creationId xmlns:a16="http://schemas.microsoft.com/office/drawing/2014/main" id="{BB235346-6413-F1E2-C229-FF6CC43724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42" name="Rectangle 1030">
              <a:extLst>
                <a:ext uri="{FF2B5EF4-FFF2-40B4-BE49-F238E27FC236}">
                  <a16:creationId xmlns:a16="http://schemas.microsoft.com/office/drawing/2014/main" id="{187DBBA3-388B-288B-D7CC-F36830B472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3" name="Rectangle 1031">
              <a:extLst>
                <a:ext uri="{FF2B5EF4-FFF2-40B4-BE49-F238E27FC236}">
                  <a16:creationId xmlns:a16="http://schemas.microsoft.com/office/drawing/2014/main" id="{0E73E82D-DDB7-B270-E400-ED3C633D51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4" name="Rectangle 1032">
              <a:extLst>
                <a:ext uri="{FF2B5EF4-FFF2-40B4-BE49-F238E27FC236}">
                  <a16:creationId xmlns:a16="http://schemas.microsoft.com/office/drawing/2014/main" id="{04DD247F-4110-F3C8-536C-A80E7E0CDD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45" name="Rectangle 1033">
              <a:extLst>
                <a:ext uri="{FF2B5EF4-FFF2-40B4-BE49-F238E27FC236}">
                  <a16:creationId xmlns:a16="http://schemas.microsoft.com/office/drawing/2014/main" id="{02966AF2-06A2-76FF-A7ED-B49F602EBC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625" name="Group 1034">
            <a:extLst>
              <a:ext uri="{FF2B5EF4-FFF2-40B4-BE49-F238E27FC236}">
                <a16:creationId xmlns:a16="http://schemas.microsoft.com/office/drawing/2014/main" id="{0A632D5C-049A-F08E-5F43-59B9CD224C05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626" name="Rectangle 1035">
              <a:extLst>
                <a:ext uri="{FF2B5EF4-FFF2-40B4-BE49-F238E27FC236}">
                  <a16:creationId xmlns:a16="http://schemas.microsoft.com/office/drawing/2014/main" id="{13291E4A-0B09-A04C-9BA1-C6BDB15F158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27" name="Line 1036">
              <a:extLst>
                <a:ext uri="{FF2B5EF4-FFF2-40B4-BE49-F238E27FC236}">
                  <a16:creationId xmlns:a16="http://schemas.microsoft.com/office/drawing/2014/main" id="{B198413A-7F24-ECB1-389B-11E6EE44CD6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28" name="Line 1037">
              <a:extLst>
                <a:ext uri="{FF2B5EF4-FFF2-40B4-BE49-F238E27FC236}">
                  <a16:creationId xmlns:a16="http://schemas.microsoft.com/office/drawing/2014/main" id="{4FA1EE62-7A54-FDFE-45CB-D5752EFE1F0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29" name="Rectangle 1038">
              <a:extLst>
                <a:ext uri="{FF2B5EF4-FFF2-40B4-BE49-F238E27FC236}">
                  <a16:creationId xmlns:a16="http://schemas.microsoft.com/office/drawing/2014/main" id="{98783120-F2BC-AA08-2B27-F5F5F06C4D2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0" name="Oval 1039">
              <a:extLst>
                <a:ext uri="{FF2B5EF4-FFF2-40B4-BE49-F238E27FC236}">
                  <a16:creationId xmlns:a16="http://schemas.microsoft.com/office/drawing/2014/main" id="{CA37B609-8D20-1E28-1145-6562FFD484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31" name="Oval 1040">
              <a:extLst>
                <a:ext uri="{FF2B5EF4-FFF2-40B4-BE49-F238E27FC236}">
                  <a16:creationId xmlns:a16="http://schemas.microsoft.com/office/drawing/2014/main" id="{931E3877-8DBD-E941-5191-7765CA4BB7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32" name="Rectangle 1041">
              <a:extLst>
                <a:ext uri="{FF2B5EF4-FFF2-40B4-BE49-F238E27FC236}">
                  <a16:creationId xmlns:a16="http://schemas.microsoft.com/office/drawing/2014/main" id="{11C6137A-9126-2E76-B9B2-ADBE7CF47AA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3" name="Rectangle 1042">
              <a:extLst>
                <a:ext uri="{FF2B5EF4-FFF2-40B4-BE49-F238E27FC236}">
                  <a16:creationId xmlns:a16="http://schemas.microsoft.com/office/drawing/2014/main" id="{191F8DBC-887B-FE69-2293-992049019C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4" name="Rectangle 1043">
              <a:extLst>
                <a:ext uri="{FF2B5EF4-FFF2-40B4-BE49-F238E27FC236}">
                  <a16:creationId xmlns:a16="http://schemas.microsoft.com/office/drawing/2014/main" id="{2C47468B-DD6F-6264-71FF-E47C5D5437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35" name="Rectangle 1044">
              <a:extLst>
                <a:ext uri="{FF2B5EF4-FFF2-40B4-BE49-F238E27FC236}">
                  <a16:creationId xmlns:a16="http://schemas.microsoft.com/office/drawing/2014/main" id="{BECA14CC-CED5-62CF-104C-4EDD0AD29B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10" name="Group 1045">
          <a:extLst>
            <a:ext uri="{FF2B5EF4-FFF2-40B4-BE49-F238E27FC236}">
              <a16:creationId xmlns:a16="http://schemas.microsoft.com/office/drawing/2014/main" id="{3389B791-4F2E-823B-EBA7-8C21166340D5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602" name="Group 1046">
            <a:extLst>
              <a:ext uri="{FF2B5EF4-FFF2-40B4-BE49-F238E27FC236}">
                <a16:creationId xmlns:a16="http://schemas.microsoft.com/office/drawing/2014/main" id="{8D28236D-DB25-8A47-1957-6EEA1CBD9BFF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614" name="Rectangle 1047">
              <a:extLst>
                <a:ext uri="{FF2B5EF4-FFF2-40B4-BE49-F238E27FC236}">
                  <a16:creationId xmlns:a16="http://schemas.microsoft.com/office/drawing/2014/main" id="{83703D09-25E4-1FEC-DA40-8019C9D7C8A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5" name="Line 1048">
              <a:extLst>
                <a:ext uri="{FF2B5EF4-FFF2-40B4-BE49-F238E27FC236}">
                  <a16:creationId xmlns:a16="http://schemas.microsoft.com/office/drawing/2014/main" id="{A66B1B71-4C62-35B4-4EC0-8E01E88A34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16" name="Line 1049">
              <a:extLst>
                <a:ext uri="{FF2B5EF4-FFF2-40B4-BE49-F238E27FC236}">
                  <a16:creationId xmlns:a16="http://schemas.microsoft.com/office/drawing/2014/main" id="{CAED9B0C-D951-C662-F460-90A055BD44A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17" name="Rectangle 1050">
              <a:extLst>
                <a:ext uri="{FF2B5EF4-FFF2-40B4-BE49-F238E27FC236}">
                  <a16:creationId xmlns:a16="http://schemas.microsoft.com/office/drawing/2014/main" id="{66AE637A-3FFD-B555-D412-3A5EF884AD6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8" name="Oval 1051">
              <a:extLst>
                <a:ext uri="{FF2B5EF4-FFF2-40B4-BE49-F238E27FC236}">
                  <a16:creationId xmlns:a16="http://schemas.microsoft.com/office/drawing/2014/main" id="{192363A5-591D-BE63-A67F-6B27514B24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19" name="Oval 1052">
              <a:extLst>
                <a:ext uri="{FF2B5EF4-FFF2-40B4-BE49-F238E27FC236}">
                  <a16:creationId xmlns:a16="http://schemas.microsoft.com/office/drawing/2014/main" id="{A0B002BF-03E8-3D69-53CB-87C138AB4A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20" name="Rectangle 1053">
              <a:extLst>
                <a:ext uri="{FF2B5EF4-FFF2-40B4-BE49-F238E27FC236}">
                  <a16:creationId xmlns:a16="http://schemas.microsoft.com/office/drawing/2014/main" id="{C61F7A6A-7713-21F1-19D0-98E04FCDB9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21" name="Rectangle 1054">
              <a:extLst>
                <a:ext uri="{FF2B5EF4-FFF2-40B4-BE49-F238E27FC236}">
                  <a16:creationId xmlns:a16="http://schemas.microsoft.com/office/drawing/2014/main" id="{8FD796F1-7099-471B-5519-986D9B7573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22" name="Rectangle 1055">
              <a:extLst>
                <a:ext uri="{FF2B5EF4-FFF2-40B4-BE49-F238E27FC236}">
                  <a16:creationId xmlns:a16="http://schemas.microsoft.com/office/drawing/2014/main" id="{E3FDAEF2-1DC6-6E41-0F0E-69713428B0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23" name="Rectangle 1056">
              <a:extLst>
                <a:ext uri="{FF2B5EF4-FFF2-40B4-BE49-F238E27FC236}">
                  <a16:creationId xmlns:a16="http://schemas.microsoft.com/office/drawing/2014/main" id="{D4AB3EB4-FE6D-260D-6B26-B92D3D16C6B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603" name="Group 1057">
            <a:extLst>
              <a:ext uri="{FF2B5EF4-FFF2-40B4-BE49-F238E27FC236}">
                <a16:creationId xmlns:a16="http://schemas.microsoft.com/office/drawing/2014/main" id="{1BE6332C-307B-B00C-34B7-C6EE0CE6F400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604" name="Rectangle 1058">
              <a:extLst>
                <a:ext uri="{FF2B5EF4-FFF2-40B4-BE49-F238E27FC236}">
                  <a16:creationId xmlns:a16="http://schemas.microsoft.com/office/drawing/2014/main" id="{A4754834-4D9B-397B-2DE1-4A2A867BFCC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05" name="Line 1059">
              <a:extLst>
                <a:ext uri="{FF2B5EF4-FFF2-40B4-BE49-F238E27FC236}">
                  <a16:creationId xmlns:a16="http://schemas.microsoft.com/office/drawing/2014/main" id="{C539ED61-F149-BB83-6438-858B9101DB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06" name="Line 1060">
              <a:extLst>
                <a:ext uri="{FF2B5EF4-FFF2-40B4-BE49-F238E27FC236}">
                  <a16:creationId xmlns:a16="http://schemas.microsoft.com/office/drawing/2014/main" id="{015825CD-00AA-C24C-258D-B73AEC6E765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607" name="Rectangle 1061">
              <a:extLst>
                <a:ext uri="{FF2B5EF4-FFF2-40B4-BE49-F238E27FC236}">
                  <a16:creationId xmlns:a16="http://schemas.microsoft.com/office/drawing/2014/main" id="{F9CCE7FC-125B-A605-CF4A-5ED0AE050F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08" name="Oval 1062">
              <a:extLst>
                <a:ext uri="{FF2B5EF4-FFF2-40B4-BE49-F238E27FC236}">
                  <a16:creationId xmlns:a16="http://schemas.microsoft.com/office/drawing/2014/main" id="{1741B481-F2EC-4594-B5B5-DE489E2F435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09" name="Oval 1063">
              <a:extLst>
                <a:ext uri="{FF2B5EF4-FFF2-40B4-BE49-F238E27FC236}">
                  <a16:creationId xmlns:a16="http://schemas.microsoft.com/office/drawing/2014/main" id="{E30D115E-3879-A772-4AEF-4F43F61A5D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610" name="Rectangle 1064">
              <a:extLst>
                <a:ext uri="{FF2B5EF4-FFF2-40B4-BE49-F238E27FC236}">
                  <a16:creationId xmlns:a16="http://schemas.microsoft.com/office/drawing/2014/main" id="{46ACCCF6-0AF6-F223-DC6D-091EFA3C96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1" name="Rectangle 1065">
              <a:extLst>
                <a:ext uri="{FF2B5EF4-FFF2-40B4-BE49-F238E27FC236}">
                  <a16:creationId xmlns:a16="http://schemas.microsoft.com/office/drawing/2014/main" id="{E2DE90D9-FAEE-54DA-5CCA-1CF0EDFAA9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2" name="Rectangle 1066">
              <a:extLst>
                <a:ext uri="{FF2B5EF4-FFF2-40B4-BE49-F238E27FC236}">
                  <a16:creationId xmlns:a16="http://schemas.microsoft.com/office/drawing/2014/main" id="{892BB8BC-CB70-6070-8B69-1F17962E1AD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13" name="Rectangle 1067">
              <a:extLst>
                <a:ext uri="{FF2B5EF4-FFF2-40B4-BE49-F238E27FC236}">
                  <a16:creationId xmlns:a16="http://schemas.microsoft.com/office/drawing/2014/main" id="{F4E24A38-31E6-674E-0B17-FA2136A405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2</xdr:row>
      <xdr:rowOff>541020</xdr:rowOff>
    </xdr:to>
    <xdr:grpSp>
      <xdr:nvGrpSpPr>
        <xdr:cNvPr id="529111" name="Group 1068">
          <a:extLst>
            <a:ext uri="{FF2B5EF4-FFF2-40B4-BE49-F238E27FC236}">
              <a16:creationId xmlns:a16="http://schemas.microsoft.com/office/drawing/2014/main" id="{EE7762DE-1A82-CC06-F9DB-7BB133951C02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381000"/>
          <a:chOff x="335" y="195"/>
          <a:chExt cx="352" cy="282"/>
        </a:xfrm>
      </xdr:grpSpPr>
      <xdr:grpSp>
        <xdr:nvGrpSpPr>
          <xdr:cNvPr id="533580" name="Group 1069">
            <a:extLst>
              <a:ext uri="{FF2B5EF4-FFF2-40B4-BE49-F238E27FC236}">
                <a16:creationId xmlns:a16="http://schemas.microsoft.com/office/drawing/2014/main" id="{2D2D195E-A55E-C656-6771-124E2AEDD99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3592" name="Rectangle 1070">
              <a:extLst>
                <a:ext uri="{FF2B5EF4-FFF2-40B4-BE49-F238E27FC236}">
                  <a16:creationId xmlns:a16="http://schemas.microsoft.com/office/drawing/2014/main" id="{2BBCE566-EB80-4A81-E199-5292F0B6CA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3" name="Line 1071">
              <a:extLst>
                <a:ext uri="{FF2B5EF4-FFF2-40B4-BE49-F238E27FC236}">
                  <a16:creationId xmlns:a16="http://schemas.microsoft.com/office/drawing/2014/main" id="{C3B91D54-880E-59A1-D30E-C5DD163D658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94" name="Line 1072">
              <a:extLst>
                <a:ext uri="{FF2B5EF4-FFF2-40B4-BE49-F238E27FC236}">
                  <a16:creationId xmlns:a16="http://schemas.microsoft.com/office/drawing/2014/main" id="{CA035EF0-9A3C-7218-74C5-AB4BAB83069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95" name="Rectangle 1073">
              <a:extLst>
                <a:ext uri="{FF2B5EF4-FFF2-40B4-BE49-F238E27FC236}">
                  <a16:creationId xmlns:a16="http://schemas.microsoft.com/office/drawing/2014/main" id="{F6AFD8B8-B61B-B361-1C5D-81ED035182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6" name="Oval 1074">
              <a:extLst>
                <a:ext uri="{FF2B5EF4-FFF2-40B4-BE49-F238E27FC236}">
                  <a16:creationId xmlns:a16="http://schemas.microsoft.com/office/drawing/2014/main" id="{8217C0D5-839C-FCEE-812E-10F7C76BBC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97" name="Oval 1075">
              <a:extLst>
                <a:ext uri="{FF2B5EF4-FFF2-40B4-BE49-F238E27FC236}">
                  <a16:creationId xmlns:a16="http://schemas.microsoft.com/office/drawing/2014/main" id="{951CEABA-E763-B7F3-C7B8-19C51EB704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98" name="Rectangle 1076">
              <a:extLst>
                <a:ext uri="{FF2B5EF4-FFF2-40B4-BE49-F238E27FC236}">
                  <a16:creationId xmlns:a16="http://schemas.microsoft.com/office/drawing/2014/main" id="{1313673F-A173-F2EB-EC8D-7F8DDD3489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9" name="Rectangle 1077">
              <a:extLst>
                <a:ext uri="{FF2B5EF4-FFF2-40B4-BE49-F238E27FC236}">
                  <a16:creationId xmlns:a16="http://schemas.microsoft.com/office/drawing/2014/main" id="{FDE7C0D9-CAA5-31AD-FC0D-BA74A234E9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00" name="Rectangle 1078">
              <a:extLst>
                <a:ext uri="{FF2B5EF4-FFF2-40B4-BE49-F238E27FC236}">
                  <a16:creationId xmlns:a16="http://schemas.microsoft.com/office/drawing/2014/main" id="{F91FBE0F-F964-6B62-0421-AA514CE655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601" name="Rectangle 1079">
              <a:extLst>
                <a:ext uri="{FF2B5EF4-FFF2-40B4-BE49-F238E27FC236}">
                  <a16:creationId xmlns:a16="http://schemas.microsoft.com/office/drawing/2014/main" id="{38CB6A2F-04E5-6033-161B-AC72A11ECEB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3581" name="Group 1080">
            <a:extLst>
              <a:ext uri="{FF2B5EF4-FFF2-40B4-BE49-F238E27FC236}">
                <a16:creationId xmlns:a16="http://schemas.microsoft.com/office/drawing/2014/main" id="{786698E9-C1CF-52E3-ECB9-D7C441C32D2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3582" name="Rectangle 1081">
              <a:extLst>
                <a:ext uri="{FF2B5EF4-FFF2-40B4-BE49-F238E27FC236}">
                  <a16:creationId xmlns:a16="http://schemas.microsoft.com/office/drawing/2014/main" id="{FF55B01B-F404-EC6B-9963-4ECB1A1254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83" name="Line 1082">
              <a:extLst>
                <a:ext uri="{FF2B5EF4-FFF2-40B4-BE49-F238E27FC236}">
                  <a16:creationId xmlns:a16="http://schemas.microsoft.com/office/drawing/2014/main" id="{4465A531-F60C-1BA9-753B-BC7C98D0370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84" name="Line 1083">
              <a:extLst>
                <a:ext uri="{FF2B5EF4-FFF2-40B4-BE49-F238E27FC236}">
                  <a16:creationId xmlns:a16="http://schemas.microsoft.com/office/drawing/2014/main" id="{5AB05A4A-886E-E7F1-1171-105837A0949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85" name="Rectangle 1084">
              <a:extLst>
                <a:ext uri="{FF2B5EF4-FFF2-40B4-BE49-F238E27FC236}">
                  <a16:creationId xmlns:a16="http://schemas.microsoft.com/office/drawing/2014/main" id="{10AD7186-EAAB-7594-9DD4-219034085A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86" name="Oval 1085">
              <a:extLst>
                <a:ext uri="{FF2B5EF4-FFF2-40B4-BE49-F238E27FC236}">
                  <a16:creationId xmlns:a16="http://schemas.microsoft.com/office/drawing/2014/main" id="{CBF01F92-D38C-63AC-462E-E08885BC9D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87" name="Oval 1086">
              <a:extLst>
                <a:ext uri="{FF2B5EF4-FFF2-40B4-BE49-F238E27FC236}">
                  <a16:creationId xmlns:a16="http://schemas.microsoft.com/office/drawing/2014/main" id="{CE376F06-4DB3-DE42-C9C5-6FDB5B232D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88" name="Rectangle 1087">
              <a:extLst>
                <a:ext uri="{FF2B5EF4-FFF2-40B4-BE49-F238E27FC236}">
                  <a16:creationId xmlns:a16="http://schemas.microsoft.com/office/drawing/2014/main" id="{06ADC728-C7B8-CCAE-D5CD-5845D5E70A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89" name="Rectangle 1088">
              <a:extLst>
                <a:ext uri="{FF2B5EF4-FFF2-40B4-BE49-F238E27FC236}">
                  <a16:creationId xmlns:a16="http://schemas.microsoft.com/office/drawing/2014/main" id="{01A4D03A-8242-71B5-1A1E-C5CC1C8EE7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0" name="Rectangle 1089">
              <a:extLst>
                <a:ext uri="{FF2B5EF4-FFF2-40B4-BE49-F238E27FC236}">
                  <a16:creationId xmlns:a16="http://schemas.microsoft.com/office/drawing/2014/main" id="{217EE947-C65B-75DA-C809-357C65EFD2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91" name="Rectangle 1090">
              <a:extLst>
                <a:ext uri="{FF2B5EF4-FFF2-40B4-BE49-F238E27FC236}">
                  <a16:creationId xmlns:a16="http://schemas.microsoft.com/office/drawing/2014/main" id="{BB2694FD-AB4F-FA95-2645-7BEC4E9E43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2" name="Group 1091">
          <a:extLst>
            <a:ext uri="{FF2B5EF4-FFF2-40B4-BE49-F238E27FC236}">
              <a16:creationId xmlns:a16="http://schemas.microsoft.com/office/drawing/2014/main" id="{DA82595F-E5E2-CAF5-E4F5-5A7CF6856C87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557" name="Rectangle 1092">
            <a:extLst>
              <a:ext uri="{FF2B5EF4-FFF2-40B4-BE49-F238E27FC236}">
                <a16:creationId xmlns:a16="http://schemas.microsoft.com/office/drawing/2014/main" id="{9739E03D-D365-BD99-4413-BC1204F55C1A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58" name="Line 1093">
            <a:extLst>
              <a:ext uri="{FF2B5EF4-FFF2-40B4-BE49-F238E27FC236}">
                <a16:creationId xmlns:a16="http://schemas.microsoft.com/office/drawing/2014/main" id="{5ED38549-1A02-BD96-2BF6-C6EE82E91EF7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59" name="Line 1094">
            <a:extLst>
              <a:ext uri="{FF2B5EF4-FFF2-40B4-BE49-F238E27FC236}">
                <a16:creationId xmlns:a16="http://schemas.microsoft.com/office/drawing/2014/main" id="{A236365B-2FF1-4CC4-FEA0-7CF17EA04A9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60" name="Rectangle 1095">
            <a:extLst>
              <a:ext uri="{FF2B5EF4-FFF2-40B4-BE49-F238E27FC236}">
                <a16:creationId xmlns:a16="http://schemas.microsoft.com/office/drawing/2014/main" id="{B08E7663-4EF4-3735-8301-EDAA5578BBF8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1" name="Oval 1096">
            <a:extLst>
              <a:ext uri="{FF2B5EF4-FFF2-40B4-BE49-F238E27FC236}">
                <a16:creationId xmlns:a16="http://schemas.microsoft.com/office/drawing/2014/main" id="{94D727CE-3588-0764-54D3-83F11A210E0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62" name="Oval 1097">
            <a:extLst>
              <a:ext uri="{FF2B5EF4-FFF2-40B4-BE49-F238E27FC236}">
                <a16:creationId xmlns:a16="http://schemas.microsoft.com/office/drawing/2014/main" id="{52BB4737-1A2C-D6AF-4A70-7F621A2652FE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63" name="Rectangle 1098">
            <a:extLst>
              <a:ext uri="{FF2B5EF4-FFF2-40B4-BE49-F238E27FC236}">
                <a16:creationId xmlns:a16="http://schemas.microsoft.com/office/drawing/2014/main" id="{E71AB62A-C4D8-4DD0-30DB-065178D0F8E1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4" name="Rectangle 1099">
            <a:extLst>
              <a:ext uri="{FF2B5EF4-FFF2-40B4-BE49-F238E27FC236}">
                <a16:creationId xmlns:a16="http://schemas.microsoft.com/office/drawing/2014/main" id="{AA4666A2-6339-3350-C604-44F847CCFE40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5" name="Rectangle 1100">
            <a:extLst>
              <a:ext uri="{FF2B5EF4-FFF2-40B4-BE49-F238E27FC236}">
                <a16:creationId xmlns:a16="http://schemas.microsoft.com/office/drawing/2014/main" id="{25B75E33-9321-0128-DEDC-7F3AF27938F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6" name="Rectangle 1101">
            <a:extLst>
              <a:ext uri="{FF2B5EF4-FFF2-40B4-BE49-F238E27FC236}">
                <a16:creationId xmlns:a16="http://schemas.microsoft.com/office/drawing/2014/main" id="{E0051B72-1DD4-EA7E-AF7B-DFB8D1F5E28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567" name="Group 1102">
            <a:extLst>
              <a:ext uri="{FF2B5EF4-FFF2-40B4-BE49-F238E27FC236}">
                <a16:creationId xmlns:a16="http://schemas.microsoft.com/office/drawing/2014/main" id="{A57E4292-C998-7737-B796-DAEF083D9A01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570" name="Rectangle 1103">
              <a:extLst>
                <a:ext uri="{FF2B5EF4-FFF2-40B4-BE49-F238E27FC236}">
                  <a16:creationId xmlns:a16="http://schemas.microsoft.com/office/drawing/2014/main" id="{58E6C42B-E1FC-07BE-35CE-E0A8705109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1" name="Line 1104">
              <a:extLst>
                <a:ext uri="{FF2B5EF4-FFF2-40B4-BE49-F238E27FC236}">
                  <a16:creationId xmlns:a16="http://schemas.microsoft.com/office/drawing/2014/main" id="{E76E3657-EC29-E9B8-1757-52595C6E07B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72" name="Line 1105">
              <a:extLst>
                <a:ext uri="{FF2B5EF4-FFF2-40B4-BE49-F238E27FC236}">
                  <a16:creationId xmlns:a16="http://schemas.microsoft.com/office/drawing/2014/main" id="{E1F4E3C5-458C-2165-C461-B0C34E9CBAD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73" name="Rectangle 1106">
              <a:extLst>
                <a:ext uri="{FF2B5EF4-FFF2-40B4-BE49-F238E27FC236}">
                  <a16:creationId xmlns:a16="http://schemas.microsoft.com/office/drawing/2014/main" id="{B84C43A9-3345-FF9E-3A6C-A62C6EFE27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4" name="Oval 1107">
              <a:extLst>
                <a:ext uri="{FF2B5EF4-FFF2-40B4-BE49-F238E27FC236}">
                  <a16:creationId xmlns:a16="http://schemas.microsoft.com/office/drawing/2014/main" id="{761B319A-36BE-F271-CEE1-2DD836182DA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75" name="Oval 1108">
              <a:extLst>
                <a:ext uri="{FF2B5EF4-FFF2-40B4-BE49-F238E27FC236}">
                  <a16:creationId xmlns:a16="http://schemas.microsoft.com/office/drawing/2014/main" id="{1D5FF048-DA7F-D9B1-C37A-E904CFBBEB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76" name="Rectangle 1109">
              <a:extLst>
                <a:ext uri="{FF2B5EF4-FFF2-40B4-BE49-F238E27FC236}">
                  <a16:creationId xmlns:a16="http://schemas.microsoft.com/office/drawing/2014/main" id="{F6C08522-D13E-229E-00AC-5C6DB059D0C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7" name="Rectangle 1110">
              <a:extLst>
                <a:ext uri="{FF2B5EF4-FFF2-40B4-BE49-F238E27FC236}">
                  <a16:creationId xmlns:a16="http://schemas.microsoft.com/office/drawing/2014/main" id="{6BFEC9D6-9B38-CA8D-7BB5-C3AA2345D23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8" name="Rectangle 1111">
              <a:extLst>
                <a:ext uri="{FF2B5EF4-FFF2-40B4-BE49-F238E27FC236}">
                  <a16:creationId xmlns:a16="http://schemas.microsoft.com/office/drawing/2014/main" id="{B359D729-8CD0-DCC8-B507-69DD800157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79" name="Rectangle 1112">
              <a:extLst>
                <a:ext uri="{FF2B5EF4-FFF2-40B4-BE49-F238E27FC236}">
                  <a16:creationId xmlns:a16="http://schemas.microsoft.com/office/drawing/2014/main" id="{7BDB1322-07D4-0CA8-0278-0D83A5DC750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568" name="Rectangle 1113">
            <a:extLst>
              <a:ext uri="{FF2B5EF4-FFF2-40B4-BE49-F238E27FC236}">
                <a16:creationId xmlns:a16="http://schemas.microsoft.com/office/drawing/2014/main" id="{52003D9A-EA85-DEE8-3C80-824824667197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69" name="Rectangle 1114">
            <a:extLst>
              <a:ext uri="{FF2B5EF4-FFF2-40B4-BE49-F238E27FC236}">
                <a16:creationId xmlns:a16="http://schemas.microsoft.com/office/drawing/2014/main" id="{0CB4F424-813F-A121-C5C3-E979863A83B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3" name="Group 1115">
          <a:extLst>
            <a:ext uri="{FF2B5EF4-FFF2-40B4-BE49-F238E27FC236}">
              <a16:creationId xmlns:a16="http://schemas.microsoft.com/office/drawing/2014/main" id="{95E86D66-295C-4631-3B96-A2CCDEB53CF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534" name="Rectangle 1116">
            <a:extLst>
              <a:ext uri="{FF2B5EF4-FFF2-40B4-BE49-F238E27FC236}">
                <a16:creationId xmlns:a16="http://schemas.microsoft.com/office/drawing/2014/main" id="{19D31099-0858-DB9D-975F-3773D916F19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35" name="Line 1117">
            <a:extLst>
              <a:ext uri="{FF2B5EF4-FFF2-40B4-BE49-F238E27FC236}">
                <a16:creationId xmlns:a16="http://schemas.microsoft.com/office/drawing/2014/main" id="{56E2D374-333B-617E-D8AB-95598B2068BB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36" name="Line 1118">
            <a:extLst>
              <a:ext uri="{FF2B5EF4-FFF2-40B4-BE49-F238E27FC236}">
                <a16:creationId xmlns:a16="http://schemas.microsoft.com/office/drawing/2014/main" id="{C8B251A9-BC1C-03EF-2E0C-A5FC936F5D9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37" name="Rectangle 1119">
            <a:extLst>
              <a:ext uri="{FF2B5EF4-FFF2-40B4-BE49-F238E27FC236}">
                <a16:creationId xmlns:a16="http://schemas.microsoft.com/office/drawing/2014/main" id="{DE966731-9EE5-71EC-A9E6-660716AD240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38" name="Oval 1120">
            <a:extLst>
              <a:ext uri="{FF2B5EF4-FFF2-40B4-BE49-F238E27FC236}">
                <a16:creationId xmlns:a16="http://schemas.microsoft.com/office/drawing/2014/main" id="{D942DFDA-01A3-212A-DCA0-86769C45215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39" name="Oval 1121">
            <a:extLst>
              <a:ext uri="{FF2B5EF4-FFF2-40B4-BE49-F238E27FC236}">
                <a16:creationId xmlns:a16="http://schemas.microsoft.com/office/drawing/2014/main" id="{AFBF35F8-0D75-09E7-1D71-6A5AC326FC9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40" name="Rectangle 1122">
            <a:extLst>
              <a:ext uri="{FF2B5EF4-FFF2-40B4-BE49-F238E27FC236}">
                <a16:creationId xmlns:a16="http://schemas.microsoft.com/office/drawing/2014/main" id="{8CBC4BE3-DEC2-C1C7-5982-F20FE9E6C1DE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41" name="Rectangle 1123">
            <a:extLst>
              <a:ext uri="{FF2B5EF4-FFF2-40B4-BE49-F238E27FC236}">
                <a16:creationId xmlns:a16="http://schemas.microsoft.com/office/drawing/2014/main" id="{156BBD05-AC61-32C2-7511-866ABEA4D3F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42" name="Rectangle 1124">
            <a:extLst>
              <a:ext uri="{FF2B5EF4-FFF2-40B4-BE49-F238E27FC236}">
                <a16:creationId xmlns:a16="http://schemas.microsoft.com/office/drawing/2014/main" id="{6E8E4056-80C4-BB4A-552A-1B537EAD572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43" name="Rectangle 1125">
            <a:extLst>
              <a:ext uri="{FF2B5EF4-FFF2-40B4-BE49-F238E27FC236}">
                <a16:creationId xmlns:a16="http://schemas.microsoft.com/office/drawing/2014/main" id="{C6B7BAEA-F5B7-326F-F9DD-8D24910F69B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544" name="Group 1126">
            <a:extLst>
              <a:ext uri="{FF2B5EF4-FFF2-40B4-BE49-F238E27FC236}">
                <a16:creationId xmlns:a16="http://schemas.microsoft.com/office/drawing/2014/main" id="{F0C6C393-C1A5-7FCF-4BE7-B31CCA59EF79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547" name="Rectangle 1127">
              <a:extLst>
                <a:ext uri="{FF2B5EF4-FFF2-40B4-BE49-F238E27FC236}">
                  <a16:creationId xmlns:a16="http://schemas.microsoft.com/office/drawing/2014/main" id="{41BC80AC-95C6-48EC-DB03-1B00D49E84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48" name="Line 1128">
              <a:extLst>
                <a:ext uri="{FF2B5EF4-FFF2-40B4-BE49-F238E27FC236}">
                  <a16:creationId xmlns:a16="http://schemas.microsoft.com/office/drawing/2014/main" id="{0439619A-A8FC-FC60-E2C1-9DC65F526E3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49" name="Line 1129">
              <a:extLst>
                <a:ext uri="{FF2B5EF4-FFF2-40B4-BE49-F238E27FC236}">
                  <a16:creationId xmlns:a16="http://schemas.microsoft.com/office/drawing/2014/main" id="{6DD8F935-47E5-96DF-4D31-91E94BEB233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50" name="Rectangle 1130">
              <a:extLst>
                <a:ext uri="{FF2B5EF4-FFF2-40B4-BE49-F238E27FC236}">
                  <a16:creationId xmlns:a16="http://schemas.microsoft.com/office/drawing/2014/main" id="{227D807E-D5F4-E695-AA20-6C657E03C0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51" name="Oval 1131">
              <a:extLst>
                <a:ext uri="{FF2B5EF4-FFF2-40B4-BE49-F238E27FC236}">
                  <a16:creationId xmlns:a16="http://schemas.microsoft.com/office/drawing/2014/main" id="{784A084E-739F-F767-DC25-772B32BF58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52" name="Oval 1132">
              <a:extLst>
                <a:ext uri="{FF2B5EF4-FFF2-40B4-BE49-F238E27FC236}">
                  <a16:creationId xmlns:a16="http://schemas.microsoft.com/office/drawing/2014/main" id="{293098A8-6C55-B93D-23B2-8F9B7082F0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53" name="Rectangle 1133">
              <a:extLst>
                <a:ext uri="{FF2B5EF4-FFF2-40B4-BE49-F238E27FC236}">
                  <a16:creationId xmlns:a16="http://schemas.microsoft.com/office/drawing/2014/main" id="{98D5D469-A879-D233-A9D4-447899D359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54" name="Rectangle 1134">
              <a:extLst>
                <a:ext uri="{FF2B5EF4-FFF2-40B4-BE49-F238E27FC236}">
                  <a16:creationId xmlns:a16="http://schemas.microsoft.com/office/drawing/2014/main" id="{BB7965FC-4D45-4CF0-0CC7-7235C3688FC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55" name="Rectangle 1135">
              <a:extLst>
                <a:ext uri="{FF2B5EF4-FFF2-40B4-BE49-F238E27FC236}">
                  <a16:creationId xmlns:a16="http://schemas.microsoft.com/office/drawing/2014/main" id="{008AB3A2-A189-27F2-91B3-27FFA7C0206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56" name="Rectangle 1136">
              <a:extLst>
                <a:ext uri="{FF2B5EF4-FFF2-40B4-BE49-F238E27FC236}">
                  <a16:creationId xmlns:a16="http://schemas.microsoft.com/office/drawing/2014/main" id="{BB35B713-422B-AEB5-938D-187D9714226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545" name="Rectangle 1137">
            <a:extLst>
              <a:ext uri="{FF2B5EF4-FFF2-40B4-BE49-F238E27FC236}">
                <a16:creationId xmlns:a16="http://schemas.microsoft.com/office/drawing/2014/main" id="{86354746-06DE-2224-8AF3-302AB4D8B75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46" name="Rectangle 1138">
            <a:extLst>
              <a:ext uri="{FF2B5EF4-FFF2-40B4-BE49-F238E27FC236}">
                <a16:creationId xmlns:a16="http://schemas.microsoft.com/office/drawing/2014/main" id="{32F8128D-FE38-E41A-2F3E-1C7843C4BAD4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4" name="Group 1139">
          <a:extLst>
            <a:ext uri="{FF2B5EF4-FFF2-40B4-BE49-F238E27FC236}">
              <a16:creationId xmlns:a16="http://schemas.microsoft.com/office/drawing/2014/main" id="{B3AB26A2-E795-11D7-4269-9D6A0D945A2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33511" name="Rectangle 1140">
            <a:extLst>
              <a:ext uri="{FF2B5EF4-FFF2-40B4-BE49-F238E27FC236}">
                <a16:creationId xmlns:a16="http://schemas.microsoft.com/office/drawing/2014/main" id="{92984CD0-601A-FAFB-12E6-9EB847E982E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12" name="Line 1141">
            <a:extLst>
              <a:ext uri="{FF2B5EF4-FFF2-40B4-BE49-F238E27FC236}">
                <a16:creationId xmlns:a16="http://schemas.microsoft.com/office/drawing/2014/main" id="{08953324-259E-D3A8-4941-5C02CC231A0E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13" name="Line 1142">
            <a:extLst>
              <a:ext uri="{FF2B5EF4-FFF2-40B4-BE49-F238E27FC236}">
                <a16:creationId xmlns:a16="http://schemas.microsoft.com/office/drawing/2014/main" id="{56BEAA8F-9F5D-5770-48B0-07F80CA10CC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3514" name="Rectangle 1143">
            <a:extLst>
              <a:ext uri="{FF2B5EF4-FFF2-40B4-BE49-F238E27FC236}">
                <a16:creationId xmlns:a16="http://schemas.microsoft.com/office/drawing/2014/main" id="{23A1B4B6-754B-E6A0-BF70-74C497DB89E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15" name="Oval 1144">
            <a:extLst>
              <a:ext uri="{FF2B5EF4-FFF2-40B4-BE49-F238E27FC236}">
                <a16:creationId xmlns:a16="http://schemas.microsoft.com/office/drawing/2014/main" id="{3EC45143-ECA2-714F-A0BD-241D7FECF2EE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16" name="Oval 1145">
            <a:extLst>
              <a:ext uri="{FF2B5EF4-FFF2-40B4-BE49-F238E27FC236}">
                <a16:creationId xmlns:a16="http://schemas.microsoft.com/office/drawing/2014/main" id="{9C88F5BF-B8B6-57E8-E754-0D104530BE35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3517" name="Rectangle 1146">
            <a:extLst>
              <a:ext uri="{FF2B5EF4-FFF2-40B4-BE49-F238E27FC236}">
                <a16:creationId xmlns:a16="http://schemas.microsoft.com/office/drawing/2014/main" id="{C7D61627-F6F4-0ED4-E62F-B37D4A7255D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18" name="Rectangle 1147">
            <a:extLst>
              <a:ext uri="{FF2B5EF4-FFF2-40B4-BE49-F238E27FC236}">
                <a16:creationId xmlns:a16="http://schemas.microsoft.com/office/drawing/2014/main" id="{213AD67B-F26F-BDF9-A7CF-6C9533C180CE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19" name="Rectangle 1148">
            <a:extLst>
              <a:ext uri="{FF2B5EF4-FFF2-40B4-BE49-F238E27FC236}">
                <a16:creationId xmlns:a16="http://schemas.microsoft.com/office/drawing/2014/main" id="{39D11F2D-54B2-496B-F59B-42A8F04318B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20" name="Rectangle 1149">
            <a:extLst>
              <a:ext uri="{FF2B5EF4-FFF2-40B4-BE49-F238E27FC236}">
                <a16:creationId xmlns:a16="http://schemas.microsoft.com/office/drawing/2014/main" id="{5B8409A7-037F-CA97-4FDA-1D2BEE01203B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3521" name="Group 1150">
            <a:extLst>
              <a:ext uri="{FF2B5EF4-FFF2-40B4-BE49-F238E27FC236}">
                <a16:creationId xmlns:a16="http://schemas.microsoft.com/office/drawing/2014/main" id="{2517E5DA-AD8B-8F0B-B063-6AC550DC20F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3524" name="Rectangle 1151">
              <a:extLst>
                <a:ext uri="{FF2B5EF4-FFF2-40B4-BE49-F238E27FC236}">
                  <a16:creationId xmlns:a16="http://schemas.microsoft.com/office/drawing/2014/main" id="{3E9142AE-B316-FE40-502D-FFC45763C40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25" name="Line 1152">
              <a:extLst>
                <a:ext uri="{FF2B5EF4-FFF2-40B4-BE49-F238E27FC236}">
                  <a16:creationId xmlns:a16="http://schemas.microsoft.com/office/drawing/2014/main" id="{B547E9D5-0C4E-3CDA-BDBD-ADECC8D158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26" name="Line 1153">
              <a:extLst>
                <a:ext uri="{FF2B5EF4-FFF2-40B4-BE49-F238E27FC236}">
                  <a16:creationId xmlns:a16="http://schemas.microsoft.com/office/drawing/2014/main" id="{26982C0F-27FA-6FFE-FA6E-5676CB9A145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27" name="Rectangle 1154">
              <a:extLst>
                <a:ext uri="{FF2B5EF4-FFF2-40B4-BE49-F238E27FC236}">
                  <a16:creationId xmlns:a16="http://schemas.microsoft.com/office/drawing/2014/main" id="{23863635-76D3-FF32-39DB-0D54E331433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28" name="Oval 1155">
              <a:extLst>
                <a:ext uri="{FF2B5EF4-FFF2-40B4-BE49-F238E27FC236}">
                  <a16:creationId xmlns:a16="http://schemas.microsoft.com/office/drawing/2014/main" id="{E9A470F9-43AB-08A6-C18C-07E79B2216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29" name="Oval 1156">
              <a:extLst>
                <a:ext uri="{FF2B5EF4-FFF2-40B4-BE49-F238E27FC236}">
                  <a16:creationId xmlns:a16="http://schemas.microsoft.com/office/drawing/2014/main" id="{86B1D64C-54F9-F8AC-D9DC-9BA108DFBC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30" name="Rectangle 1157">
              <a:extLst>
                <a:ext uri="{FF2B5EF4-FFF2-40B4-BE49-F238E27FC236}">
                  <a16:creationId xmlns:a16="http://schemas.microsoft.com/office/drawing/2014/main" id="{2F178ABC-AF60-A7C7-8B0B-D6D5F853F4D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31" name="Rectangle 1158">
              <a:extLst>
                <a:ext uri="{FF2B5EF4-FFF2-40B4-BE49-F238E27FC236}">
                  <a16:creationId xmlns:a16="http://schemas.microsoft.com/office/drawing/2014/main" id="{DA2E289E-8860-4415-C270-FBA7B78309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32" name="Rectangle 1159">
              <a:extLst>
                <a:ext uri="{FF2B5EF4-FFF2-40B4-BE49-F238E27FC236}">
                  <a16:creationId xmlns:a16="http://schemas.microsoft.com/office/drawing/2014/main" id="{058DFEE4-1A62-A986-01E7-C4BC66E1986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33" name="Rectangle 1160">
              <a:extLst>
                <a:ext uri="{FF2B5EF4-FFF2-40B4-BE49-F238E27FC236}">
                  <a16:creationId xmlns:a16="http://schemas.microsoft.com/office/drawing/2014/main" id="{093725B6-4F5F-43CD-D210-F853BF36F2B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3522" name="Rectangle 1161">
            <a:extLst>
              <a:ext uri="{FF2B5EF4-FFF2-40B4-BE49-F238E27FC236}">
                <a16:creationId xmlns:a16="http://schemas.microsoft.com/office/drawing/2014/main" id="{63E9AAA4-1DEB-F501-BEF8-62C2B51592A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3523" name="Rectangle 1162">
            <a:extLst>
              <a:ext uri="{FF2B5EF4-FFF2-40B4-BE49-F238E27FC236}">
                <a16:creationId xmlns:a16="http://schemas.microsoft.com/office/drawing/2014/main" id="{F5DFE101-C649-5265-094E-9981FC9D988E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5" name="Group 1163">
          <a:extLst>
            <a:ext uri="{FF2B5EF4-FFF2-40B4-BE49-F238E27FC236}">
              <a16:creationId xmlns:a16="http://schemas.microsoft.com/office/drawing/2014/main" id="{414E9558-FF5E-BD72-47A8-7CDCE91083BB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92" name="Rectangle 1164">
            <a:extLst>
              <a:ext uri="{FF2B5EF4-FFF2-40B4-BE49-F238E27FC236}">
                <a16:creationId xmlns:a16="http://schemas.microsoft.com/office/drawing/2014/main" id="{0F7CBDE3-A844-6643-92F0-4623DF6139D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93" name="Line 1165">
            <a:extLst>
              <a:ext uri="{FF2B5EF4-FFF2-40B4-BE49-F238E27FC236}">
                <a16:creationId xmlns:a16="http://schemas.microsoft.com/office/drawing/2014/main" id="{0E0F6038-2724-863B-F580-4A30E6AC201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94" name="Line 1166">
            <a:extLst>
              <a:ext uri="{FF2B5EF4-FFF2-40B4-BE49-F238E27FC236}">
                <a16:creationId xmlns:a16="http://schemas.microsoft.com/office/drawing/2014/main" id="{E1E28C6F-E327-F300-9F3E-98B84FB2A4D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95" name="Rectangle 1167">
            <a:extLst>
              <a:ext uri="{FF2B5EF4-FFF2-40B4-BE49-F238E27FC236}">
                <a16:creationId xmlns:a16="http://schemas.microsoft.com/office/drawing/2014/main" id="{CEF20665-8063-D1FB-D6A4-60B1520CA49B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96" name="Oval 1168">
            <a:extLst>
              <a:ext uri="{FF2B5EF4-FFF2-40B4-BE49-F238E27FC236}">
                <a16:creationId xmlns:a16="http://schemas.microsoft.com/office/drawing/2014/main" id="{4DC97D0E-AB86-79B6-B7FA-69675E879CE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97" name="Oval 1169">
            <a:extLst>
              <a:ext uri="{FF2B5EF4-FFF2-40B4-BE49-F238E27FC236}">
                <a16:creationId xmlns:a16="http://schemas.microsoft.com/office/drawing/2014/main" id="{10D70784-9326-6F6A-2707-07DBD03817C4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98" name="Rectangle 1170">
            <a:extLst>
              <a:ext uri="{FF2B5EF4-FFF2-40B4-BE49-F238E27FC236}">
                <a16:creationId xmlns:a16="http://schemas.microsoft.com/office/drawing/2014/main" id="{F4A33E54-3B7E-3319-D226-A72D8E6BD94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99" name="Rectangle 1171">
            <a:extLst>
              <a:ext uri="{FF2B5EF4-FFF2-40B4-BE49-F238E27FC236}">
                <a16:creationId xmlns:a16="http://schemas.microsoft.com/office/drawing/2014/main" id="{A081DF4A-26B1-A424-6CD0-631D6533BEB5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400" name="Rectangle 1172">
            <a:extLst>
              <a:ext uri="{FF2B5EF4-FFF2-40B4-BE49-F238E27FC236}">
                <a16:creationId xmlns:a16="http://schemas.microsoft.com/office/drawing/2014/main" id="{9B777B34-3495-ED55-6FD4-FA25FCD566B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401" name="Rectangle 1173">
            <a:extLst>
              <a:ext uri="{FF2B5EF4-FFF2-40B4-BE49-F238E27FC236}">
                <a16:creationId xmlns:a16="http://schemas.microsoft.com/office/drawing/2014/main" id="{1D3F377C-E51F-E6FA-6534-8637DE99BF8B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402" name="Group 1174">
            <a:extLst>
              <a:ext uri="{FF2B5EF4-FFF2-40B4-BE49-F238E27FC236}">
                <a16:creationId xmlns:a16="http://schemas.microsoft.com/office/drawing/2014/main" id="{701684BE-D11C-04CC-5878-099FD8172D8B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405" name="Rectangle 1175">
              <a:extLst>
                <a:ext uri="{FF2B5EF4-FFF2-40B4-BE49-F238E27FC236}">
                  <a16:creationId xmlns:a16="http://schemas.microsoft.com/office/drawing/2014/main" id="{C24D59BD-FE18-4F86-A05F-E5337ACB28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406" name="Line 1176">
              <a:extLst>
                <a:ext uri="{FF2B5EF4-FFF2-40B4-BE49-F238E27FC236}">
                  <a16:creationId xmlns:a16="http://schemas.microsoft.com/office/drawing/2014/main" id="{7CA428E9-7393-113B-06E6-26E6CBCA1D5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407" name="Line 1177">
              <a:extLst>
                <a:ext uri="{FF2B5EF4-FFF2-40B4-BE49-F238E27FC236}">
                  <a16:creationId xmlns:a16="http://schemas.microsoft.com/office/drawing/2014/main" id="{4EAF11C2-F1AC-F65C-1B01-DE878DC3B3D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3504" name="Rectangle 1178">
              <a:extLst>
                <a:ext uri="{FF2B5EF4-FFF2-40B4-BE49-F238E27FC236}">
                  <a16:creationId xmlns:a16="http://schemas.microsoft.com/office/drawing/2014/main" id="{62B38A64-8BD1-4A44-F622-2AC5FAD4F67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05" name="Oval 1179">
              <a:extLst>
                <a:ext uri="{FF2B5EF4-FFF2-40B4-BE49-F238E27FC236}">
                  <a16:creationId xmlns:a16="http://schemas.microsoft.com/office/drawing/2014/main" id="{77DE6A07-C527-B390-7A99-B4EF85EEF4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06" name="Oval 1180">
              <a:extLst>
                <a:ext uri="{FF2B5EF4-FFF2-40B4-BE49-F238E27FC236}">
                  <a16:creationId xmlns:a16="http://schemas.microsoft.com/office/drawing/2014/main" id="{04FECCFD-EFBB-AA14-89A3-33C25FD30E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3507" name="Rectangle 1181">
              <a:extLst>
                <a:ext uri="{FF2B5EF4-FFF2-40B4-BE49-F238E27FC236}">
                  <a16:creationId xmlns:a16="http://schemas.microsoft.com/office/drawing/2014/main" id="{9281F119-2C01-25DA-872C-986CDF952F8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08" name="Rectangle 1182">
              <a:extLst>
                <a:ext uri="{FF2B5EF4-FFF2-40B4-BE49-F238E27FC236}">
                  <a16:creationId xmlns:a16="http://schemas.microsoft.com/office/drawing/2014/main" id="{E10BD2C4-3099-5E63-CC3F-94F294AC63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09" name="Rectangle 1183">
              <a:extLst>
                <a:ext uri="{FF2B5EF4-FFF2-40B4-BE49-F238E27FC236}">
                  <a16:creationId xmlns:a16="http://schemas.microsoft.com/office/drawing/2014/main" id="{F9FB3DE6-0BF3-806A-8092-B762B080A1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3510" name="Rectangle 1184">
              <a:extLst>
                <a:ext uri="{FF2B5EF4-FFF2-40B4-BE49-F238E27FC236}">
                  <a16:creationId xmlns:a16="http://schemas.microsoft.com/office/drawing/2014/main" id="{7CD61E3A-BA39-1C5A-FF5B-AF5144FDFD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403" name="Rectangle 1185">
            <a:extLst>
              <a:ext uri="{FF2B5EF4-FFF2-40B4-BE49-F238E27FC236}">
                <a16:creationId xmlns:a16="http://schemas.microsoft.com/office/drawing/2014/main" id="{3002B18C-A750-E067-ECDF-001FABC644E9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404" name="Rectangle 1186">
            <a:extLst>
              <a:ext uri="{FF2B5EF4-FFF2-40B4-BE49-F238E27FC236}">
                <a16:creationId xmlns:a16="http://schemas.microsoft.com/office/drawing/2014/main" id="{8D4C7C76-7789-6AF2-F748-86B6872D513B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6" name="Group 1187">
          <a:extLst>
            <a:ext uri="{FF2B5EF4-FFF2-40B4-BE49-F238E27FC236}">
              <a16:creationId xmlns:a16="http://schemas.microsoft.com/office/drawing/2014/main" id="{B8F6BA18-BBD0-0CE0-0D68-DBAA5D500772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69" name="Rectangle 1188">
            <a:extLst>
              <a:ext uri="{FF2B5EF4-FFF2-40B4-BE49-F238E27FC236}">
                <a16:creationId xmlns:a16="http://schemas.microsoft.com/office/drawing/2014/main" id="{3E1B7A8E-E551-0239-9098-BE1E1F931FEB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0" name="Line 1189">
            <a:extLst>
              <a:ext uri="{FF2B5EF4-FFF2-40B4-BE49-F238E27FC236}">
                <a16:creationId xmlns:a16="http://schemas.microsoft.com/office/drawing/2014/main" id="{EDC2312D-38B1-EEDC-5D59-DF2A5C08F0B4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71" name="Line 1190">
            <a:extLst>
              <a:ext uri="{FF2B5EF4-FFF2-40B4-BE49-F238E27FC236}">
                <a16:creationId xmlns:a16="http://schemas.microsoft.com/office/drawing/2014/main" id="{D77B16B5-196D-C70E-C4C9-47921F8884C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72" name="Rectangle 1191">
            <a:extLst>
              <a:ext uri="{FF2B5EF4-FFF2-40B4-BE49-F238E27FC236}">
                <a16:creationId xmlns:a16="http://schemas.microsoft.com/office/drawing/2014/main" id="{3F289262-36D9-9233-DB48-73F13C2749A9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3" name="Oval 1192">
            <a:extLst>
              <a:ext uri="{FF2B5EF4-FFF2-40B4-BE49-F238E27FC236}">
                <a16:creationId xmlns:a16="http://schemas.microsoft.com/office/drawing/2014/main" id="{467F4E7E-EE32-D863-0714-75D34DE5713C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74" name="Oval 1193">
            <a:extLst>
              <a:ext uri="{FF2B5EF4-FFF2-40B4-BE49-F238E27FC236}">
                <a16:creationId xmlns:a16="http://schemas.microsoft.com/office/drawing/2014/main" id="{1BC17A41-18DD-5249-2FEF-2B6BABAD856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75" name="Rectangle 1194">
            <a:extLst>
              <a:ext uri="{FF2B5EF4-FFF2-40B4-BE49-F238E27FC236}">
                <a16:creationId xmlns:a16="http://schemas.microsoft.com/office/drawing/2014/main" id="{90C0BD0C-96B9-1C8E-4802-2C9F45BCAAA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6" name="Rectangle 1195">
            <a:extLst>
              <a:ext uri="{FF2B5EF4-FFF2-40B4-BE49-F238E27FC236}">
                <a16:creationId xmlns:a16="http://schemas.microsoft.com/office/drawing/2014/main" id="{D40DA397-E62E-9A20-3A56-E4616B807F75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7" name="Rectangle 1196">
            <a:extLst>
              <a:ext uri="{FF2B5EF4-FFF2-40B4-BE49-F238E27FC236}">
                <a16:creationId xmlns:a16="http://schemas.microsoft.com/office/drawing/2014/main" id="{11A381AA-FA01-D67D-C91A-3AD1E192BDA9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78" name="Rectangle 1197">
            <a:extLst>
              <a:ext uri="{FF2B5EF4-FFF2-40B4-BE49-F238E27FC236}">
                <a16:creationId xmlns:a16="http://schemas.microsoft.com/office/drawing/2014/main" id="{867B8E26-F922-AA5F-72B4-613F38504C0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379" name="Group 1198">
            <a:extLst>
              <a:ext uri="{FF2B5EF4-FFF2-40B4-BE49-F238E27FC236}">
                <a16:creationId xmlns:a16="http://schemas.microsoft.com/office/drawing/2014/main" id="{CD85E467-EA11-3D24-4219-B28F41B6874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382" name="Rectangle 1199">
              <a:extLst>
                <a:ext uri="{FF2B5EF4-FFF2-40B4-BE49-F238E27FC236}">
                  <a16:creationId xmlns:a16="http://schemas.microsoft.com/office/drawing/2014/main" id="{D9AC4449-EF11-8BDF-FCAD-83628FD22D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83" name="Line 1200">
              <a:extLst>
                <a:ext uri="{FF2B5EF4-FFF2-40B4-BE49-F238E27FC236}">
                  <a16:creationId xmlns:a16="http://schemas.microsoft.com/office/drawing/2014/main" id="{B7381075-BE98-6F60-D143-EC1D843F76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84" name="Line 1201">
              <a:extLst>
                <a:ext uri="{FF2B5EF4-FFF2-40B4-BE49-F238E27FC236}">
                  <a16:creationId xmlns:a16="http://schemas.microsoft.com/office/drawing/2014/main" id="{A7BB3389-D338-D3BC-FBA3-0799D605B56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85" name="Rectangle 1202">
              <a:extLst>
                <a:ext uri="{FF2B5EF4-FFF2-40B4-BE49-F238E27FC236}">
                  <a16:creationId xmlns:a16="http://schemas.microsoft.com/office/drawing/2014/main" id="{519676F6-C28D-D9D8-68D6-F74B75EAC5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86" name="Oval 1203">
              <a:extLst>
                <a:ext uri="{FF2B5EF4-FFF2-40B4-BE49-F238E27FC236}">
                  <a16:creationId xmlns:a16="http://schemas.microsoft.com/office/drawing/2014/main" id="{A1152E05-2F93-F1EA-24EB-20E6735DB7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87" name="Oval 1204">
              <a:extLst>
                <a:ext uri="{FF2B5EF4-FFF2-40B4-BE49-F238E27FC236}">
                  <a16:creationId xmlns:a16="http://schemas.microsoft.com/office/drawing/2014/main" id="{92EFDFA4-E487-04D0-6DA1-86A4A98565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88" name="Rectangle 1205">
              <a:extLst>
                <a:ext uri="{FF2B5EF4-FFF2-40B4-BE49-F238E27FC236}">
                  <a16:creationId xmlns:a16="http://schemas.microsoft.com/office/drawing/2014/main" id="{0088558F-BE82-16CF-F8E9-B6542A372F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89" name="Rectangle 1206">
              <a:extLst>
                <a:ext uri="{FF2B5EF4-FFF2-40B4-BE49-F238E27FC236}">
                  <a16:creationId xmlns:a16="http://schemas.microsoft.com/office/drawing/2014/main" id="{6A1AF6C3-EB41-2529-3F80-BDEFEA1C4B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90" name="Rectangle 1207">
              <a:extLst>
                <a:ext uri="{FF2B5EF4-FFF2-40B4-BE49-F238E27FC236}">
                  <a16:creationId xmlns:a16="http://schemas.microsoft.com/office/drawing/2014/main" id="{39096352-F39A-6D61-AD16-8A2DA26EF6E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91" name="Rectangle 1208">
              <a:extLst>
                <a:ext uri="{FF2B5EF4-FFF2-40B4-BE49-F238E27FC236}">
                  <a16:creationId xmlns:a16="http://schemas.microsoft.com/office/drawing/2014/main" id="{2F677477-9890-04BC-17E3-384BE3C52C9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380" name="Rectangle 1209">
            <a:extLst>
              <a:ext uri="{FF2B5EF4-FFF2-40B4-BE49-F238E27FC236}">
                <a16:creationId xmlns:a16="http://schemas.microsoft.com/office/drawing/2014/main" id="{3569A2D9-CCAF-05AD-054D-6E6C689A48C1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81" name="Rectangle 1210">
            <a:extLst>
              <a:ext uri="{FF2B5EF4-FFF2-40B4-BE49-F238E27FC236}">
                <a16:creationId xmlns:a16="http://schemas.microsoft.com/office/drawing/2014/main" id="{36206518-A6CA-40DD-6B9D-3E3E1E2EDDF1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7" name="Group 1211">
          <a:extLst>
            <a:ext uri="{FF2B5EF4-FFF2-40B4-BE49-F238E27FC236}">
              <a16:creationId xmlns:a16="http://schemas.microsoft.com/office/drawing/2014/main" id="{9E95A3E6-9847-FF5C-D1F5-8A0772AA7120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46" name="Rectangle 1212">
            <a:extLst>
              <a:ext uri="{FF2B5EF4-FFF2-40B4-BE49-F238E27FC236}">
                <a16:creationId xmlns:a16="http://schemas.microsoft.com/office/drawing/2014/main" id="{99AC537C-C6B1-8B54-7A92-DAAA8A85FE4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47" name="Line 1213">
            <a:extLst>
              <a:ext uri="{FF2B5EF4-FFF2-40B4-BE49-F238E27FC236}">
                <a16:creationId xmlns:a16="http://schemas.microsoft.com/office/drawing/2014/main" id="{22D7D673-3D54-DFF4-631F-DD80D10D1C2A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48" name="Line 1214">
            <a:extLst>
              <a:ext uri="{FF2B5EF4-FFF2-40B4-BE49-F238E27FC236}">
                <a16:creationId xmlns:a16="http://schemas.microsoft.com/office/drawing/2014/main" id="{4F3B1442-80D7-D9A2-F9BD-3C855365DFC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49" name="Rectangle 1215">
            <a:extLst>
              <a:ext uri="{FF2B5EF4-FFF2-40B4-BE49-F238E27FC236}">
                <a16:creationId xmlns:a16="http://schemas.microsoft.com/office/drawing/2014/main" id="{2B0B52D8-1F1F-BE69-8C87-C8D409F78F5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0" name="Oval 1216">
            <a:extLst>
              <a:ext uri="{FF2B5EF4-FFF2-40B4-BE49-F238E27FC236}">
                <a16:creationId xmlns:a16="http://schemas.microsoft.com/office/drawing/2014/main" id="{2874C192-8B6E-4344-65CB-D64488B8497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51" name="Oval 1217">
            <a:extLst>
              <a:ext uri="{FF2B5EF4-FFF2-40B4-BE49-F238E27FC236}">
                <a16:creationId xmlns:a16="http://schemas.microsoft.com/office/drawing/2014/main" id="{408D8386-7D86-19E6-5BE7-6CB9597AFE3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52" name="Rectangle 1218">
            <a:extLst>
              <a:ext uri="{FF2B5EF4-FFF2-40B4-BE49-F238E27FC236}">
                <a16:creationId xmlns:a16="http://schemas.microsoft.com/office/drawing/2014/main" id="{212FCD3E-A5D4-7675-6965-A22C4F2734C3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3" name="Rectangle 1219">
            <a:extLst>
              <a:ext uri="{FF2B5EF4-FFF2-40B4-BE49-F238E27FC236}">
                <a16:creationId xmlns:a16="http://schemas.microsoft.com/office/drawing/2014/main" id="{B2839F36-DE8B-5068-25F4-3009D0E31A3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4" name="Rectangle 1220">
            <a:extLst>
              <a:ext uri="{FF2B5EF4-FFF2-40B4-BE49-F238E27FC236}">
                <a16:creationId xmlns:a16="http://schemas.microsoft.com/office/drawing/2014/main" id="{587E5C90-D04D-F20D-9F5E-A4BF375C804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5" name="Rectangle 1221">
            <a:extLst>
              <a:ext uri="{FF2B5EF4-FFF2-40B4-BE49-F238E27FC236}">
                <a16:creationId xmlns:a16="http://schemas.microsoft.com/office/drawing/2014/main" id="{2F25C5FC-1F1B-C07C-2BC4-F73F0D665317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356" name="Group 1222">
            <a:extLst>
              <a:ext uri="{FF2B5EF4-FFF2-40B4-BE49-F238E27FC236}">
                <a16:creationId xmlns:a16="http://schemas.microsoft.com/office/drawing/2014/main" id="{D59C0126-0CD2-99E9-0167-CE75D7CE5634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359" name="Rectangle 1223">
              <a:extLst>
                <a:ext uri="{FF2B5EF4-FFF2-40B4-BE49-F238E27FC236}">
                  <a16:creationId xmlns:a16="http://schemas.microsoft.com/office/drawing/2014/main" id="{D985FFED-61DC-363A-A3B1-76B151A303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0" name="Line 1224">
              <a:extLst>
                <a:ext uri="{FF2B5EF4-FFF2-40B4-BE49-F238E27FC236}">
                  <a16:creationId xmlns:a16="http://schemas.microsoft.com/office/drawing/2014/main" id="{FCD7D5EF-1D4E-9C0B-7EFA-67B823FBC8B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61" name="Line 1225">
              <a:extLst>
                <a:ext uri="{FF2B5EF4-FFF2-40B4-BE49-F238E27FC236}">
                  <a16:creationId xmlns:a16="http://schemas.microsoft.com/office/drawing/2014/main" id="{4FB38EBB-AE1C-8F43-341C-8348D3E5969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62" name="Rectangle 1226">
              <a:extLst>
                <a:ext uri="{FF2B5EF4-FFF2-40B4-BE49-F238E27FC236}">
                  <a16:creationId xmlns:a16="http://schemas.microsoft.com/office/drawing/2014/main" id="{78C6D7D3-954A-B33E-0B77-5BA625B03D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3" name="Oval 1227">
              <a:extLst>
                <a:ext uri="{FF2B5EF4-FFF2-40B4-BE49-F238E27FC236}">
                  <a16:creationId xmlns:a16="http://schemas.microsoft.com/office/drawing/2014/main" id="{7932E2A2-3281-241B-9DB8-CFF34B31DE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64" name="Oval 1228">
              <a:extLst>
                <a:ext uri="{FF2B5EF4-FFF2-40B4-BE49-F238E27FC236}">
                  <a16:creationId xmlns:a16="http://schemas.microsoft.com/office/drawing/2014/main" id="{4AB0D812-53E3-808A-4C8D-6EAE23131A3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65" name="Rectangle 1229">
              <a:extLst>
                <a:ext uri="{FF2B5EF4-FFF2-40B4-BE49-F238E27FC236}">
                  <a16:creationId xmlns:a16="http://schemas.microsoft.com/office/drawing/2014/main" id="{08546F9B-B168-01BC-9F46-CA3ABAC4E3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6" name="Rectangle 1230">
              <a:extLst>
                <a:ext uri="{FF2B5EF4-FFF2-40B4-BE49-F238E27FC236}">
                  <a16:creationId xmlns:a16="http://schemas.microsoft.com/office/drawing/2014/main" id="{9D078A20-8911-EF1C-5900-8E46E27CB9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7" name="Rectangle 1231">
              <a:extLst>
                <a:ext uri="{FF2B5EF4-FFF2-40B4-BE49-F238E27FC236}">
                  <a16:creationId xmlns:a16="http://schemas.microsoft.com/office/drawing/2014/main" id="{5BC3E091-BBF2-E13F-5564-A257B8743E7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68" name="Rectangle 1232">
              <a:extLst>
                <a:ext uri="{FF2B5EF4-FFF2-40B4-BE49-F238E27FC236}">
                  <a16:creationId xmlns:a16="http://schemas.microsoft.com/office/drawing/2014/main" id="{2B63B376-2B57-611C-005F-4D1077E45B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357" name="Rectangle 1233">
            <a:extLst>
              <a:ext uri="{FF2B5EF4-FFF2-40B4-BE49-F238E27FC236}">
                <a16:creationId xmlns:a16="http://schemas.microsoft.com/office/drawing/2014/main" id="{1FE154A1-89FC-525C-6561-A27984B48571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58" name="Rectangle 1234">
            <a:extLst>
              <a:ext uri="{FF2B5EF4-FFF2-40B4-BE49-F238E27FC236}">
                <a16:creationId xmlns:a16="http://schemas.microsoft.com/office/drawing/2014/main" id="{6FD09891-6005-01F7-38F1-6DA758D46822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8" name="Group 1235">
          <a:extLst>
            <a:ext uri="{FF2B5EF4-FFF2-40B4-BE49-F238E27FC236}">
              <a16:creationId xmlns:a16="http://schemas.microsoft.com/office/drawing/2014/main" id="{994243B9-9DBD-817A-9B89-A678838B5431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23" name="Rectangle 1236">
            <a:extLst>
              <a:ext uri="{FF2B5EF4-FFF2-40B4-BE49-F238E27FC236}">
                <a16:creationId xmlns:a16="http://schemas.microsoft.com/office/drawing/2014/main" id="{052BB27C-6E9E-F42B-624B-160FF6DF833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24" name="Line 1237">
            <a:extLst>
              <a:ext uri="{FF2B5EF4-FFF2-40B4-BE49-F238E27FC236}">
                <a16:creationId xmlns:a16="http://schemas.microsoft.com/office/drawing/2014/main" id="{4C31F7C0-3CCD-DF67-7A4F-8BF57C661012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25" name="Line 1238">
            <a:extLst>
              <a:ext uri="{FF2B5EF4-FFF2-40B4-BE49-F238E27FC236}">
                <a16:creationId xmlns:a16="http://schemas.microsoft.com/office/drawing/2014/main" id="{7F9A0784-84E8-D699-1102-55C713BDF68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26" name="Rectangle 1239">
            <a:extLst>
              <a:ext uri="{FF2B5EF4-FFF2-40B4-BE49-F238E27FC236}">
                <a16:creationId xmlns:a16="http://schemas.microsoft.com/office/drawing/2014/main" id="{EFB30556-CE85-CC2F-1BC9-CEE941B9722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27" name="Oval 1240">
            <a:extLst>
              <a:ext uri="{FF2B5EF4-FFF2-40B4-BE49-F238E27FC236}">
                <a16:creationId xmlns:a16="http://schemas.microsoft.com/office/drawing/2014/main" id="{B282CF02-47DE-735B-611A-07919BCEBFBE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28" name="Oval 1241">
            <a:extLst>
              <a:ext uri="{FF2B5EF4-FFF2-40B4-BE49-F238E27FC236}">
                <a16:creationId xmlns:a16="http://schemas.microsoft.com/office/drawing/2014/main" id="{A28ED910-D067-DBCC-9FD2-EC200E6DA06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29" name="Rectangle 1242">
            <a:extLst>
              <a:ext uri="{FF2B5EF4-FFF2-40B4-BE49-F238E27FC236}">
                <a16:creationId xmlns:a16="http://schemas.microsoft.com/office/drawing/2014/main" id="{5B4B1D4C-E240-7246-6C57-4D93794A0855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30" name="Rectangle 1243">
            <a:extLst>
              <a:ext uri="{FF2B5EF4-FFF2-40B4-BE49-F238E27FC236}">
                <a16:creationId xmlns:a16="http://schemas.microsoft.com/office/drawing/2014/main" id="{365BC4EF-942B-D7A2-9150-D491C955263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31" name="Rectangle 1244">
            <a:extLst>
              <a:ext uri="{FF2B5EF4-FFF2-40B4-BE49-F238E27FC236}">
                <a16:creationId xmlns:a16="http://schemas.microsoft.com/office/drawing/2014/main" id="{11AECBA7-C315-65E4-B681-68E7EA9E89E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32" name="Rectangle 1245">
            <a:extLst>
              <a:ext uri="{FF2B5EF4-FFF2-40B4-BE49-F238E27FC236}">
                <a16:creationId xmlns:a16="http://schemas.microsoft.com/office/drawing/2014/main" id="{9EC214AE-C53A-C750-A2E2-AB252DA7D25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333" name="Group 1246">
            <a:extLst>
              <a:ext uri="{FF2B5EF4-FFF2-40B4-BE49-F238E27FC236}">
                <a16:creationId xmlns:a16="http://schemas.microsoft.com/office/drawing/2014/main" id="{A8079CE9-ABEE-F5D0-FC96-790AAF1BE11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336" name="Rectangle 1247">
              <a:extLst>
                <a:ext uri="{FF2B5EF4-FFF2-40B4-BE49-F238E27FC236}">
                  <a16:creationId xmlns:a16="http://schemas.microsoft.com/office/drawing/2014/main" id="{D9CA2175-1967-F141-D7A3-03766093B29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37" name="Line 1248">
              <a:extLst>
                <a:ext uri="{FF2B5EF4-FFF2-40B4-BE49-F238E27FC236}">
                  <a16:creationId xmlns:a16="http://schemas.microsoft.com/office/drawing/2014/main" id="{3CE94F37-F98A-D122-2B72-91326F77B65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38" name="Line 1249">
              <a:extLst>
                <a:ext uri="{FF2B5EF4-FFF2-40B4-BE49-F238E27FC236}">
                  <a16:creationId xmlns:a16="http://schemas.microsoft.com/office/drawing/2014/main" id="{F778B26C-DACE-7005-6301-045B9DF6F75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39" name="Rectangle 1250">
              <a:extLst>
                <a:ext uri="{FF2B5EF4-FFF2-40B4-BE49-F238E27FC236}">
                  <a16:creationId xmlns:a16="http://schemas.microsoft.com/office/drawing/2014/main" id="{DB691565-8BE0-00F3-C572-041290C2E92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40" name="Oval 1251">
              <a:extLst>
                <a:ext uri="{FF2B5EF4-FFF2-40B4-BE49-F238E27FC236}">
                  <a16:creationId xmlns:a16="http://schemas.microsoft.com/office/drawing/2014/main" id="{1DBDCFFE-22D6-ECAA-00D5-C3BF56B12D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41" name="Oval 1252">
              <a:extLst>
                <a:ext uri="{FF2B5EF4-FFF2-40B4-BE49-F238E27FC236}">
                  <a16:creationId xmlns:a16="http://schemas.microsoft.com/office/drawing/2014/main" id="{01E38EF7-3B24-3C2B-43D5-13F0671A96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42" name="Rectangle 1253">
              <a:extLst>
                <a:ext uri="{FF2B5EF4-FFF2-40B4-BE49-F238E27FC236}">
                  <a16:creationId xmlns:a16="http://schemas.microsoft.com/office/drawing/2014/main" id="{5CF720CC-49EC-7764-94D7-4667CA121B2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43" name="Rectangle 1254">
              <a:extLst>
                <a:ext uri="{FF2B5EF4-FFF2-40B4-BE49-F238E27FC236}">
                  <a16:creationId xmlns:a16="http://schemas.microsoft.com/office/drawing/2014/main" id="{81B1091A-DD1A-9997-FFFA-683857AE30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44" name="Rectangle 1255">
              <a:extLst>
                <a:ext uri="{FF2B5EF4-FFF2-40B4-BE49-F238E27FC236}">
                  <a16:creationId xmlns:a16="http://schemas.microsoft.com/office/drawing/2014/main" id="{0E560E77-F17A-A203-E02E-9B6B630062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45" name="Rectangle 1256">
              <a:extLst>
                <a:ext uri="{FF2B5EF4-FFF2-40B4-BE49-F238E27FC236}">
                  <a16:creationId xmlns:a16="http://schemas.microsoft.com/office/drawing/2014/main" id="{24C96AB5-59A0-7259-BCDB-56920FF5713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334" name="Rectangle 1257">
            <a:extLst>
              <a:ext uri="{FF2B5EF4-FFF2-40B4-BE49-F238E27FC236}">
                <a16:creationId xmlns:a16="http://schemas.microsoft.com/office/drawing/2014/main" id="{D19BB976-FCCE-89C2-0989-62CFEFB67E5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35" name="Rectangle 1258">
            <a:extLst>
              <a:ext uri="{FF2B5EF4-FFF2-40B4-BE49-F238E27FC236}">
                <a16:creationId xmlns:a16="http://schemas.microsoft.com/office/drawing/2014/main" id="{DA4D35EF-FA0F-7395-8B5C-176331582BA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19" name="Group 1259">
          <a:extLst>
            <a:ext uri="{FF2B5EF4-FFF2-40B4-BE49-F238E27FC236}">
              <a16:creationId xmlns:a16="http://schemas.microsoft.com/office/drawing/2014/main" id="{49C4D370-E6E5-BBC4-F6E9-61D88D50AB9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300" name="Rectangle 1260">
            <a:extLst>
              <a:ext uri="{FF2B5EF4-FFF2-40B4-BE49-F238E27FC236}">
                <a16:creationId xmlns:a16="http://schemas.microsoft.com/office/drawing/2014/main" id="{3E4FCD07-420F-655F-552E-659953828B9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1" name="Line 1261">
            <a:extLst>
              <a:ext uri="{FF2B5EF4-FFF2-40B4-BE49-F238E27FC236}">
                <a16:creationId xmlns:a16="http://schemas.microsoft.com/office/drawing/2014/main" id="{4157A266-72A5-84F7-B37E-72D1F3BE85BC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02" name="Line 1262">
            <a:extLst>
              <a:ext uri="{FF2B5EF4-FFF2-40B4-BE49-F238E27FC236}">
                <a16:creationId xmlns:a16="http://schemas.microsoft.com/office/drawing/2014/main" id="{B7273212-89C9-597F-AB9C-C737520F3112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303" name="Rectangle 1263">
            <a:extLst>
              <a:ext uri="{FF2B5EF4-FFF2-40B4-BE49-F238E27FC236}">
                <a16:creationId xmlns:a16="http://schemas.microsoft.com/office/drawing/2014/main" id="{00F19016-447F-F601-12FE-BA851A999282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4" name="Oval 1264">
            <a:extLst>
              <a:ext uri="{FF2B5EF4-FFF2-40B4-BE49-F238E27FC236}">
                <a16:creationId xmlns:a16="http://schemas.microsoft.com/office/drawing/2014/main" id="{40F08F99-CDFC-E74D-9ACB-36105A0C63D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05" name="Oval 1265">
            <a:extLst>
              <a:ext uri="{FF2B5EF4-FFF2-40B4-BE49-F238E27FC236}">
                <a16:creationId xmlns:a16="http://schemas.microsoft.com/office/drawing/2014/main" id="{024458BB-040B-9F30-64EB-9B33739DD87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306" name="Rectangle 1266">
            <a:extLst>
              <a:ext uri="{FF2B5EF4-FFF2-40B4-BE49-F238E27FC236}">
                <a16:creationId xmlns:a16="http://schemas.microsoft.com/office/drawing/2014/main" id="{E8985344-174D-DAF4-799C-151170C283E2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7" name="Rectangle 1267">
            <a:extLst>
              <a:ext uri="{FF2B5EF4-FFF2-40B4-BE49-F238E27FC236}">
                <a16:creationId xmlns:a16="http://schemas.microsoft.com/office/drawing/2014/main" id="{BCFC0F93-3927-048B-B5EA-F1CAF6520C56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8" name="Rectangle 1268">
            <a:extLst>
              <a:ext uri="{FF2B5EF4-FFF2-40B4-BE49-F238E27FC236}">
                <a16:creationId xmlns:a16="http://schemas.microsoft.com/office/drawing/2014/main" id="{7B1BF248-3679-4A5C-66F6-9FC9B95F544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09" name="Rectangle 1269">
            <a:extLst>
              <a:ext uri="{FF2B5EF4-FFF2-40B4-BE49-F238E27FC236}">
                <a16:creationId xmlns:a16="http://schemas.microsoft.com/office/drawing/2014/main" id="{1C50AFBA-9F1A-7178-10DB-C6F6BA1D5692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310" name="Group 1270">
            <a:extLst>
              <a:ext uri="{FF2B5EF4-FFF2-40B4-BE49-F238E27FC236}">
                <a16:creationId xmlns:a16="http://schemas.microsoft.com/office/drawing/2014/main" id="{1C85FE91-37C4-A946-4BEA-06A5EA012792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313" name="Rectangle 1271">
              <a:extLst>
                <a:ext uri="{FF2B5EF4-FFF2-40B4-BE49-F238E27FC236}">
                  <a16:creationId xmlns:a16="http://schemas.microsoft.com/office/drawing/2014/main" id="{9010E12A-A357-2996-0B68-2E5F2AB1FAF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14" name="Line 1272">
              <a:extLst>
                <a:ext uri="{FF2B5EF4-FFF2-40B4-BE49-F238E27FC236}">
                  <a16:creationId xmlns:a16="http://schemas.microsoft.com/office/drawing/2014/main" id="{4DD41493-3395-4AB6-9B6E-25FFB659D2D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15" name="Line 1273">
              <a:extLst>
                <a:ext uri="{FF2B5EF4-FFF2-40B4-BE49-F238E27FC236}">
                  <a16:creationId xmlns:a16="http://schemas.microsoft.com/office/drawing/2014/main" id="{79A74E83-2010-B80B-0DB4-2E2EB33563C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316" name="Rectangle 1274">
              <a:extLst>
                <a:ext uri="{FF2B5EF4-FFF2-40B4-BE49-F238E27FC236}">
                  <a16:creationId xmlns:a16="http://schemas.microsoft.com/office/drawing/2014/main" id="{37AE3697-735A-EF91-8E47-5C2360049C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17" name="Oval 1275">
              <a:extLst>
                <a:ext uri="{FF2B5EF4-FFF2-40B4-BE49-F238E27FC236}">
                  <a16:creationId xmlns:a16="http://schemas.microsoft.com/office/drawing/2014/main" id="{12D3018B-FA3E-B10B-B5EA-58FBBA0F78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18" name="Oval 1276">
              <a:extLst>
                <a:ext uri="{FF2B5EF4-FFF2-40B4-BE49-F238E27FC236}">
                  <a16:creationId xmlns:a16="http://schemas.microsoft.com/office/drawing/2014/main" id="{CCD3F3D2-BA22-335C-3DC9-D2D416F8BBA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319" name="Rectangle 1277">
              <a:extLst>
                <a:ext uri="{FF2B5EF4-FFF2-40B4-BE49-F238E27FC236}">
                  <a16:creationId xmlns:a16="http://schemas.microsoft.com/office/drawing/2014/main" id="{B29E9165-4653-52F0-D8DE-49C748CF42F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20" name="Rectangle 1278">
              <a:extLst>
                <a:ext uri="{FF2B5EF4-FFF2-40B4-BE49-F238E27FC236}">
                  <a16:creationId xmlns:a16="http://schemas.microsoft.com/office/drawing/2014/main" id="{31DF056F-AD84-4431-ED68-53968690BF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21" name="Rectangle 1279">
              <a:extLst>
                <a:ext uri="{FF2B5EF4-FFF2-40B4-BE49-F238E27FC236}">
                  <a16:creationId xmlns:a16="http://schemas.microsoft.com/office/drawing/2014/main" id="{A7D0596A-F818-2B23-1AB2-1D1C288226E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322" name="Rectangle 1280">
              <a:extLst>
                <a:ext uri="{FF2B5EF4-FFF2-40B4-BE49-F238E27FC236}">
                  <a16:creationId xmlns:a16="http://schemas.microsoft.com/office/drawing/2014/main" id="{C67D9D1A-4C34-5435-4066-260B37BE67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311" name="Rectangle 1281">
            <a:extLst>
              <a:ext uri="{FF2B5EF4-FFF2-40B4-BE49-F238E27FC236}">
                <a16:creationId xmlns:a16="http://schemas.microsoft.com/office/drawing/2014/main" id="{E1A4CB97-1D6A-B0C5-E455-8B51E8DEB37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312" name="Rectangle 1282">
            <a:extLst>
              <a:ext uri="{FF2B5EF4-FFF2-40B4-BE49-F238E27FC236}">
                <a16:creationId xmlns:a16="http://schemas.microsoft.com/office/drawing/2014/main" id="{3F04DA0B-9354-FB1B-9858-D5B1F3B0F8F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0" name="Group 1283">
          <a:extLst>
            <a:ext uri="{FF2B5EF4-FFF2-40B4-BE49-F238E27FC236}">
              <a16:creationId xmlns:a16="http://schemas.microsoft.com/office/drawing/2014/main" id="{3087538F-9360-136F-639D-B3BFAA54F60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277" name="Rectangle 1284">
            <a:extLst>
              <a:ext uri="{FF2B5EF4-FFF2-40B4-BE49-F238E27FC236}">
                <a16:creationId xmlns:a16="http://schemas.microsoft.com/office/drawing/2014/main" id="{467C0D71-AFAF-EEA4-72EE-BBA0485D76D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78" name="Line 1285">
            <a:extLst>
              <a:ext uri="{FF2B5EF4-FFF2-40B4-BE49-F238E27FC236}">
                <a16:creationId xmlns:a16="http://schemas.microsoft.com/office/drawing/2014/main" id="{2757BCBB-F289-D3AF-E8A2-875A81B167FC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79" name="Line 1286">
            <a:extLst>
              <a:ext uri="{FF2B5EF4-FFF2-40B4-BE49-F238E27FC236}">
                <a16:creationId xmlns:a16="http://schemas.microsoft.com/office/drawing/2014/main" id="{8077A31C-906C-49DD-8A7A-0FAEE21FA8AE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80" name="Rectangle 1287">
            <a:extLst>
              <a:ext uri="{FF2B5EF4-FFF2-40B4-BE49-F238E27FC236}">
                <a16:creationId xmlns:a16="http://schemas.microsoft.com/office/drawing/2014/main" id="{5BE18BD9-BCBD-FF35-3338-828F358FDCF3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1" name="Oval 1288">
            <a:extLst>
              <a:ext uri="{FF2B5EF4-FFF2-40B4-BE49-F238E27FC236}">
                <a16:creationId xmlns:a16="http://schemas.microsoft.com/office/drawing/2014/main" id="{1230E238-F4A9-BEB3-E66E-0C98043F808A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82" name="Oval 1289">
            <a:extLst>
              <a:ext uri="{FF2B5EF4-FFF2-40B4-BE49-F238E27FC236}">
                <a16:creationId xmlns:a16="http://schemas.microsoft.com/office/drawing/2014/main" id="{22B44152-C25E-711F-726D-C60B0AF87A0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83" name="Rectangle 1290">
            <a:extLst>
              <a:ext uri="{FF2B5EF4-FFF2-40B4-BE49-F238E27FC236}">
                <a16:creationId xmlns:a16="http://schemas.microsoft.com/office/drawing/2014/main" id="{6303B703-22C1-F9DD-CC88-557CDB22C8EF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4" name="Rectangle 1291">
            <a:extLst>
              <a:ext uri="{FF2B5EF4-FFF2-40B4-BE49-F238E27FC236}">
                <a16:creationId xmlns:a16="http://schemas.microsoft.com/office/drawing/2014/main" id="{D08FFDB0-F73A-6362-A31E-8B7A935D1FE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5" name="Rectangle 1292">
            <a:extLst>
              <a:ext uri="{FF2B5EF4-FFF2-40B4-BE49-F238E27FC236}">
                <a16:creationId xmlns:a16="http://schemas.microsoft.com/office/drawing/2014/main" id="{0860C362-261D-FFD7-A9A0-B054686367D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6" name="Rectangle 1293">
            <a:extLst>
              <a:ext uri="{FF2B5EF4-FFF2-40B4-BE49-F238E27FC236}">
                <a16:creationId xmlns:a16="http://schemas.microsoft.com/office/drawing/2014/main" id="{7C8548DD-FD89-17E9-0565-C279068668D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287" name="Group 1294">
            <a:extLst>
              <a:ext uri="{FF2B5EF4-FFF2-40B4-BE49-F238E27FC236}">
                <a16:creationId xmlns:a16="http://schemas.microsoft.com/office/drawing/2014/main" id="{44A44F2C-B7C8-0F7E-A019-80A00054B44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290" name="Rectangle 1295">
              <a:extLst>
                <a:ext uri="{FF2B5EF4-FFF2-40B4-BE49-F238E27FC236}">
                  <a16:creationId xmlns:a16="http://schemas.microsoft.com/office/drawing/2014/main" id="{FCAFD3DF-DFD5-B206-49F7-B5531E047C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1" name="Line 1296">
              <a:extLst>
                <a:ext uri="{FF2B5EF4-FFF2-40B4-BE49-F238E27FC236}">
                  <a16:creationId xmlns:a16="http://schemas.microsoft.com/office/drawing/2014/main" id="{A6A9B911-1A35-A3F0-7B38-642CB96D4A1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92" name="Line 1297">
              <a:extLst>
                <a:ext uri="{FF2B5EF4-FFF2-40B4-BE49-F238E27FC236}">
                  <a16:creationId xmlns:a16="http://schemas.microsoft.com/office/drawing/2014/main" id="{E6003DC7-AF24-C9E8-741E-5DFF1E0C904F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93" name="Rectangle 1298">
              <a:extLst>
                <a:ext uri="{FF2B5EF4-FFF2-40B4-BE49-F238E27FC236}">
                  <a16:creationId xmlns:a16="http://schemas.microsoft.com/office/drawing/2014/main" id="{193EFE45-DB87-BDB4-4FFC-8CCA425838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4" name="Oval 1299">
              <a:extLst>
                <a:ext uri="{FF2B5EF4-FFF2-40B4-BE49-F238E27FC236}">
                  <a16:creationId xmlns:a16="http://schemas.microsoft.com/office/drawing/2014/main" id="{92A5FFFC-D512-857C-5330-122FD0245D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95" name="Oval 1300">
              <a:extLst>
                <a:ext uri="{FF2B5EF4-FFF2-40B4-BE49-F238E27FC236}">
                  <a16:creationId xmlns:a16="http://schemas.microsoft.com/office/drawing/2014/main" id="{7F64A0B3-2BFB-38D0-F0D1-695D80A1B7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96" name="Rectangle 1301">
              <a:extLst>
                <a:ext uri="{FF2B5EF4-FFF2-40B4-BE49-F238E27FC236}">
                  <a16:creationId xmlns:a16="http://schemas.microsoft.com/office/drawing/2014/main" id="{A91CAA1D-967C-12F2-67E4-07CA5FBEB0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7" name="Rectangle 1302">
              <a:extLst>
                <a:ext uri="{FF2B5EF4-FFF2-40B4-BE49-F238E27FC236}">
                  <a16:creationId xmlns:a16="http://schemas.microsoft.com/office/drawing/2014/main" id="{93B9C7C4-0B94-2CC8-F6FF-BC586FEFD1C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8" name="Rectangle 1303">
              <a:extLst>
                <a:ext uri="{FF2B5EF4-FFF2-40B4-BE49-F238E27FC236}">
                  <a16:creationId xmlns:a16="http://schemas.microsoft.com/office/drawing/2014/main" id="{366D0171-F92B-1914-3269-20BF4B08DE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99" name="Rectangle 1304">
              <a:extLst>
                <a:ext uri="{FF2B5EF4-FFF2-40B4-BE49-F238E27FC236}">
                  <a16:creationId xmlns:a16="http://schemas.microsoft.com/office/drawing/2014/main" id="{A43FB7C3-366F-A67A-E6BF-0752FAAFACA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288" name="Rectangle 1305">
            <a:extLst>
              <a:ext uri="{FF2B5EF4-FFF2-40B4-BE49-F238E27FC236}">
                <a16:creationId xmlns:a16="http://schemas.microsoft.com/office/drawing/2014/main" id="{834C322B-F916-71C3-522E-748DCEE4EE3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89" name="Rectangle 1306">
            <a:extLst>
              <a:ext uri="{FF2B5EF4-FFF2-40B4-BE49-F238E27FC236}">
                <a16:creationId xmlns:a16="http://schemas.microsoft.com/office/drawing/2014/main" id="{2F09F4E5-969F-33CF-20B5-0041948BC6A5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1" name="Group 1307">
          <a:extLst>
            <a:ext uri="{FF2B5EF4-FFF2-40B4-BE49-F238E27FC236}">
              <a16:creationId xmlns:a16="http://schemas.microsoft.com/office/drawing/2014/main" id="{34E2D4AE-D678-A3D4-27F2-5481CF630AD6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254" name="Rectangle 1308">
            <a:extLst>
              <a:ext uri="{FF2B5EF4-FFF2-40B4-BE49-F238E27FC236}">
                <a16:creationId xmlns:a16="http://schemas.microsoft.com/office/drawing/2014/main" id="{F46922DD-577F-BE0F-CA58-D2103629C61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55" name="Line 1309">
            <a:extLst>
              <a:ext uri="{FF2B5EF4-FFF2-40B4-BE49-F238E27FC236}">
                <a16:creationId xmlns:a16="http://schemas.microsoft.com/office/drawing/2014/main" id="{7B474B55-771D-CE95-5B6B-31FCF21FC63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56" name="Line 1310">
            <a:extLst>
              <a:ext uri="{FF2B5EF4-FFF2-40B4-BE49-F238E27FC236}">
                <a16:creationId xmlns:a16="http://schemas.microsoft.com/office/drawing/2014/main" id="{0AA7AF58-2CA5-FFB7-39AB-9A61AAB51AE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57" name="Rectangle 1311">
            <a:extLst>
              <a:ext uri="{FF2B5EF4-FFF2-40B4-BE49-F238E27FC236}">
                <a16:creationId xmlns:a16="http://schemas.microsoft.com/office/drawing/2014/main" id="{CCAFC13B-2B6A-4889-7E17-885C9B1D00A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58" name="Oval 1312">
            <a:extLst>
              <a:ext uri="{FF2B5EF4-FFF2-40B4-BE49-F238E27FC236}">
                <a16:creationId xmlns:a16="http://schemas.microsoft.com/office/drawing/2014/main" id="{DF69A95B-6E6E-7D21-0650-61FCD019C812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59" name="Oval 1313">
            <a:extLst>
              <a:ext uri="{FF2B5EF4-FFF2-40B4-BE49-F238E27FC236}">
                <a16:creationId xmlns:a16="http://schemas.microsoft.com/office/drawing/2014/main" id="{BCB71DBA-A0BB-DEDA-2F8C-3B02D0C9AAE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60" name="Rectangle 1314">
            <a:extLst>
              <a:ext uri="{FF2B5EF4-FFF2-40B4-BE49-F238E27FC236}">
                <a16:creationId xmlns:a16="http://schemas.microsoft.com/office/drawing/2014/main" id="{5AF3975B-5315-019F-0BE7-043022E20DA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61" name="Rectangle 1315">
            <a:extLst>
              <a:ext uri="{FF2B5EF4-FFF2-40B4-BE49-F238E27FC236}">
                <a16:creationId xmlns:a16="http://schemas.microsoft.com/office/drawing/2014/main" id="{D6B664FB-FCF3-D949-CCDF-9E1D698B6F5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62" name="Rectangle 1316">
            <a:extLst>
              <a:ext uri="{FF2B5EF4-FFF2-40B4-BE49-F238E27FC236}">
                <a16:creationId xmlns:a16="http://schemas.microsoft.com/office/drawing/2014/main" id="{35E6892F-EB54-487E-D32E-AE2A9DD223E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63" name="Rectangle 1317">
            <a:extLst>
              <a:ext uri="{FF2B5EF4-FFF2-40B4-BE49-F238E27FC236}">
                <a16:creationId xmlns:a16="http://schemas.microsoft.com/office/drawing/2014/main" id="{A0205C45-9E9B-47B9-9573-DF94072D2DC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264" name="Group 1318">
            <a:extLst>
              <a:ext uri="{FF2B5EF4-FFF2-40B4-BE49-F238E27FC236}">
                <a16:creationId xmlns:a16="http://schemas.microsoft.com/office/drawing/2014/main" id="{42E85D2E-50F9-436D-866F-8263F5AAA8EC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267" name="Rectangle 1319">
              <a:extLst>
                <a:ext uri="{FF2B5EF4-FFF2-40B4-BE49-F238E27FC236}">
                  <a16:creationId xmlns:a16="http://schemas.microsoft.com/office/drawing/2014/main" id="{7EBB0D8D-36DB-260E-5761-90C2E27005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68" name="Line 1320">
              <a:extLst>
                <a:ext uri="{FF2B5EF4-FFF2-40B4-BE49-F238E27FC236}">
                  <a16:creationId xmlns:a16="http://schemas.microsoft.com/office/drawing/2014/main" id="{24864C36-DD9A-25D8-2E1C-6333028934F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69" name="Line 1321">
              <a:extLst>
                <a:ext uri="{FF2B5EF4-FFF2-40B4-BE49-F238E27FC236}">
                  <a16:creationId xmlns:a16="http://schemas.microsoft.com/office/drawing/2014/main" id="{89DB61EB-A95E-4C2E-24DD-5995C8F09F61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70" name="Rectangle 1322">
              <a:extLst>
                <a:ext uri="{FF2B5EF4-FFF2-40B4-BE49-F238E27FC236}">
                  <a16:creationId xmlns:a16="http://schemas.microsoft.com/office/drawing/2014/main" id="{B4756525-1CC8-5DAC-D368-D8C38D3DFF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71" name="Oval 1323">
              <a:extLst>
                <a:ext uri="{FF2B5EF4-FFF2-40B4-BE49-F238E27FC236}">
                  <a16:creationId xmlns:a16="http://schemas.microsoft.com/office/drawing/2014/main" id="{521A4558-1D50-7D2E-CC22-D28B06A51D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72" name="Oval 1324">
              <a:extLst>
                <a:ext uri="{FF2B5EF4-FFF2-40B4-BE49-F238E27FC236}">
                  <a16:creationId xmlns:a16="http://schemas.microsoft.com/office/drawing/2014/main" id="{79445E0F-C3DA-4502-6195-B75A165CED5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73" name="Rectangle 1325">
              <a:extLst>
                <a:ext uri="{FF2B5EF4-FFF2-40B4-BE49-F238E27FC236}">
                  <a16:creationId xmlns:a16="http://schemas.microsoft.com/office/drawing/2014/main" id="{D1BDAA52-EBA4-C75C-41EC-24C6D6736A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74" name="Rectangle 1326">
              <a:extLst>
                <a:ext uri="{FF2B5EF4-FFF2-40B4-BE49-F238E27FC236}">
                  <a16:creationId xmlns:a16="http://schemas.microsoft.com/office/drawing/2014/main" id="{AFAC4C72-6D57-93A8-B2B1-C966B934BF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75" name="Rectangle 1327">
              <a:extLst>
                <a:ext uri="{FF2B5EF4-FFF2-40B4-BE49-F238E27FC236}">
                  <a16:creationId xmlns:a16="http://schemas.microsoft.com/office/drawing/2014/main" id="{1A7EA538-54E8-FE4D-CDA9-781A7618E4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76" name="Rectangle 1328">
              <a:extLst>
                <a:ext uri="{FF2B5EF4-FFF2-40B4-BE49-F238E27FC236}">
                  <a16:creationId xmlns:a16="http://schemas.microsoft.com/office/drawing/2014/main" id="{011CD9F5-7BED-C4C6-5171-2C76BCD4B88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265" name="Rectangle 1329">
            <a:extLst>
              <a:ext uri="{FF2B5EF4-FFF2-40B4-BE49-F238E27FC236}">
                <a16:creationId xmlns:a16="http://schemas.microsoft.com/office/drawing/2014/main" id="{BBC53741-4634-B270-6B84-C0B0113A2CE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66" name="Rectangle 1330">
            <a:extLst>
              <a:ext uri="{FF2B5EF4-FFF2-40B4-BE49-F238E27FC236}">
                <a16:creationId xmlns:a16="http://schemas.microsoft.com/office/drawing/2014/main" id="{91A4A778-453F-C216-47D2-FD8ED4D927A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2" name="Group 1331">
          <a:extLst>
            <a:ext uri="{FF2B5EF4-FFF2-40B4-BE49-F238E27FC236}">
              <a16:creationId xmlns:a16="http://schemas.microsoft.com/office/drawing/2014/main" id="{6D1262E3-945A-FAA3-6EBE-9850DFFB7795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231" name="Rectangle 1332">
            <a:extLst>
              <a:ext uri="{FF2B5EF4-FFF2-40B4-BE49-F238E27FC236}">
                <a16:creationId xmlns:a16="http://schemas.microsoft.com/office/drawing/2014/main" id="{E828E899-28F9-D37C-DEAE-2D220E126DC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32" name="Line 1333">
            <a:extLst>
              <a:ext uri="{FF2B5EF4-FFF2-40B4-BE49-F238E27FC236}">
                <a16:creationId xmlns:a16="http://schemas.microsoft.com/office/drawing/2014/main" id="{C710A448-8BB7-FD37-4911-2E8E918BBAD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33" name="Line 1334">
            <a:extLst>
              <a:ext uri="{FF2B5EF4-FFF2-40B4-BE49-F238E27FC236}">
                <a16:creationId xmlns:a16="http://schemas.microsoft.com/office/drawing/2014/main" id="{011EC29B-3F9A-2A13-EF98-322778197177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34" name="Rectangle 1335">
            <a:extLst>
              <a:ext uri="{FF2B5EF4-FFF2-40B4-BE49-F238E27FC236}">
                <a16:creationId xmlns:a16="http://schemas.microsoft.com/office/drawing/2014/main" id="{87BB397E-CB00-8590-406B-788F53988BEF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35" name="Oval 1336">
            <a:extLst>
              <a:ext uri="{FF2B5EF4-FFF2-40B4-BE49-F238E27FC236}">
                <a16:creationId xmlns:a16="http://schemas.microsoft.com/office/drawing/2014/main" id="{3900A6A9-0994-4283-F467-578C5073C43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36" name="Oval 1337">
            <a:extLst>
              <a:ext uri="{FF2B5EF4-FFF2-40B4-BE49-F238E27FC236}">
                <a16:creationId xmlns:a16="http://schemas.microsoft.com/office/drawing/2014/main" id="{B480A824-8EED-F47E-4980-3773A359672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37" name="Rectangle 1338">
            <a:extLst>
              <a:ext uri="{FF2B5EF4-FFF2-40B4-BE49-F238E27FC236}">
                <a16:creationId xmlns:a16="http://schemas.microsoft.com/office/drawing/2014/main" id="{9EFEF484-D57E-2887-DF00-3D71F35BC158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38" name="Rectangle 1339">
            <a:extLst>
              <a:ext uri="{FF2B5EF4-FFF2-40B4-BE49-F238E27FC236}">
                <a16:creationId xmlns:a16="http://schemas.microsoft.com/office/drawing/2014/main" id="{0229A52E-84CB-BC3C-00B0-94F86F94D85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39" name="Rectangle 1340">
            <a:extLst>
              <a:ext uri="{FF2B5EF4-FFF2-40B4-BE49-F238E27FC236}">
                <a16:creationId xmlns:a16="http://schemas.microsoft.com/office/drawing/2014/main" id="{9307B4DE-4968-A91C-75E0-1E92025C9FC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40" name="Rectangle 1341">
            <a:extLst>
              <a:ext uri="{FF2B5EF4-FFF2-40B4-BE49-F238E27FC236}">
                <a16:creationId xmlns:a16="http://schemas.microsoft.com/office/drawing/2014/main" id="{0B20D542-3F63-1BB6-2B45-30AD7642035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241" name="Group 1342">
            <a:extLst>
              <a:ext uri="{FF2B5EF4-FFF2-40B4-BE49-F238E27FC236}">
                <a16:creationId xmlns:a16="http://schemas.microsoft.com/office/drawing/2014/main" id="{EEB63774-8DD9-E33C-FD5F-A596BE294DE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244" name="Rectangle 1343">
              <a:extLst>
                <a:ext uri="{FF2B5EF4-FFF2-40B4-BE49-F238E27FC236}">
                  <a16:creationId xmlns:a16="http://schemas.microsoft.com/office/drawing/2014/main" id="{88035A89-B82F-CD0A-13BB-D032443E0CA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45" name="Line 1344">
              <a:extLst>
                <a:ext uri="{FF2B5EF4-FFF2-40B4-BE49-F238E27FC236}">
                  <a16:creationId xmlns:a16="http://schemas.microsoft.com/office/drawing/2014/main" id="{E7132958-8508-E703-E16E-DDC49D4935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46" name="Line 1345">
              <a:extLst>
                <a:ext uri="{FF2B5EF4-FFF2-40B4-BE49-F238E27FC236}">
                  <a16:creationId xmlns:a16="http://schemas.microsoft.com/office/drawing/2014/main" id="{EB30C63C-BCDB-AE36-5EC6-966D217FE79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47" name="Rectangle 1346">
              <a:extLst>
                <a:ext uri="{FF2B5EF4-FFF2-40B4-BE49-F238E27FC236}">
                  <a16:creationId xmlns:a16="http://schemas.microsoft.com/office/drawing/2014/main" id="{99ABF4CA-CE18-DD12-4E15-DE9E532EEE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48" name="Oval 1347">
              <a:extLst>
                <a:ext uri="{FF2B5EF4-FFF2-40B4-BE49-F238E27FC236}">
                  <a16:creationId xmlns:a16="http://schemas.microsoft.com/office/drawing/2014/main" id="{68A429CA-CE0F-8B27-0787-627DF0B882B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49" name="Oval 1348">
              <a:extLst>
                <a:ext uri="{FF2B5EF4-FFF2-40B4-BE49-F238E27FC236}">
                  <a16:creationId xmlns:a16="http://schemas.microsoft.com/office/drawing/2014/main" id="{3FFD833B-F31D-3FF5-DB17-A0E1EBEF482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50" name="Rectangle 1349">
              <a:extLst>
                <a:ext uri="{FF2B5EF4-FFF2-40B4-BE49-F238E27FC236}">
                  <a16:creationId xmlns:a16="http://schemas.microsoft.com/office/drawing/2014/main" id="{2AA58D41-8E20-C1D9-8BB1-7ECFE16E14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51" name="Rectangle 1350">
              <a:extLst>
                <a:ext uri="{FF2B5EF4-FFF2-40B4-BE49-F238E27FC236}">
                  <a16:creationId xmlns:a16="http://schemas.microsoft.com/office/drawing/2014/main" id="{E666EE9F-C84A-DE21-09EB-C2B5238293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52" name="Rectangle 1351">
              <a:extLst>
                <a:ext uri="{FF2B5EF4-FFF2-40B4-BE49-F238E27FC236}">
                  <a16:creationId xmlns:a16="http://schemas.microsoft.com/office/drawing/2014/main" id="{00A425BA-095D-3B6E-B800-90F61AA4D05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53" name="Rectangle 1352">
              <a:extLst>
                <a:ext uri="{FF2B5EF4-FFF2-40B4-BE49-F238E27FC236}">
                  <a16:creationId xmlns:a16="http://schemas.microsoft.com/office/drawing/2014/main" id="{6549CDC4-BFB0-185D-062C-C96DC489FC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242" name="Rectangle 1353">
            <a:extLst>
              <a:ext uri="{FF2B5EF4-FFF2-40B4-BE49-F238E27FC236}">
                <a16:creationId xmlns:a16="http://schemas.microsoft.com/office/drawing/2014/main" id="{03CB01EE-15ED-90D6-F3BE-D2E66E87D05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43" name="Rectangle 1354">
            <a:extLst>
              <a:ext uri="{FF2B5EF4-FFF2-40B4-BE49-F238E27FC236}">
                <a16:creationId xmlns:a16="http://schemas.microsoft.com/office/drawing/2014/main" id="{4B8CE31A-F321-F553-A063-E208B6DE303E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3" name="Group 1355">
          <a:extLst>
            <a:ext uri="{FF2B5EF4-FFF2-40B4-BE49-F238E27FC236}">
              <a16:creationId xmlns:a16="http://schemas.microsoft.com/office/drawing/2014/main" id="{C9745295-F960-25B1-5B28-10366245289C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208" name="Rectangle 1356">
            <a:extLst>
              <a:ext uri="{FF2B5EF4-FFF2-40B4-BE49-F238E27FC236}">
                <a16:creationId xmlns:a16="http://schemas.microsoft.com/office/drawing/2014/main" id="{78365AA2-CF10-62F4-F401-C42936A1064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09" name="Line 1357">
            <a:extLst>
              <a:ext uri="{FF2B5EF4-FFF2-40B4-BE49-F238E27FC236}">
                <a16:creationId xmlns:a16="http://schemas.microsoft.com/office/drawing/2014/main" id="{63F3CF75-B8C4-BCBE-FD48-0E646BE30EEF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10" name="Line 1358">
            <a:extLst>
              <a:ext uri="{FF2B5EF4-FFF2-40B4-BE49-F238E27FC236}">
                <a16:creationId xmlns:a16="http://schemas.microsoft.com/office/drawing/2014/main" id="{F6D72D2A-E2B3-A32F-B5C8-655031171F0F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211" name="Rectangle 1359">
            <a:extLst>
              <a:ext uri="{FF2B5EF4-FFF2-40B4-BE49-F238E27FC236}">
                <a16:creationId xmlns:a16="http://schemas.microsoft.com/office/drawing/2014/main" id="{EA8BA73C-2B60-A866-9282-2FFF7B25CEEF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12" name="Oval 1360">
            <a:extLst>
              <a:ext uri="{FF2B5EF4-FFF2-40B4-BE49-F238E27FC236}">
                <a16:creationId xmlns:a16="http://schemas.microsoft.com/office/drawing/2014/main" id="{B0B726C1-C4F0-D731-2673-FCFD6713333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13" name="Oval 1361">
            <a:extLst>
              <a:ext uri="{FF2B5EF4-FFF2-40B4-BE49-F238E27FC236}">
                <a16:creationId xmlns:a16="http://schemas.microsoft.com/office/drawing/2014/main" id="{37526F5F-BCD0-C1E9-A050-9AADE154844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214" name="Rectangle 1362">
            <a:extLst>
              <a:ext uri="{FF2B5EF4-FFF2-40B4-BE49-F238E27FC236}">
                <a16:creationId xmlns:a16="http://schemas.microsoft.com/office/drawing/2014/main" id="{85BC5A56-8AFA-8749-CD0A-6418F108B2C3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15" name="Rectangle 1363">
            <a:extLst>
              <a:ext uri="{FF2B5EF4-FFF2-40B4-BE49-F238E27FC236}">
                <a16:creationId xmlns:a16="http://schemas.microsoft.com/office/drawing/2014/main" id="{AD27F4C4-792C-BCAA-9496-FA265F2F737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16" name="Rectangle 1364">
            <a:extLst>
              <a:ext uri="{FF2B5EF4-FFF2-40B4-BE49-F238E27FC236}">
                <a16:creationId xmlns:a16="http://schemas.microsoft.com/office/drawing/2014/main" id="{26EC4680-23F1-271B-92F6-51E8EF3B6EB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17" name="Rectangle 1365">
            <a:extLst>
              <a:ext uri="{FF2B5EF4-FFF2-40B4-BE49-F238E27FC236}">
                <a16:creationId xmlns:a16="http://schemas.microsoft.com/office/drawing/2014/main" id="{28F84BD3-F5BC-DC95-D327-25F4D430F19C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218" name="Group 1366">
            <a:extLst>
              <a:ext uri="{FF2B5EF4-FFF2-40B4-BE49-F238E27FC236}">
                <a16:creationId xmlns:a16="http://schemas.microsoft.com/office/drawing/2014/main" id="{340582D8-FA22-AC62-6F32-A072914EF608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221" name="Rectangle 1367">
              <a:extLst>
                <a:ext uri="{FF2B5EF4-FFF2-40B4-BE49-F238E27FC236}">
                  <a16:creationId xmlns:a16="http://schemas.microsoft.com/office/drawing/2014/main" id="{64596F40-A9D2-A988-8FFD-D937603100C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22" name="Line 1368">
              <a:extLst>
                <a:ext uri="{FF2B5EF4-FFF2-40B4-BE49-F238E27FC236}">
                  <a16:creationId xmlns:a16="http://schemas.microsoft.com/office/drawing/2014/main" id="{9251CA25-D18D-294C-F1B1-FE4DBA30D9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23" name="Line 1369">
              <a:extLst>
                <a:ext uri="{FF2B5EF4-FFF2-40B4-BE49-F238E27FC236}">
                  <a16:creationId xmlns:a16="http://schemas.microsoft.com/office/drawing/2014/main" id="{B4A2F038-B8FE-A19A-6F1C-A165492925C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24" name="Rectangle 1370">
              <a:extLst>
                <a:ext uri="{FF2B5EF4-FFF2-40B4-BE49-F238E27FC236}">
                  <a16:creationId xmlns:a16="http://schemas.microsoft.com/office/drawing/2014/main" id="{0310AA34-6DC2-B8C9-F74B-248DD55554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25" name="Oval 1371">
              <a:extLst>
                <a:ext uri="{FF2B5EF4-FFF2-40B4-BE49-F238E27FC236}">
                  <a16:creationId xmlns:a16="http://schemas.microsoft.com/office/drawing/2014/main" id="{A39EC09F-8FFC-2480-DF21-9AD237859A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26" name="Oval 1372">
              <a:extLst>
                <a:ext uri="{FF2B5EF4-FFF2-40B4-BE49-F238E27FC236}">
                  <a16:creationId xmlns:a16="http://schemas.microsoft.com/office/drawing/2014/main" id="{3F2C8312-F9CA-023C-3C42-3B1CB143DBC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27" name="Rectangle 1373">
              <a:extLst>
                <a:ext uri="{FF2B5EF4-FFF2-40B4-BE49-F238E27FC236}">
                  <a16:creationId xmlns:a16="http://schemas.microsoft.com/office/drawing/2014/main" id="{4B8DC808-F57D-4467-4C4B-F9CD925F11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28" name="Rectangle 1374">
              <a:extLst>
                <a:ext uri="{FF2B5EF4-FFF2-40B4-BE49-F238E27FC236}">
                  <a16:creationId xmlns:a16="http://schemas.microsoft.com/office/drawing/2014/main" id="{6F8146B4-4262-79E8-B3F8-E3F863D36DD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29" name="Rectangle 1375">
              <a:extLst>
                <a:ext uri="{FF2B5EF4-FFF2-40B4-BE49-F238E27FC236}">
                  <a16:creationId xmlns:a16="http://schemas.microsoft.com/office/drawing/2014/main" id="{3C42F5BC-E2B0-AFC5-3D7D-671B68CFC8E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30" name="Rectangle 1376">
              <a:extLst>
                <a:ext uri="{FF2B5EF4-FFF2-40B4-BE49-F238E27FC236}">
                  <a16:creationId xmlns:a16="http://schemas.microsoft.com/office/drawing/2014/main" id="{08049E06-5213-B613-1C56-AC02B322501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219" name="Rectangle 1377">
            <a:extLst>
              <a:ext uri="{FF2B5EF4-FFF2-40B4-BE49-F238E27FC236}">
                <a16:creationId xmlns:a16="http://schemas.microsoft.com/office/drawing/2014/main" id="{8FDDED01-CB9F-678D-57EA-71D94AE122AD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220" name="Rectangle 1378">
            <a:extLst>
              <a:ext uri="{FF2B5EF4-FFF2-40B4-BE49-F238E27FC236}">
                <a16:creationId xmlns:a16="http://schemas.microsoft.com/office/drawing/2014/main" id="{BD16B8BE-D08A-86FD-2C94-676FF2FE0F1B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4" name="Group 1379">
          <a:extLst>
            <a:ext uri="{FF2B5EF4-FFF2-40B4-BE49-F238E27FC236}">
              <a16:creationId xmlns:a16="http://schemas.microsoft.com/office/drawing/2014/main" id="{91FF76FF-D42C-D5FE-CFD2-E64725A8A3C5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185" name="Rectangle 1380">
            <a:extLst>
              <a:ext uri="{FF2B5EF4-FFF2-40B4-BE49-F238E27FC236}">
                <a16:creationId xmlns:a16="http://schemas.microsoft.com/office/drawing/2014/main" id="{4355C2AE-2ACA-6F6B-2F43-7BD01D8FB82C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86" name="Line 1381">
            <a:extLst>
              <a:ext uri="{FF2B5EF4-FFF2-40B4-BE49-F238E27FC236}">
                <a16:creationId xmlns:a16="http://schemas.microsoft.com/office/drawing/2014/main" id="{E91DBF8B-C9A4-B5D1-5BFB-757687B4117D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87" name="Line 1382">
            <a:extLst>
              <a:ext uri="{FF2B5EF4-FFF2-40B4-BE49-F238E27FC236}">
                <a16:creationId xmlns:a16="http://schemas.microsoft.com/office/drawing/2014/main" id="{A6BF1D0D-67CB-22EB-78E7-937BAF4F1A0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88" name="Rectangle 1383">
            <a:extLst>
              <a:ext uri="{FF2B5EF4-FFF2-40B4-BE49-F238E27FC236}">
                <a16:creationId xmlns:a16="http://schemas.microsoft.com/office/drawing/2014/main" id="{E3074F1D-05EB-4605-AE67-4E61D8F9765D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89" name="Oval 1384">
            <a:extLst>
              <a:ext uri="{FF2B5EF4-FFF2-40B4-BE49-F238E27FC236}">
                <a16:creationId xmlns:a16="http://schemas.microsoft.com/office/drawing/2014/main" id="{B6F05092-35C3-E992-0B04-3B5EEFC305A4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90" name="Oval 1385">
            <a:extLst>
              <a:ext uri="{FF2B5EF4-FFF2-40B4-BE49-F238E27FC236}">
                <a16:creationId xmlns:a16="http://schemas.microsoft.com/office/drawing/2014/main" id="{3AD57FAD-E324-6CE1-54EB-02C626D4F79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91" name="Rectangle 1386">
            <a:extLst>
              <a:ext uri="{FF2B5EF4-FFF2-40B4-BE49-F238E27FC236}">
                <a16:creationId xmlns:a16="http://schemas.microsoft.com/office/drawing/2014/main" id="{2BF242F5-176B-4024-1A26-BCBE81856C14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92" name="Rectangle 1387">
            <a:extLst>
              <a:ext uri="{FF2B5EF4-FFF2-40B4-BE49-F238E27FC236}">
                <a16:creationId xmlns:a16="http://schemas.microsoft.com/office/drawing/2014/main" id="{2DB9FAEC-6841-F223-5D1C-2601644A64B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93" name="Rectangle 1388">
            <a:extLst>
              <a:ext uri="{FF2B5EF4-FFF2-40B4-BE49-F238E27FC236}">
                <a16:creationId xmlns:a16="http://schemas.microsoft.com/office/drawing/2014/main" id="{E3527B1A-B746-A8C0-DB64-607E719B499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94" name="Rectangle 1389">
            <a:extLst>
              <a:ext uri="{FF2B5EF4-FFF2-40B4-BE49-F238E27FC236}">
                <a16:creationId xmlns:a16="http://schemas.microsoft.com/office/drawing/2014/main" id="{C40B79A1-F94C-DC5B-EB0B-BF42FC7367D6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195" name="Group 1390">
            <a:extLst>
              <a:ext uri="{FF2B5EF4-FFF2-40B4-BE49-F238E27FC236}">
                <a16:creationId xmlns:a16="http://schemas.microsoft.com/office/drawing/2014/main" id="{484D927D-FBEA-73C8-81D3-EDAC04844187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198" name="Rectangle 1391">
              <a:extLst>
                <a:ext uri="{FF2B5EF4-FFF2-40B4-BE49-F238E27FC236}">
                  <a16:creationId xmlns:a16="http://schemas.microsoft.com/office/drawing/2014/main" id="{1C5CD212-F76D-0CA6-FE85-8BD8BB5597D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99" name="Line 1392">
              <a:extLst>
                <a:ext uri="{FF2B5EF4-FFF2-40B4-BE49-F238E27FC236}">
                  <a16:creationId xmlns:a16="http://schemas.microsoft.com/office/drawing/2014/main" id="{E071AB2C-D85D-21C1-AF09-68753426BA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00" name="Line 1393">
              <a:extLst>
                <a:ext uri="{FF2B5EF4-FFF2-40B4-BE49-F238E27FC236}">
                  <a16:creationId xmlns:a16="http://schemas.microsoft.com/office/drawing/2014/main" id="{7B97D9EA-1063-FD5E-F330-9802D8DEEEC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201" name="Rectangle 1394">
              <a:extLst>
                <a:ext uri="{FF2B5EF4-FFF2-40B4-BE49-F238E27FC236}">
                  <a16:creationId xmlns:a16="http://schemas.microsoft.com/office/drawing/2014/main" id="{517E50A2-95AE-2572-D15E-E0F3C39C2B7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02" name="Oval 1395">
              <a:extLst>
                <a:ext uri="{FF2B5EF4-FFF2-40B4-BE49-F238E27FC236}">
                  <a16:creationId xmlns:a16="http://schemas.microsoft.com/office/drawing/2014/main" id="{F1DA610A-30C5-4214-D9C4-F60B7F486A1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03" name="Oval 1396">
              <a:extLst>
                <a:ext uri="{FF2B5EF4-FFF2-40B4-BE49-F238E27FC236}">
                  <a16:creationId xmlns:a16="http://schemas.microsoft.com/office/drawing/2014/main" id="{9A89FFA6-C70D-959B-75C6-01D3B5FD2D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204" name="Rectangle 1397">
              <a:extLst>
                <a:ext uri="{FF2B5EF4-FFF2-40B4-BE49-F238E27FC236}">
                  <a16:creationId xmlns:a16="http://schemas.microsoft.com/office/drawing/2014/main" id="{5273822F-C94B-3535-C537-23F56DE862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05" name="Rectangle 1398">
              <a:extLst>
                <a:ext uri="{FF2B5EF4-FFF2-40B4-BE49-F238E27FC236}">
                  <a16:creationId xmlns:a16="http://schemas.microsoft.com/office/drawing/2014/main" id="{28F6A031-74E1-7B19-27C9-0690A5EA19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06" name="Rectangle 1399">
              <a:extLst>
                <a:ext uri="{FF2B5EF4-FFF2-40B4-BE49-F238E27FC236}">
                  <a16:creationId xmlns:a16="http://schemas.microsoft.com/office/drawing/2014/main" id="{A6A0A89A-88F1-C6AF-02E2-A39771A787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207" name="Rectangle 1400">
              <a:extLst>
                <a:ext uri="{FF2B5EF4-FFF2-40B4-BE49-F238E27FC236}">
                  <a16:creationId xmlns:a16="http://schemas.microsoft.com/office/drawing/2014/main" id="{877A4692-E178-7AE4-7108-3BD9F045F6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196" name="Rectangle 1401">
            <a:extLst>
              <a:ext uri="{FF2B5EF4-FFF2-40B4-BE49-F238E27FC236}">
                <a16:creationId xmlns:a16="http://schemas.microsoft.com/office/drawing/2014/main" id="{65AF0841-88E4-4A72-4A1A-4F7B8EC0A10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97" name="Rectangle 1402">
            <a:extLst>
              <a:ext uri="{FF2B5EF4-FFF2-40B4-BE49-F238E27FC236}">
                <a16:creationId xmlns:a16="http://schemas.microsoft.com/office/drawing/2014/main" id="{CE673183-3592-D863-248C-1CEFA456B85B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5" name="Group 1403">
          <a:extLst>
            <a:ext uri="{FF2B5EF4-FFF2-40B4-BE49-F238E27FC236}">
              <a16:creationId xmlns:a16="http://schemas.microsoft.com/office/drawing/2014/main" id="{0880E536-DB9B-2924-FAB9-859E857031EF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162" name="Rectangle 1404">
            <a:extLst>
              <a:ext uri="{FF2B5EF4-FFF2-40B4-BE49-F238E27FC236}">
                <a16:creationId xmlns:a16="http://schemas.microsoft.com/office/drawing/2014/main" id="{64143971-3D64-BE58-D28D-B0D52AC2BE2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63" name="Line 1405">
            <a:extLst>
              <a:ext uri="{FF2B5EF4-FFF2-40B4-BE49-F238E27FC236}">
                <a16:creationId xmlns:a16="http://schemas.microsoft.com/office/drawing/2014/main" id="{C314ADBA-FB27-5976-528B-012D7D58348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64" name="Line 1406">
            <a:extLst>
              <a:ext uri="{FF2B5EF4-FFF2-40B4-BE49-F238E27FC236}">
                <a16:creationId xmlns:a16="http://schemas.microsoft.com/office/drawing/2014/main" id="{B83185E7-5E37-6EEB-3A21-64C396E920DB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65" name="Rectangle 1407">
            <a:extLst>
              <a:ext uri="{FF2B5EF4-FFF2-40B4-BE49-F238E27FC236}">
                <a16:creationId xmlns:a16="http://schemas.microsoft.com/office/drawing/2014/main" id="{77CCCF8D-C16B-9E69-4877-F986BFD534BF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66" name="Oval 1408">
            <a:extLst>
              <a:ext uri="{FF2B5EF4-FFF2-40B4-BE49-F238E27FC236}">
                <a16:creationId xmlns:a16="http://schemas.microsoft.com/office/drawing/2014/main" id="{A7B5782A-4C42-9392-253D-2A3552228FD6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67" name="Oval 1409">
            <a:extLst>
              <a:ext uri="{FF2B5EF4-FFF2-40B4-BE49-F238E27FC236}">
                <a16:creationId xmlns:a16="http://schemas.microsoft.com/office/drawing/2014/main" id="{C9D9B0DD-BD84-9FFD-1989-77E60BE883A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68" name="Rectangle 1410">
            <a:extLst>
              <a:ext uri="{FF2B5EF4-FFF2-40B4-BE49-F238E27FC236}">
                <a16:creationId xmlns:a16="http://schemas.microsoft.com/office/drawing/2014/main" id="{25BD70AF-7384-7023-C1DC-37BF870E3B5E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69" name="Rectangle 1411">
            <a:extLst>
              <a:ext uri="{FF2B5EF4-FFF2-40B4-BE49-F238E27FC236}">
                <a16:creationId xmlns:a16="http://schemas.microsoft.com/office/drawing/2014/main" id="{48AC96C8-5512-FDD6-CA21-6824AD7913BC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70" name="Rectangle 1412">
            <a:extLst>
              <a:ext uri="{FF2B5EF4-FFF2-40B4-BE49-F238E27FC236}">
                <a16:creationId xmlns:a16="http://schemas.microsoft.com/office/drawing/2014/main" id="{5D95433F-4D61-1F73-9DC6-9281E3F4B0F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71" name="Rectangle 1413">
            <a:extLst>
              <a:ext uri="{FF2B5EF4-FFF2-40B4-BE49-F238E27FC236}">
                <a16:creationId xmlns:a16="http://schemas.microsoft.com/office/drawing/2014/main" id="{7D450A92-E642-7CBC-89F7-2DFC21A1BDB9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172" name="Group 1414">
            <a:extLst>
              <a:ext uri="{FF2B5EF4-FFF2-40B4-BE49-F238E27FC236}">
                <a16:creationId xmlns:a16="http://schemas.microsoft.com/office/drawing/2014/main" id="{E86CEC53-9E27-01FC-FF8B-8B2CC0AD130E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175" name="Rectangle 1415">
              <a:extLst>
                <a:ext uri="{FF2B5EF4-FFF2-40B4-BE49-F238E27FC236}">
                  <a16:creationId xmlns:a16="http://schemas.microsoft.com/office/drawing/2014/main" id="{FF41E529-C2DB-E1D5-6923-C78648475A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76" name="Line 1416">
              <a:extLst>
                <a:ext uri="{FF2B5EF4-FFF2-40B4-BE49-F238E27FC236}">
                  <a16:creationId xmlns:a16="http://schemas.microsoft.com/office/drawing/2014/main" id="{122C88DE-9134-B973-4EF7-2664656D85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177" name="Line 1417">
              <a:extLst>
                <a:ext uri="{FF2B5EF4-FFF2-40B4-BE49-F238E27FC236}">
                  <a16:creationId xmlns:a16="http://schemas.microsoft.com/office/drawing/2014/main" id="{D1DD4775-9D0A-6290-6188-C0A08FBB360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178" name="Rectangle 1418">
              <a:extLst>
                <a:ext uri="{FF2B5EF4-FFF2-40B4-BE49-F238E27FC236}">
                  <a16:creationId xmlns:a16="http://schemas.microsoft.com/office/drawing/2014/main" id="{820506BB-CA6F-312E-F876-F8BDACC06A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79" name="Oval 1419">
              <a:extLst>
                <a:ext uri="{FF2B5EF4-FFF2-40B4-BE49-F238E27FC236}">
                  <a16:creationId xmlns:a16="http://schemas.microsoft.com/office/drawing/2014/main" id="{19B79BBE-AFD7-4B85-B90B-4D834CB8C6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180" name="Oval 1420">
              <a:extLst>
                <a:ext uri="{FF2B5EF4-FFF2-40B4-BE49-F238E27FC236}">
                  <a16:creationId xmlns:a16="http://schemas.microsoft.com/office/drawing/2014/main" id="{A05AAF9A-FEEE-AAD2-B1FD-54CA20747A0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181" name="Rectangle 1421">
              <a:extLst>
                <a:ext uri="{FF2B5EF4-FFF2-40B4-BE49-F238E27FC236}">
                  <a16:creationId xmlns:a16="http://schemas.microsoft.com/office/drawing/2014/main" id="{A638C43C-B239-A0F4-1EC9-237AE41788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82" name="Rectangle 1422">
              <a:extLst>
                <a:ext uri="{FF2B5EF4-FFF2-40B4-BE49-F238E27FC236}">
                  <a16:creationId xmlns:a16="http://schemas.microsoft.com/office/drawing/2014/main" id="{DBBCC7FC-9730-0DCC-BFC1-D4F32D0751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83" name="Rectangle 1423">
              <a:extLst>
                <a:ext uri="{FF2B5EF4-FFF2-40B4-BE49-F238E27FC236}">
                  <a16:creationId xmlns:a16="http://schemas.microsoft.com/office/drawing/2014/main" id="{AE8337F3-54C4-F86B-9FD5-51450CAB35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84" name="Rectangle 1424">
              <a:extLst>
                <a:ext uri="{FF2B5EF4-FFF2-40B4-BE49-F238E27FC236}">
                  <a16:creationId xmlns:a16="http://schemas.microsoft.com/office/drawing/2014/main" id="{A344026D-B242-093A-6DFF-28B930467DF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173" name="Rectangle 1425">
            <a:extLst>
              <a:ext uri="{FF2B5EF4-FFF2-40B4-BE49-F238E27FC236}">
                <a16:creationId xmlns:a16="http://schemas.microsoft.com/office/drawing/2014/main" id="{E2EC82A7-2811-2124-8335-32B9DC21FBDE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74" name="Rectangle 1426">
            <a:extLst>
              <a:ext uri="{FF2B5EF4-FFF2-40B4-BE49-F238E27FC236}">
                <a16:creationId xmlns:a16="http://schemas.microsoft.com/office/drawing/2014/main" id="{B771DFB8-2210-CC50-F063-4CA1B4B132B6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0</xdr:colOff>
      <xdr:row>2</xdr:row>
      <xdr:rowOff>160020</xdr:rowOff>
    </xdr:from>
    <xdr:to>
      <xdr:col>9</xdr:col>
      <xdr:colOff>0</xdr:colOff>
      <xdr:row>3</xdr:row>
      <xdr:rowOff>0</xdr:rowOff>
    </xdr:to>
    <xdr:grpSp>
      <xdr:nvGrpSpPr>
        <xdr:cNvPr id="529126" name="Group 1427">
          <a:extLst>
            <a:ext uri="{FF2B5EF4-FFF2-40B4-BE49-F238E27FC236}">
              <a16:creationId xmlns:a16="http://schemas.microsoft.com/office/drawing/2014/main" id="{95B29138-8BEB-8C32-A29C-A5D6ED7A7A74}"/>
            </a:ext>
          </a:extLst>
        </xdr:cNvPr>
        <xdr:cNvGrpSpPr>
          <a:grpSpLocks/>
        </xdr:cNvGrpSpPr>
      </xdr:nvGrpSpPr>
      <xdr:grpSpPr bwMode="auto">
        <a:xfrm>
          <a:off x="6812280" y="1295400"/>
          <a:ext cx="0" cy="411480"/>
          <a:chOff x="220" y="176"/>
          <a:chExt cx="556" cy="247"/>
        </a:xfrm>
      </xdr:grpSpPr>
      <xdr:sp macro="" textlink="">
        <xdr:nvSpPr>
          <xdr:cNvPr id="529139" name="Rectangle 1428">
            <a:extLst>
              <a:ext uri="{FF2B5EF4-FFF2-40B4-BE49-F238E27FC236}">
                <a16:creationId xmlns:a16="http://schemas.microsoft.com/office/drawing/2014/main" id="{121B0075-DA6F-560A-6761-CF84DDEA656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0" name="Line 1429">
            <a:extLst>
              <a:ext uri="{FF2B5EF4-FFF2-40B4-BE49-F238E27FC236}">
                <a16:creationId xmlns:a16="http://schemas.microsoft.com/office/drawing/2014/main" id="{E9866B1B-0230-0DA9-35A3-7541C1827A0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41" name="Line 1430">
            <a:extLst>
              <a:ext uri="{FF2B5EF4-FFF2-40B4-BE49-F238E27FC236}">
                <a16:creationId xmlns:a16="http://schemas.microsoft.com/office/drawing/2014/main" id="{24C616A5-8BAC-97CF-EBB8-6456599935E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42" name="Rectangle 1431">
            <a:extLst>
              <a:ext uri="{FF2B5EF4-FFF2-40B4-BE49-F238E27FC236}">
                <a16:creationId xmlns:a16="http://schemas.microsoft.com/office/drawing/2014/main" id="{653FB478-480E-0732-1FC7-93891EC48135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3" name="Oval 1432">
            <a:extLst>
              <a:ext uri="{FF2B5EF4-FFF2-40B4-BE49-F238E27FC236}">
                <a16:creationId xmlns:a16="http://schemas.microsoft.com/office/drawing/2014/main" id="{60122805-38CB-F265-46A3-D8F1CFFEB5D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44" name="Oval 1433">
            <a:extLst>
              <a:ext uri="{FF2B5EF4-FFF2-40B4-BE49-F238E27FC236}">
                <a16:creationId xmlns:a16="http://schemas.microsoft.com/office/drawing/2014/main" id="{537C24DE-21D9-220D-F5B3-9C36055DCF3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45" name="Rectangle 1434">
            <a:extLst>
              <a:ext uri="{FF2B5EF4-FFF2-40B4-BE49-F238E27FC236}">
                <a16:creationId xmlns:a16="http://schemas.microsoft.com/office/drawing/2014/main" id="{8D5C03B2-6273-09A2-0BE9-B464A841D950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6" name="Rectangle 1435">
            <a:extLst>
              <a:ext uri="{FF2B5EF4-FFF2-40B4-BE49-F238E27FC236}">
                <a16:creationId xmlns:a16="http://schemas.microsoft.com/office/drawing/2014/main" id="{0DC25835-FB9C-7B2B-DB20-5656CE437CD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7" name="Rectangle 1436">
            <a:extLst>
              <a:ext uri="{FF2B5EF4-FFF2-40B4-BE49-F238E27FC236}">
                <a16:creationId xmlns:a16="http://schemas.microsoft.com/office/drawing/2014/main" id="{4A1493E0-935C-763B-2BC0-1315963B36B9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48" name="Rectangle 1437">
            <a:extLst>
              <a:ext uri="{FF2B5EF4-FFF2-40B4-BE49-F238E27FC236}">
                <a16:creationId xmlns:a16="http://schemas.microsoft.com/office/drawing/2014/main" id="{2716EC4E-451D-2234-F352-A61238B769A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29149" name="Group 1438">
            <a:extLst>
              <a:ext uri="{FF2B5EF4-FFF2-40B4-BE49-F238E27FC236}">
                <a16:creationId xmlns:a16="http://schemas.microsoft.com/office/drawing/2014/main" id="{68853BCB-AB90-52B9-5951-0C52FDEA7FD2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29152" name="Rectangle 1439">
              <a:extLst>
                <a:ext uri="{FF2B5EF4-FFF2-40B4-BE49-F238E27FC236}">
                  <a16:creationId xmlns:a16="http://schemas.microsoft.com/office/drawing/2014/main" id="{2B788940-C7EC-2B57-E101-1E495114FE9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53" name="Line 1440">
              <a:extLst>
                <a:ext uri="{FF2B5EF4-FFF2-40B4-BE49-F238E27FC236}">
                  <a16:creationId xmlns:a16="http://schemas.microsoft.com/office/drawing/2014/main" id="{D55E7C67-813B-615B-9D92-3CCEC4F05F3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154" name="Line 1441">
              <a:extLst>
                <a:ext uri="{FF2B5EF4-FFF2-40B4-BE49-F238E27FC236}">
                  <a16:creationId xmlns:a16="http://schemas.microsoft.com/office/drawing/2014/main" id="{37C91969-3B7E-20B7-A84C-3856E223E81A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29155" name="Rectangle 1442">
              <a:extLst>
                <a:ext uri="{FF2B5EF4-FFF2-40B4-BE49-F238E27FC236}">
                  <a16:creationId xmlns:a16="http://schemas.microsoft.com/office/drawing/2014/main" id="{D9585328-ABB0-3CCD-14BC-7FBB24DCCAA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56" name="Oval 1443">
              <a:extLst>
                <a:ext uri="{FF2B5EF4-FFF2-40B4-BE49-F238E27FC236}">
                  <a16:creationId xmlns:a16="http://schemas.microsoft.com/office/drawing/2014/main" id="{AD3254AC-46AF-DBDF-42BB-D9022F308F0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157" name="Oval 1444">
              <a:extLst>
                <a:ext uri="{FF2B5EF4-FFF2-40B4-BE49-F238E27FC236}">
                  <a16:creationId xmlns:a16="http://schemas.microsoft.com/office/drawing/2014/main" id="{B2187068-8282-5401-CEC6-4E8F1D9CB1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29158" name="Rectangle 1445">
              <a:extLst>
                <a:ext uri="{FF2B5EF4-FFF2-40B4-BE49-F238E27FC236}">
                  <a16:creationId xmlns:a16="http://schemas.microsoft.com/office/drawing/2014/main" id="{8A2D3341-73E0-23B4-E24E-58E326C59E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59" name="Rectangle 1446">
              <a:extLst>
                <a:ext uri="{FF2B5EF4-FFF2-40B4-BE49-F238E27FC236}">
                  <a16:creationId xmlns:a16="http://schemas.microsoft.com/office/drawing/2014/main" id="{3A3A35DF-AC91-BCF0-FB71-7181E1AF407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60" name="Rectangle 1447">
              <a:extLst>
                <a:ext uri="{FF2B5EF4-FFF2-40B4-BE49-F238E27FC236}">
                  <a16:creationId xmlns:a16="http://schemas.microsoft.com/office/drawing/2014/main" id="{7540D1E6-DC2A-E6B3-0393-B5A1A63FC2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29161" name="Rectangle 1448">
              <a:extLst>
                <a:ext uri="{FF2B5EF4-FFF2-40B4-BE49-F238E27FC236}">
                  <a16:creationId xmlns:a16="http://schemas.microsoft.com/office/drawing/2014/main" id="{321DAE05-4B50-14A9-3BA6-ADFEAD0408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29150" name="Rectangle 1449">
            <a:extLst>
              <a:ext uri="{FF2B5EF4-FFF2-40B4-BE49-F238E27FC236}">
                <a16:creationId xmlns:a16="http://schemas.microsoft.com/office/drawing/2014/main" id="{2B3E9072-055A-7048-83E4-DB35914FA8F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51" name="Rectangle 1450">
            <a:extLst>
              <a:ext uri="{FF2B5EF4-FFF2-40B4-BE49-F238E27FC236}">
                <a16:creationId xmlns:a16="http://schemas.microsoft.com/office/drawing/2014/main" id="{E73F79D8-A7B0-8179-D69C-4C8E2FE6CB8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9</xdr:col>
      <xdr:colOff>198120</xdr:colOff>
      <xdr:row>2</xdr:row>
      <xdr:rowOff>152400</xdr:rowOff>
    </xdr:from>
    <xdr:to>
      <xdr:col>9</xdr:col>
      <xdr:colOff>457200</xdr:colOff>
      <xdr:row>3</xdr:row>
      <xdr:rowOff>0</xdr:rowOff>
    </xdr:to>
    <xdr:grpSp>
      <xdr:nvGrpSpPr>
        <xdr:cNvPr id="529127" name="Group 1519">
          <a:extLst>
            <a:ext uri="{FF2B5EF4-FFF2-40B4-BE49-F238E27FC236}">
              <a16:creationId xmlns:a16="http://schemas.microsoft.com/office/drawing/2014/main" id="{C1650315-36AC-E232-7E08-3143932391FF}"/>
            </a:ext>
          </a:extLst>
        </xdr:cNvPr>
        <xdr:cNvGrpSpPr>
          <a:grpSpLocks/>
        </xdr:cNvGrpSpPr>
      </xdr:nvGrpSpPr>
      <xdr:grpSpPr bwMode="auto">
        <a:xfrm>
          <a:off x="7010400" y="1287780"/>
          <a:ext cx="259080" cy="419100"/>
          <a:chOff x="333" y="153"/>
          <a:chExt cx="219" cy="333"/>
        </a:xfrm>
      </xdr:grpSpPr>
      <xdr:sp macro="" textlink="">
        <xdr:nvSpPr>
          <xdr:cNvPr id="529129" name="Rectangle 1520">
            <a:extLst>
              <a:ext uri="{FF2B5EF4-FFF2-40B4-BE49-F238E27FC236}">
                <a16:creationId xmlns:a16="http://schemas.microsoft.com/office/drawing/2014/main" id="{69683A6F-9AD0-2DDC-00C4-22B4D8CCE92B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0" name="Line 1521">
            <a:extLst>
              <a:ext uri="{FF2B5EF4-FFF2-40B4-BE49-F238E27FC236}">
                <a16:creationId xmlns:a16="http://schemas.microsoft.com/office/drawing/2014/main" id="{DCC02BE5-E633-6840-F787-DB31177352B7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31" name="Line 1522">
            <a:extLst>
              <a:ext uri="{FF2B5EF4-FFF2-40B4-BE49-F238E27FC236}">
                <a16:creationId xmlns:a16="http://schemas.microsoft.com/office/drawing/2014/main" id="{7865FDEA-E9BD-6DBB-0A45-B41CF8C89E3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9132" name="Rectangle 1523">
            <a:extLst>
              <a:ext uri="{FF2B5EF4-FFF2-40B4-BE49-F238E27FC236}">
                <a16:creationId xmlns:a16="http://schemas.microsoft.com/office/drawing/2014/main" id="{0DA002DA-EC46-D859-95FC-0B5A0A4BAA29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3" name="Oval 1524">
            <a:extLst>
              <a:ext uri="{FF2B5EF4-FFF2-40B4-BE49-F238E27FC236}">
                <a16:creationId xmlns:a16="http://schemas.microsoft.com/office/drawing/2014/main" id="{908DAD48-D9D2-80F9-43DB-61EA2C140C9F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34" name="Oval 1525">
            <a:extLst>
              <a:ext uri="{FF2B5EF4-FFF2-40B4-BE49-F238E27FC236}">
                <a16:creationId xmlns:a16="http://schemas.microsoft.com/office/drawing/2014/main" id="{61396CD5-DAFB-CBBB-9116-85BEDC337710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29135" name="Rectangle 1526">
            <a:extLst>
              <a:ext uri="{FF2B5EF4-FFF2-40B4-BE49-F238E27FC236}">
                <a16:creationId xmlns:a16="http://schemas.microsoft.com/office/drawing/2014/main" id="{140A12C3-380E-80A9-26B7-5FD7950F7ABF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6" name="Rectangle 1527">
            <a:extLst>
              <a:ext uri="{FF2B5EF4-FFF2-40B4-BE49-F238E27FC236}">
                <a16:creationId xmlns:a16="http://schemas.microsoft.com/office/drawing/2014/main" id="{A9414520-BE65-AB89-83ED-57CC973218BD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7" name="Rectangle 1528">
            <a:extLst>
              <a:ext uri="{FF2B5EF4-FFF2-40B4-BE49-F238E27FC236}">
                <a16:creationId xmlns:a16="http://schemas.microsoft.com/office/drawing/2014/main" id="{D95D59EA-C85C-4D3C-8B33-EF27EBBDE191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29138" name="Rectangle 1529">
            <a:extLst>
              <a:ext uri="{FF2B5EF4-FFF2-40B4-BE49-F238E27FC236}">
                <a16:creationId xmlns:a16="http://schemas.microsoft.com/office/drawing/2014/main" id="{90F28E17-F5ED-DE62-B79A-B0A12F1E4FA1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563880</xdr:colOff>
      <xdr:row>0</xdr:row>
      <xdr:rowOff>784860</xdr:rowOff>
    </xdr:to>
    <xdr:pic>
      <xdr:nvPicPr>
        <xdr:cNvPr id="529128" name="1034 Imagen" descr="logo masercon ultimo.jpg">
          <a:extLst>
            <a:ext uri="{FF2B5EF4-FFF2-40B4-BE49-F238E27FC236}">
              <a16:creationId xmlns:a16="http://schemas.microsoft.com/office/drawing/2014/main" id="{F1FA6899-6BB5-15D3-3F3D-AB0F41E3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3944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0" name="Group 1">
          <a:extLst>
            <a:ext uri="{FF2B5EF4-FFF2-40B4-BE49-F238E27FC236}">
              <a16:creationId xmlns:a16="http://schemas.microsoft.com/office/drawing/2014/main" id="{6348464B-939B-4880-D4D8-D22344579E9D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629" name="Rectangle 2">
            <a:extLst>
              <a:ext uri="{FF2B5EF4-FFF2-40B4-BE49-F238E27FC236}">
                <a16:creationId xmlns:a16="http://schemas.microsoft.com/office/drawing/2014/main" id="{47DD6AA5-A905-8457-F86B-87F0EE19D18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30" name="Rectangle 3">
            <a:extLst>
              <a:ext uri="{FF2B5EF4-FFF2-40B4-BE49-F238E27FC236}">
                <a16:creationId xmlns:a16="http://schemas.microsoft.com/office/drawing/2014/main" id="{0DF60C75-D0DB-F21E-E1D5-DFDEDC3CE26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31" name="Rectangle 4">
            <a:extLst>
              <a:ext uri="{FF2B5EF4-FFF2-40B4-BE49-F238E27FC236}">
                <a16:creationId xmlns:a16="http://schemas.microsoft.com/office/drawing/2014/main" id="{64003315-DB0C-9A3E-3C20-0BFC25E6E9DA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32" name="Rectangle 5">
            <a:extLst>
              <a:ext uri="{FF2B5EF4-FFF2-40B4-BE49-F238E27FC236}">
                <a16:creationId xmlns:a16="http://schemas.microsoft.com/office/drawing/2014/main" id="{13C2F864-AB6A-343C-0F1C-97DD5ACADDA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33" name="Line 6">
            <a:extLst>
              <a:ext uri="{FF2B5EF4-FFF2-40B4-BE49-F238E27FC236}">
                <a16:creationId xmlns:a16="http://schemas.microsoft.com/office/drawing/2014/main" id="{F43D8C17-1F82-8C31-338C-37A66F5C235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34" name="Line 7">
            <a:extLst>
              <a:ext uri="{FF2B5EF4-FFF2-40B4-BE49-F238E27FC236}">
                <a16:creationId xmlns:a16="http://schemas.microsoft.com/office/drawing/2014/main" id="{F90A1E96-7D6D-2CA9-CEDC-B3C26A3A38D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35" name="Line 8">
            <a:extLst>
              <a:ext uri="{FF2B5EF4-FFF2-40B4-BE49-F238E27FC236}">
                <a16:creationId xmlns:a16="http://schemas.microsoft.com/office/drawing/2014/main" id="{D44AF9E5-D540-FD2B-D9C2-85BFECA930A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1" name="Group 9">
          <a:extLst>
            <a:ext uri="{FF2B5EF4-FFF2-40B4-BE49-F238E27FC236}">
              <a16:creationId xmlns:a16="http://schemas.microsoft.com/office/drawing/2014/main" id="{F6DC95EE-68F2-4D30-76B2-1BBB3DEAB21E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622" name="Rectangle 10">
            <a:extLst>
              <a:ext uri="{FF2B5EF4-FFF2-40B4-BE49-F238E27FC236}">
                <a16:creationId xmlns:a16="http://schemas.microsoft.com/office/drawing/2014/main" id="{831EE676-DE79-0CE2-CF08-1C3D1AA4F4CD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23" name="Rectangle 11">
            <a:extLst>
              <a:ext uri="{FF2B5EF4-FFF2-40B4-BE49-F238E27FC236}">
                <a16:creationId xmlns:a16="http://schemas.microsoft.com/office/drawing/2014/main" id="{B818E007-DCC5-59D9-0C5A-038FBAD251E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24" name="Rectangle 12">
            <a:extLst>
              <a:ext uri="{FF2B5EF4-FFF2-40B4-BE49-F238E27FC236}">
                <a16:creationId xmlns:a16="http://schemas.microsoft.com/office/drawing/2014/main" id="{646BF871-2E0A-DAC6-6AD1-C4CA8FC5AE7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25" name="Rectangle 13">
            <a:extLst>
              <a:ext uri="{FF2B5EF4-FFF2-40B4-BE49-F238E27FC236}">
                <a16:creationId xmlns:a16="http://schemas.microsoft.com/office/drawing/2014/main" id="{D18BD172-FE13-EEA1-A3E1-0B8EEE9066D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26" name="Line 14">
            <a:extLst>
              <a:ext uri="{FF2B5EF4-FFF2-40B4-BE49-F238E27FC236}">
                <a16:creationId xmlns:a16="http://schemas.microsoft.com/office/drawing/2014/main" id="{A74B8C1D-0B42-81DA-0E07-671548ABFAC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27" name="Line 15">
            <a:extLst>
              <a:ext uri="{FF2B5EF4-FFF2-40B4-BE49-F238E27FC236}">
                <a16:creationId xmlns:a16="http://schemas.microsoft.com/office/drawing/2014/main" id="{A8F24598-903B-CC4A-CCD0-4D43744A139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28" name="Line 16">
            <a:extLst>
              <a:ext uri="{FF2B5EF4-FFF2-40B4-BE49-F238E27FC236}">
                <a16:creationId xmlns:a16="http://schemas.microsoft.com/office/drawing/2014/main" id="{AB562E58-3B16-CE5A-E9C1-32002765EDF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530482" name="Group 17">
          <a:extLst>
            <a:ext uri="{FF2B5EF4-FFF2-40B4-BE49-F238E27FC236}">
              <a16:creationId xmlns:a16="http://schemas.microsoft.com/office/drawing/2014/main" id="{28DB43DF-EFD8-F79A-4C39-A9E3395E8198}"/>
            </a:ext>
          </a:extLst>
        </xdr:cNvPr>
        <xdr:cNvGrpSpPr>
          <a:grpSpLocks/>
        </xdr:cNvGrpSpPr>
      </xdr:nvGrpSpPr>
      <xdr:grpSpPr bwMode="auto">
        <a:xfrm>
          <a:off x="5524500" y="1287780"/>
          <a:ext cx="0" cy="381000"/>
          <a:chOff x="570" y="224"/>
          <a:chExt cx="377" cy="136"/>
        </a:xfrm>
      </xdr:grpSpPr>
      <xdr:sp macro="" textlink="">
        <xdr:nvSpPr>
          <xdr:cNvPr id="534609" name="Rectangle 18">
            <a:extLst>
              <a:ext uri="{FF2B5EF4-FFF2-40B4-BE49-F238E27FC236}">
                <a16:creationId xmlns:a16="http://schemas.microsoft.com/office/drawing/2014/main" id="{A9328AAC-87FA-1110-9731-68B3AF833E63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0" name="Rectangle 19">
            <a:extLst>
              <a:ext uri="{FF2B5EF4-FFF2-40B4-BE49-F238E27FC236}">
                <a16:creationId xmlns:a16="http://schemas.microsoft.com/office/drawing/2014/main" id="{4A550F60-36B4-8B74-0695-1CC7A2DDB0A9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1" name="Rectangle 20">
            <a:extLst>
              <a:ext uri="{FF2B5EF4-FFF2-40B4-BE49-F238E27FC236}">
                <a16:creationId xmlns:a16="http://schemas.microsoft.com/office/drawing/2014/main" id="{62D6CAD9-92CD-D183-5108-04333F318392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2" name="Rectangle 21">
            <a:extLst>
              <a:ext uri="{FF2B5EF4-FFF2-40B4-BE49-F238E27FC236}">
                <a16:creationId xmlns:a16="http://schemas.microsoft.com/office/drawing/2014/main" id="{008BEC51-6921-9DED-FCBF-2D277161E663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3" name="Line 22">
            <a:extLst>
              <a:ext uri="{FF2B5EF4-FFF2-40B4-BE49-F238E27FC236}">
                <a16:creationId xmlns:a16="http://schemas.microsoft.com/office/drawing/2014/main" id="{19E732D7-9FD9-7A1E-6651-0AF15E7BB239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14" name="Line 23">
            <a:extLst>
              <a:ext uri="{FF2B5EF4-FFF2-40B4-BE49-F238E27FC236}">
                <a16:creationId xmlns:a16="http://schemas.microsoft.com/office/drawing/2014/main" id="{403F8E42-B3AD-1B44-42F2-FBAF814493DC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15" name="Line 24">
            <a:extLst>
              <a:ext uri="{FF2B5EF4-FFF2-40B4-BE49-F238E27FC236}">
                <a16:creationId xmlns:a16="http://schemas.microsoft.com/office/drawing/2014/main" id="{AA64F863-8F21-C36C-B4A7-0CA3F7D2B796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16" name="Rectangle 25">
            <a:extLst>
              <a:ext uri="{FF2B5EF4-FFF2-40B4-BE49-F238E27FC236}">
                <a16:creationId xmlns:a16="http://schemas.microsoft.com/office/drawing/2014/main" id="{959AA61E-89CC-98A1-12AF-8274728D06DD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7" name="Line 26">
            <a:extLst>
              <a:ext uri="{FF2B5EF4-FFF2-40B4-BE49-F238E27FC236}">
                <a16:creationId xmlns:a16="http://schemas.microsoft.com/office/drawing/2014/main" id="{A68C681A-2A42-C048-5DED-0CD96B28CE87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18" name="Rectangle 27">
            <a:extLst>
              <a:ext uri="{FF2B5EF4-FFF2-40B4-BE49-F238E27FC236}">
                <a16:creationId xmlns:a16="http://schemas.microsoft.com/office/drawing/2014/main" id="{1D4B33E9-A3F8-D17B-0AA3-8B8B644D07EC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19" name="Line 28">
            <a:extLst>
              <a:ext uri="{FF2B5EF4-FFF2-40B4-BE49-F238E27FC236}">
                <a16:creationId xmlns:a16="http://schemas.microsoft.com/office/drawing/2014/main" id="{1A533906-93FA-ACE5-1550-7964D66F90A6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20" name="Line 29">
            <a:extLst>
              <a:ext uri="{FF2B5EF4-FFF2-40B4-BE49-F238E27FC236}">
                <a16:creationId xmlns:a16="http://schemas.microsoft.com/office/drawing/2014/main" id="{BDADD117-FA05-337F-D2B4-5D647914761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21" name="Line 30">
            <a:extLst>
              <a:ext uri="{FF2B5EF4-FFF2-40B4-BE49-F238E27FC236}">
                <a16:creationId xmlns:a16="http://schemas.microsoft.com/office/drawing/2014/main" id="{199230D5-1F34-4BB1-17E2-4C1D85B773A5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530483" name="Group 31">
          <a:extLst>
            <a:ext uri="{FF2B5EF4-FFF2-40B4-BE49-F238E27FC236}">
              <a16:creationId xmlns:a16="http://schemas.microsoft.com/office/drawing/2014/main" id="{85F7E14D-2480-7EFB-1D84-0AB0DDE7F7AF}"/>
            </a:ext>
          </a:extLst>
        </xdr:cNvPr>
        <xdr:cNvGrpSpPr>
          <a:grpSpLocks/>
        </xdr:cNvGrpSpPr>
      </xdr:nvGrpSpPr>
      <xdr:grpSpPr bwMode="auto">
        <a:xfrm>
          <a:off x="5524500" y="1287780"/>
          <a:ext cx="0" cy="381000"/>
          <a:chOff x="570" y="224"/>
          <a:chExt cx="377" cy="136"/>
        </a:xfrm>
      </xdr:grpSpPr>
      <xdr:sp macro="" textlink="">
        <xdr:nvSpPr>
          <xdr:cNvPr id="534596" name="Rectangle 32">
            <a:extLst>
              <a:ext uri="{FF2B5EF4-FFF2-40B4-BE49-F238E27FC236}">
                <a16:creationId xmlns:a16="http://schemas.microsoft.com/office/drawing/2014/main" id="{6ED058CA-403E-E86C-8155-E3E2794DB412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7" name="Rectangle 33">
            <a:extLst>
              <a:ext uri="{FF2B5EF4-FFF2-40B4-BE49-F238E27FC236}">
                <a16:creationId xmlns:a16="http://schemas.microsoft.com/office/drawing/2014/main" id="{57DDED0E-032A-6208-B6C9-F70A5F1B7B1A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8" name="Rectangle 34">
            <a:extLst>
              <a:ext uri="{FF2B5EF4-FFF2-40B4-BE49-F238E27FC236}">
                <a16:creationId xmlns:a16="http://schemas.microsoft.com/office/drawing/2014/main" id="{2909CA43-4144-1128-A35A-8170AF63E804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9" name="Rectangle 35">
            <a:extLst>
              <a:ext uri="{FF2B5EF4-FFF2-40B4-BE49-F238E27FC236}">
                <a16:creationId xmlns:a16="http://schemas.microsoft.com/office/drawing/2014/main" id="{5E70FA81-B47D-BD5F-06AB-21D7D1575245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00" name="Line 36">
            <a:extLst>
              <a:ext uri="{FF2B5EF4-FFF2-40B4-BE49-F238E27FC236}">
                <a16:creationId xmlns:a16="http://schemas.microsoft.com/office/drawing/2014/main" id="{46B5F73F-CBA2-F940-970B-9EF19EFADB29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1" name="Line 37">
            <a:extLst>
              <a:ext uri="{FF2B5EF4-FFF2-40B4-BE49-F238E27FC236}">
                <a16:creationId xmlns:a16="http://schemas.microsoft.com/office/drawing/2014/main" id="{7EA4CF7A-E4F2-4160-1089-A83E235410D9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2" name="Line 38">
            <a:extLst>
              <a:ext uri="{FF2B5EF4-FFF2-40B4-BE49-F238E27FC236}">
                <a16:creationId xmlns:a16="http://schemas.microsoft.com/office/drawing/2014/main" id="{FA9F384A-35E7-8DB8-419B-7C78F28411A2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3" name="Rectangle 39">
            <a:extLst>
              <a:ext uri="{FF2B5EF4-FFF2-40B4-BE49-F238E27FC236}">
                <a16:creationId xmlns:a16="http://schemas.microsoft.com/office/drawing/2014/main" id="{164D7AE5-741C-510B-7CD8-00B59320B0BA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04" name="Line 40">
            <a:extLst>
              <a:ext uri="{FF2B5EF4-FFF2-40B4-BE49-F238E27FC236}">
                <a16:creationId xmlns:a16="http://schemas.microsoft.com/office/drawing/2014/main" id="{6A7FE274-1276-FD6F-8D00-C4D8B27F3709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5" name="Rectangle 41">
            <a:extLst>
              <a:ext uri="{FF2B5EF4-FFF2-40B4-BE49-F238E27FC236}">
                <a16:creationId xmlns:a16="http://schemas.microsoft.com/office/drawing/2014/main" id="{AFE20BF9-BCAB-70EA-B495-431FD92E4E87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606" name="Line 42">
            <a:extLst>
              <a:ext uri="{FF2B5EF4-FFF2-40B4-BE49-F238E27FC236}">
                <a16:creationId xmlns:a16="http://schemas.microsoft.com/office/drawing/2014/main" id="{AF9ADC0E-6D56-2507-4D0A-74DD06E81718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7" name="Line 43">
            <a:extLst>
              <a:ext uri="{FF2B5EF4-FFF2-40B4-BE49-F238E27FC236}">
                <a16:creationId xmlns:a16="http://schemas.microsoft.com/office/drawing/2014/main" id="{05A3236A-D189-59AA-0254-0241DB0C365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608" name="Line 44">
            <a:extLst>
              <a:ext uri="{FF2B5EF4-FFF2-40B4-BE49-F238E27FC236}">
                <a16:creationId xmlns:a16="http://schemas.microsoft.com/office/drawing/2014/main" id="{FA5B843A-1F8D-ABB8-0447-E8F951DC87ED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530484" name="Group 45">
          <a:extLst>
            <a:ext uri="{FF2B5EF4-FFF2-40B4-BE49-F238E27FC236}">
              <a16:creationId xmlns:a16="http://schemas.microsoft.com/office/drawing/2014/main" id="{41323C60-AF54-89D2-EF2C-F99B8B28DE14}"/>
            </a:ext>
          </a:extLst>
        </xdr:cNvPr>
        <xdr:cNvGrpSpPr>
          <a:grpSpLocks/>
        </xdr:cNvGrpSpPr>
      </xdr:nvGrpSpPr>
      <xdr:grpSpPr bwMode="auto">
        <a:xfrm>
          <a:off x="5524500" y="1287780"/>
          <a:ext cx="0" cy="381000"/>
          <a:chOff x="570" y="224"/>
          <a:chExt cx="377" cy="136"/>
        </a:xfrm>
      </xdr:grpSpPr>
      <xdr:sp macro="" textlink="">
        <xdr:nvSpPr>
          <xdr:cNvPr id="534583" name="Rectangle 46">
            <a:extLst>
              <a:ext uri="{FF2B5EF4-FFF2-40B4-BE49-F238E27FC236}">
                <a16:creationId xmlns:a16="http://schemas.microsoft.com/office/drawing/2014/main" id="{2B3E7563-C96F-BBAE-C57A-E29F56D7EE53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4" name="Rectangle 47">
            <a:extLst>
              <a:ext uri="{FF2B5EF4-FFF2-40B4-BE49-F238E27FC236}">
                <a16:creationId xmlns:a16="http://schemas.microsoft.com/office/drawing/2014/main" id="{62AB346E-ACB7-5B29-BCBF-B4EEEDB8A030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5" name="Rectangle 48">
            <a:extLst>
              <a:ext uri="{FF2B5EF4-FFF2-40B4-BE49-F238E27FC236}">
                <a16:creationId xmlns:a16="http://schemas.microsoft.com/office/drawing/2014/main" id="{E6F6353E-BBC7-944E-DD11-A17754CFB9E1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6" name="Rectangle 49">
            <a:extLst>
              <a:ext uri="{FF2B5EF4-FFF2-40B4-BE49-F238E27FC236}">
                <a16:creationId xmlns:a16="http://schemas.microsoft.com/office/drawing/2014/main" id="{010E2716-1199-08D8-A134-C2F968A4A9A6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7" name="Line 50">
            <a:extLst>
              <a:ext uri="{FF2B5EF4-FFF2-40B4-BE49-F238E27FC236}">
                <a16:creationId xmlns:a16="http://schemas.microsoft.com/office/drawing/2014/main" id="{FC59E0A8-9108-C5D9-D460-02DC664EF3E7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88" name="Line 51">
            <a:extLst>
              <a:ext uri="{FF2B5EF4-FFF2-40B4-BE49-F238E27FC236}">
                <a16:creationId xmlns:a16="http://schemas.microsoft.com/office/drawing/2014/main" id="{A9B5374B-C581-1D56-3F61-388A85A3ABE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89" name="Line 52">
            <a:extLst>
              <a:ext uri="{FF2B5EF4-FFF2-40B4-BE49-F238E27FC236}">
                <a16:creationId xmlns:a16="http://schemas.microsoft.com/office/drawing/2014/main" id="{6760F8FF-BEAB-818E-8A54-7F4AD96117EF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90" name="Rectangle 53">
            <a:extLst>
              <a:ext uri="{FF2B5EF4-FFF2-40B4-BE49-F238E27FC236}">
                <a16:creationId xmlns:a16="http://schemas.microsoft.com/office/drawing/2014/main" id="{72B6E3A3-AD9D-858C-0F85-42DFA8F38D29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1" name="Line 54">
            <a:extLst>
              <a:ext uri="{FF2B5EF4-FFF2-40B4-BE49-F238E27FC236}">
                <a16:creationId xmlns:a16="http://schemas.microsoft.com/office/drawing/2014/main" id="{1AF0AEE1-795C-2E82-57BC-4B5DF474E587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92" name="Rectangle 55">
            <a:extLst>
              <a:ext uri="{FF2B5EF4-FFF2-40B4-BE49-F238E27FC236}">
                <a16:creationId xmlns:a16="http://schemas.microsoft.com/office/drawing/2014/main" id="{1BF92127-3EB0-2D2F-F9ED-E0D1CE651737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93" name="Line 56">
            <a:extLst>
              <a:ext uri="{FF2B5EF4-FFF2-40B4-BE49-F238E27FC236}">
                <a16:creationId xmlns:a16="http://schemas.microsoft.com/office/drawing/2014/main" id="{50DE62CA-1C3A-07E4-A397-E78E5B707365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94" name="Line 57">
            <a:extLst>
              <a:ext uri="{FF2B5EF4-FFF2-40B4-BE49-F238E27FC236}">
                <a16:creationId xmlns:a16="http://schemas.microsoft.com/office/drawing/2014/main" id="{102550FE-5E9E-3430-8610-4B5F3ECFAC8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95" name="Line 58">
            <a:extLst>
              <a:ext uri="{FF2B5EF4-FFF2-40B4-BE49-F238E27FC236}">
                <a16:creationId xmlns:a16="http://schemas.microsoft.com/office/drawing/2014/main" id="{729D30AE-2011-AE47-6BC7-3CB7CF086691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190500</xdr:rowOff>
    </xdr:from>
    <xdr:to>
      <xdr:col>7</xdr:col>
      <xdr:colOff>0</xdr:colOff>
      <xdr:row>3</xdr:row>
      <xdr:rowOff>0</xdr:rowOff>
    </xdr:to>
    <xdr:grpSp>
      <xdr:nvGrpSpPr>
        <xdr:cNvPr id="530485" name="Group 59">
          <a:extLst>
            <a:ext uri="{FF2B5EF4-FFF2-40B4-BE49-F238E27FC236}">
              <a16:creationId xmlns:a16="http://schemas.microsoft.com/office/drawing/2014/main" id="{BEB56172-6453-3E53-CDC0-01A081F058ED}"/>
            </a:ext>
          </a:extLst>
        </xdr:cNvPr>
        <xdr:cNvGrpSpPr>
          <a:grpSpLocks/>
        </xdr:cNvGrpSpPr>
      </xdr:nvGrpSpPr>
      <xdr:grpSpPr bwMode="auto">
        <a:xfrm>
          <a:off x="5524500" y="1287780"/>
          <a:ext cx="0" cy="381000"/>
          <a:chOff x="570" y="224"/>
          <a:chExt cx="377" cy="136"/>
        </a:xfrm>
      </xdr:grpSpPr>
      <xdr:sp macro="" textlink="">
        <xdr:nvSpPr>
          <xdr:cNvPr id="534570" name="Rectangle 60">
            <a:extLst>
              <a:ext uri="{FF2B5EF4-FFF2-40B4-BE49-F238E27FC236}">
                <a16:creationId xmlns:a16="http://schemas.microsoft.com/office/drawing/2014/main" id="{5BADC8D5-0495-AA8C-19A2-0583185DF802}"/>
              </a:ext>
            </a:extLst>
          </xdr:cNvPr>
          <xdr:cNvSpPr>
            <a:spLocks noChangeArrowheads="1"/>
          </xdr:cNvSpPr>
        </xdr:nvSpPr>
        <xdr:spPr bwMode="auto">
          <a:xfrm>
            <a:off x="570" y="224"/>
            <a:ext cx="377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1" name="Rectangle 61">
            <a:extLst>
              <a:ext uri="{FF2B5EF4-FFF2-40B4-BE49-F238E27FC236}">
                <a16:creationId xmlns:a16="http://schemas.microsoft.com/office/drawing/2014/main" id="{675D0949-E0DD-ED86-3AE4-01D83564A17B}"/>
              </a:ext>
            </a:extLst>
          </xdr:cNvPr>
          <xdr:cNvSpPr>
            <a:spLocks noChangeArrowheads="1"/>
          </xdr:cNvSpPr>
        </xdr:nvSpPr>
        <xdr:spPr bwMode="auto">
          <a:xfrm>
            <a:off x="574" y="228"/>
            <a:ext cx="369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2" name="Rectangle 62">
            <a:extLst>
              <a:ext uri="{FF2B5EF4-FFF2-40B4-BE49-F238E27FC236}">
                <a16:creationId xmlns:a16="http://schemas.microsoft.com/office/drawing/2014/main" id="{746F6FFF-921D-71FE-6445-E2E97BEC4483}"/>
              </a:ext>
            </a:extLst>
          </xdr:cNvPr>
          <xdr:cNvSpPr>
            <a:spLocks noChangeArrowheads="1"/>
          </xdr:cNvSpPr>
        </xdr:nvSpPr>
        <xdr:spPr bwMode="auto">
          <a:xfrm>
            <a:off x="673" y="239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3" name="Rectangle 63">
            <a:extLst>
              <a:ext uri="{FF2B5EF4-FFF2-40B4-BE49-F238E27FC236}">
                <a16:creationId xmlns:a16="http://schemas.microsoft.com/office/drawing/2014/main" id="{F1AD6451-B11E-D7DC-C0A3-72E4658FB599}"/>
              </a:ext>
            </a:extLst>
          </xdr:cNvPr>
          <xdr:cNvSpPr>
            <a:spLocks noChangeArrowheads="1"/>
          </xdr:cNvSpPr>
        </xdr:nvSpPr>
        <xdr:spPr bwMode="auto">
          <a:xfrm>
            <a:off x="583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4" name="Line 64">
            <a:extLst>
              <a:ext uri="{FF2B5EF4-FFF2-40B4-BE49-F238E27FC236}">
                <a16:creationId xmlns:a16="http://schemas.microsoft.com/office/drawing/2014/main" id="{700EB027-4AE4-EF8D-7D1D-764AA064704E}"/>
              </a:ext>
            </a:extLst>
          </xdr:cNvPr>
          <xdr:cNvSpPr>
            <a:spLocks noChangeShapeType="1"/>
          </xdr:cNvSpPr>
        </xdr:nvSpPr>
        <xdr:spPr bwMode="auto">
          <a:xfrm>
            <a:off x="667" y="228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75" name="Line 65">
            <a:extLst>
              <a:ext uri="{FF2B5EF4-FFF2-40B4-BE49-F238E27FC236}">
                <a16:creationId xmlns:a16="http://schemas.microsoft.com/office/drawing/2014/main" id="{E1D8C7B8-5422-6CEA-68DD-5FA2C4C0D848}"/>
              </a:ext>
            </a:extLst>
          </xdr:cNvPr>
          <xdr:cNvSpPr>
            <a:spLocks noChangeShapeType="1"/>
          </xdr:cNvSpPr>
        </xdr:nvSpPr>
        <xdr:spPr bwMode="auto">
          <a:xfrm flipV="1">
            <a:off x="685" y="292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76" name="Line 66">
            <a:extLst>
              <a:ext uri="{FF2B5EF4-FFF2-40B4-BE49-F238E27FC236}">
                <a16:creationId xmlns:a16="http://schemas.microsoft.com/office/drawing/2014/main" id="{8BAE66D0-1610-846D-88F9-C8A7B3C95D9B}"/>
              </a:ext>
            </a:extLst>
          </xdr:cNvPr>
          <xdr:cNvSpPr>
            <a:spLocks noChangeShapeType="1"/>
          </xdr:cNvSpPr>
        </xdr:nvSpPr>
        <xdr:spPr bwMode="auto">
          <a:xfrm>
            <a:off x="707" y="282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77" name="Rectangle 67">
            <a:extLst>
              <a:ext uri="{FF2B5EF4-FFF2-40B4-BE49-F238E27FC236}">
                <a16:creationId xmlns:a16="http://schemas.microsoft.com/office/drawing/2014/main" id="{CDF385CD-3EA7-FB7E-4C24-B9FE959AF1AA}"/>
              </a:ext>
            </a:extLst>
          </xdr:cNvPr>
          <xdr:cNvSpPr>
            <a:spLocks noChangeArrowheads="1"/>
          </xdr:cNvSpPr>
        </xdr:nvSpPr>
        <xdr:spPr bwMode="auto">
          <a:xfrm>
            <a:off x="767" y="240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78" name="Line 68">
            <a:extLst>
              <a:ext uri="{FF2B5EF4-FFF2-40B4-BE49-F238E27FC236}">
                <a16:creationId xmlns:a16="http://schemas.microsoft.com/office/drawing/2014/main" id="{2E7777FE-7B6E-C505-DE27-4C7A8830CF58}"/>
              </a:ext>
            </a:extLst>
          </xdr:cNvPr>
          <xdr:cNvSpPr>
            <a:spLocks noChangeShapeType="1"/>
          </xdr:cNvSpPr>
        </xdr:nvSpPr>
        <xdr:spPr bwMode="auto">
          <a:xfrm>
            <a:off x="759" y="230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79" name="Rectangle 69">
            <a:extLst>
              <a:ext uri="{FF2B5EF4-FFF2-40B4-BE49-F238E27FC236}">
                <a16:creationId xmlns:a16="http://schemas.microsoft.com/office/drawing/2014/main" id="{89DE26A1-13E1-91A9-8FDA-74F8F528E33D}"/>
              </a:ext>
            </a:extLst>
          </xdr:cNvPr>
          <xdr:cNvSpPr>
            <a:spLocks noChangeArrowheads="1"/>
          </xdr:cNvSpPr>
        </xdr:nvSpPr>
        <xdr:spPr bwMode="auto">
          <a:xfrm>
            <a:off x="855" y="239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80" name="Line 70">
            <a:extLst>
              <a:ext uri="{FF2B5EF4-FFF2-40B4-BE49-F238E27FC236}">
                <a16:creationId xmlns:a16="http://schemas.microsoft.com/office/drawing/2014/main" id="{C53E52F6-001D-EB9B-CD7C-214C1666AFDE}"/>
              </a:ext>
            </a:extLst>
          </xdr:cNvPr>
          <xdr:cNvSpPr>
            <a:spLocks noChangeShapeType="1"/>
          </xdr:cNvSpPr>
        </xdr:nvSpPr>
        <xdr:spPr bwMode="auto">
          <a:xfrm>
            <a:off x="849" y="231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81" name="Line 71">
            <a:extLst>
              <a:ext uri="{FF2B5EF4-FFF2-40B4-BE49-F238E27FC236}">
                <a16:creationId xmlns:a16="http://schemas.microsoft.com/office/drawing/2014/main" id="{07F23143-1E7C-2B77-8E53-F8F9DA3DC0B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779" y="294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82" name="Line 72">
            <a:extLst>
              <a:ext uri="{FF2B5EF4-FFF2-40B4-BE49-F238E27FC236}">
                <a16:creationId xmlns:a16="http://schemas.microsoft.com/office/drawing/2014/main" id="{7C45DA33-FDB9-C8D8-82C5-449D976F4358}"/>
              </a:ext>
            </a:extLst>
          </xdr:cNvPr>
          <xdr:cNvSpPr>
            <a:spLocks noChangeShapeType="1"/>
          </xdr:cNvSpPr>
        </xdr:nvSpPr>
        <xdr:spPr bwMode="auto">
          <a:xfrm flipH="1">
            <a:off x="779" y="283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6" name="Group 73">
          <a:extLst>
            <a:ext uri="{FF2B5EF4-FFF2-40B4-BE49-F238E27FC236}">
              <a16:creationId xmlns:a16="http://schemas.microsoft.com/office/drawing/2014/main" id="{AAA00E33-4E11-D3AF-1A90-F0DD8A939E36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63" name="Rectangle 74">
            <a:extLst>
              <a:ext uri="{FF2B5EF4-FFF2-40B4-BE49-F238E27FC236}">
                <a16:creationId xmlns:a16="http://schemas.microsoft.com/office/drawing/2014/main" id="{584E4039-6BF9-E55C-9577-01F6B57210A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4" name="Rectangle 75">
            <a:extLst>
              <a:ext uri="{FF2B5EF4-FFF2-40B4-BE49-F238E27FC236}">
                <a16:creationId xmlns:a16="http://schemas.microsoft.com/office/drawing/2014/main" id="{78B2F7D0-7A31-07D0-3104-C22117B1C29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5" name="Rectangle 76">
            <a:extLst>
              <a:ext uri="{FF2B5EF4-FFF2-40B4-BE49-F238E27FC236}">
                <a16:creationId xmlns:a16="http://schemas.microsoft.com/office/drawing/2014/main" id="{9AB0BCCF-E7FB-E266-7319-A85E3730B54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6" name="Rectangle 77">
            <a:extLst>
              <a:ext uri="{FF2B5EF4-FFF2-40B4-BE49-F238E27FC236}">
                <a16:creationId xmlns:a16="http://schemas.microsoft.com/office/drawing/2014/main" id="{41FCD921-B642-5FF1-07B9-77F25523A45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7" name="Line 78">
            <a:extLst>
              <a:ext uri="{FF2B5EF4-FFF2-40B4-BE49-F238E27FC236}">
                <a16:creationId xmlns:a16="http://schemas.microsoft.com/office/drawing/2014/main" id="{BD7FBA70-0D19-2110-2310-8E1699B0A017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68" name="Line 79">
            <a:extLst>
              <a:ext uri="{FF2B5EF4-FFF2-40B4-BE49-F238E27FC236}">
                <a16:creationId xmlns:a16="http://schemas.microsoft.com/office/drawing/2014/main" id="{4AA003E9-0207-CB2C-C982-C3925E8FE79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69" name="Line 80">
            <a:extLst>
              <a:ext uri="{FF2B5EF4-FFF2-40B4-BE49-F238E27FC236}">
                <a16:creationId xmlns:a16="http://schemas.microsoft.com/office/drawing/2014/main" id="{31D89C19-E1B1-0543-C991-56DC64B76E3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7" name="Group 81">
          <a:extLst>
            <a:ext uri="{FF2B5EF4-FFF2-40B4-BE49-F238E27FC236}">
              <a16:creationId xmlns:a16="http://schemas.microsoft.com/office/drawing/2014/main" id="{85989916-D91B-A94C-6D9C-6FA92E37FA4F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56" name="Rectangle 82">
            <a:extLst>
              <a:ext uri="{FF2B5EF4-FFF2-40B4-BE49-F238E27FC236}">
                <a16:creationId xmlns:a16="http://schemas.microsoft.com/office/drawing/2014/main" id="{1F1FDB8D-2FB3-34A3-DCB4-F935D7E4DB4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7" name="Rectangle 83">
            <a:extLst>
              <a:ext uri="{FF2B5EF4-FFF2-40B4-BE49-F238E27FC236}">
                <a16:creationId xmlns:a16="http://schemas.microsoft.com/office/drawing/2014/main" id="{5654EF75-3957-50D2-D94D-E282A89CEAA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8" name="Rectangle 84">
            <a:extLst>
              <a:ext uri="{FF2B5EF4-FFF2-40B4-BE49-F238E27FC236}">
                <a16:creationId xmlns:a16="http://schemas.microsoft.com/office/drawing/2014/main" id="{FC0B5B2F-4F98-76E1-B8B0-4EEC4132C8B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9" name="Rectangle 85">
            <a:extLst>
              <a:ext uri="{FF2B5EF4-FFF2-40B4-BE49-F238E27FC236}">
                <a16:creationId xmlns:a16="http://schemas.microsoft.com/office/drawing/2014/main" id="{A3A5B474-58E0-8593-DED5-D309551F477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60" name="Line 86">
            <a:extLst>
              <a:ext uri="{FF2B5EF4-FFF2-40B4-BE49-F238E27FC236}">
                <a16:creationId xmlns:a16="http://schemas.microsoft.com/office/drawing/2014/main" id="{AF594EBC-CA26-A123-41AC-A601BC4C91F6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61" name="Line 87">
            <a:extLst>
              <a:ext uri="{FF2B5EF4-FFF2-40B4-BE49-F238E27FC236}">
                <a16:creationId xmlns:a16="http://schemas.microsoft.com/office/drawing/2014/main" id="{7E5029DB-7938-7982-51E7-EBD02916B99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62" name="Line 88">
            <a:extLst>
              <a:ext uri="{FF2B5EF4-FFF2-40B4-BE49-F238E27FC236}">
                <a16:creationId xmlns:a16="http://schemas.microsoft.com/office/drawing/2014/main" id="{24D1CDDB-B18B-2AED-5917-7C7A5D9EC589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8" name="Group 89">
          <a:extLst>
            <a:ext uri="{FF2B5EF4-FFF2-40B4-BE49-F238E27FC236}">
              <a16:creationId xmlns:a16="http://schemas.microsoft.com/office/drawing/2014/main" id="{969AEF7D-6B69-699C-8B4A-9D8E7F86F8ED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49" name="Rectangle 90">
            <a:extLst>
              <a:ext uri="{FF2B5EF4-FFF2-40B4-BE49-F238E27FC236}">
                <a16:creationId xmlns:a16="http://schemas.microsoft.com/office/drawing/2014/main" id="{1D9375FF-8DAF-3642-E1A5-FFBF7E4C03C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0" name="Rectangle 91">
            <a:extLst>
              <a:ext uri="{FF2B5EF4-FFF2-40B4-BE49-F238E27FC236}">
                <a16:creationId xmlns:a16="http://schemas.microsoft.com/office/drawing/2014/main" id="{AE5C83FD-977B-64DC-417C-13A5574474D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1" name="Rectangle 92">
            <a:extLst>
              <a:ext uri="{FF2B5EF4-FFF2-40B4-BE49-F238E27FC236}">
                <a16:creationId xmlns:a16="http://schemas.microsoft.com/office/drawing/2014/main" id="{C95A2F5F-987C-5AAD-AE3E-7CAFC5F9AEEE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2" name="Rectangle 93">
            <a:extLst>
              <a:ext uri="{FF2B5EF4-FFF2-40B4-BE49-F238E27FC236}">
                <a16:creationId xmlns:a16="http://schemas.microsoft.com/office/drawing/2014/main" id="{967722E0-1E11-3231-DF97-BD42FB308BC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53" name="Line 94">
            <a:extLst>
              <a:ext uri="{FF2B5EF4-FFF2-40B4-BE49-F238E27FC236}">
                <a16:creationId xmlns:a16="http://schemas.microsoft.com/office/drawing/2014/main" id="{583DA681-9B8D-3402-F788-43315D2BD20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54" name="Line 95">
            <a:extLst>
              <a:ext uri="{FF2B5EF4-FFF2-40B4-BE49-F238E27FC236}">
                <a16:creationId xmlns:a16="http://schemas.microsoft.com/office/drawing/2014/main" id="{E466031D-98C6-810B-3183-F199F0D3C23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55" name="Line 96">
            <a:extLst>
              <a:ext uri="{FF2B5EF4-FFF2-40B4-BE49-F238E27FC236}">
                <a16:creationId xmlns:a16="http://schemas.microsoft.com/office/drawing/2014/main" id="{61D52F9D-E651-F95E-4A9B-C8BE6DCB3B3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89" name="Group 97">
          <a:extLst>
            <a:ext uri="{FF2B5EF4-FFF2-40B4-BE49-F238E27FC236}">
              <a16:creationId xmlns:a16="http://schemas.microsoft.com/office/drawing/2014/main" id="{6715AF57-0C8B-5762-20D1-E57557919194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42" name="Rectangle 98">
            <a:extLst>
              <a:ext uri="{FF2B5EF4-FFF2-40B4-BE49-F238E27FC236}">
                <a16:creationId xmlns:a16="http://schemas.microsoft.com/office/drawing/2014/main" id="{E0171763-3ECE-8DF3-2302-1F831738491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43" name="Rectangle 99">
            <a:extLst>
              <a:ext uri="{FF2B5EF4-FFF2-40B4-BE49-F238E27FC236}">
                <a16:creationId xmlns:a16="http://schemas.microsoft.com/office/drawing/2014/main" id="{93F5D195-0537-5342-5996-7CAE545DEFC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44" name="Rectangle 100">
            <a:extLst>
              <a:ext uri="{FF2B5EF4-FFF2-40B4-BE49-F238E27FC236}">
                <a16:creationId xmlns:a16="http://schemas.microsoft.com/office/drawing/2014/main" id="{FE611BB3-2980-C92E-61A2-0A8888E0C0BF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45" name="Rectangle 101">
            <a:extLst>
              <a:ext uri="{FF2B5EF4-FFF2-40B4-BE49-F238E27FC236}">
                <a16:creationId xmlns:a16="http://schemas.microsoft.com/office/drawing/2014/main" id="{925FF892-975F-8D1A-E387-5E5E74F793F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46" name="Line 102">
            <a:extLst>
              <a:ext uri="{FF2B5EF4-FFF2-40B4-BE49-F238E27FC236}">
                <a16:creationId xmlns:a16="http://schemas.microsoft.com/office/drawing/2014/main" id="{50FF0DDF-0452-0CD8-7264-78A736D9DAD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47" name="Line 103">
            <a:extLst>
              <a:ext uri="{FF2B5EF4-FFF2-40B4-BE49-F238E27FC236}">
                <a16:creationId xmlns:a16="http://schemas.microsoft.com/office/drawing/2014/main" id="{B12FCDB1-9368-DA09-28F4-7C6F4B1F877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48" name="Line 104">
            <a:extLst>
              <a:ext uri="{FF2B5EF4-FFF2-40B4-BE49-F238E27FC236}">
                <a16:creationId xmlns:a16="http://schemas.microsoft.com/office/drawing/2014/main" id="{F4B1827D-CA60-7218-9811-F07249D63E4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0" name="Group 105">
          <a:extLst>
            <a:ext uri="{FF2B5EF4-FFF2-40B4-BE49-F238E27FC236}">
              <a16:creationId xmlns:a16="http://schemas.microsoft.com/office/drawing/2014/main" id="{08069CA8-C2E3-BC46-8BF5-D52ED76C0C77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35" name="Rectangle 106">
            <a:extLst>
              <a:ext uri="{FF2B5EF4-FFF2-40B4-BE49-F238E27FC236}">
                <a16:creationId xmlns:a16="http://schemas.microsoft.com/office/drawing/2014/main" id="{DE06D21A-E6F8-7280-691D-027245A1E56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6" name="Rectangle 107">
            <a:extLst>
              <a:ext uri="{FF2B5EF4-FFF2-40B4-BE49-F238E27FC236}">
                <a16:creationId xmlns:a16="http://schemas.microsoft.com/office/drawing/2014/main" id="{BD52A5D7-0B2E-6B15-6A82-691DD55BED3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7" name="Rectangle 108">
            <a:extLst>
              <a:ext uri="{FF2B5EF4-FFF2-40B4-BE49-F238E27FC236}">
                <a16:creationId xmlns:a16="http://schemas.microsoft.com/office/drawing/2014/main" id="{709DBA02-6E83-E133-4BE8-F62FC71525C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8" name="Rectangle 109">
            <a:extLst>
              <a:ext uri="{FF2B5EF4-FFF2-40B4-BE49-F238E27FC236}">
                <a16:creationId xmlns:a16="http://schemas.microsoft.com/office/drawing/2014/main" id="{E4DB562E-6E52-DBFC-68A4-32D8A2484B0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9" name="Line 110">
            <a:extLst>
              <a:ext uri="{FF2B5EF4-FFF2-40B4-BE49-F238E27FC236}">
                <a16:creationId xmlns:a16="http://schemas.microsoft.com/office/drawing/2014/main" id="{5D444658-1546-11A4-AB3E-28F4148A07E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40" name="Line 111">
            <a:extLst>
              <a:ext uri="{FF2B5EF4-FFF2-40B4-BE49-F238E27FC236}">
                <a16:creationId xmlns:a16="http://schemas.microsoft.com/office/drawing/2014/main" id="{E23BD252-470C-434E-CAE5-486435ED531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41" name="Line 112">
            <a:extLst>
              <a:ext uri="{FF2B5EF4-FFF2-40B4-BE49-F238E27FC236}">
                <a16:creationId xmlns:a16="http://schemas.microsoft.com/office/drawing/2014/main" id="{0D819B48-F572-82A2-1A24-4551ED54363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1" name="Group 113">
          <a:extLst>
            <a:ext uri="{FF2B5EF4-FFF2-40B4-BE49-F238E27FC236}">
              <a16:creationId xmlns:a16="http://schemas.microsoft.com/office/drawing/2014/main" id="{6D9BDF1D-D68D-2268-5BE7-9173A10CB8DA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4528" name="Rectangle 114">
            <a:extLst>
              <a:ext uri="{FF2B5EF4-FFF2-40B4-BE49-F238E27FC236}">
                <a16:creationId xmlns:a16="http://schemas.microsoft.com/office/drawing/2014/main" id="{F360344E-285D-D535-7877-A8378A0B637B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29" name="Rectangle 115">
            <a:extLst>
              <a:ext uri="{FF2B5EF4-FFF2-40B4-BE49-F238E27FC236}">
                <a16:creationId xmlns:a16="http://schemas.microsoft.com/office/drawing/2014/main" id="{EAF43A96-D0C5-675F-4DE3-BBABCF5E0E9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0" name="Rectangle 116">
            <a:extLst>
              <a:ext uri="{FF2B5EF4-FFF2-40B4-BE49-F238E27FC236}">
                <a16:creationId xmlns:a16="http://schemas.microsoft.com/office/drawing/2014/main" id="{787A44A8-EE4B-A00E-881B-982AD7E80B3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1" name="Rectangle 117">
            <a:extLst>
              <a:ext uri="{FF2B5EF4-FFF2-40B4-BE49-F238E27FC236}">
                <a16:creationId xmlns:a16="http://schemas.microsoft.com/office/drawing/2014/main" id="{79A70F87-AB09-97FC-E202-222F86BAF7B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4532" name="Line 118">
            <a:extLst>
              <a:ext uri="{FF2B5EF4-FFF2-40B4-BE49-F238E27FC236}">
                <a16:creationId xmlns:a16="http://schemas.microsoft.com/office/drawing/2014/main" id="{253CC018-A6A7-B6FE-1368-FFD37696769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33" name="Line 119">
            <a:extLst>
              <a:ext uri="{FF2B5EF4-FFF2-40B4-BE49-F238E27FC236}">
                <a16:creationId xmlns:a16="http://schemas.microsoft.com/office/drawing/2014/main" id="{492C076A-ECF3-CF2B-3AFD-820CFE0417C9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4534" name="Line 120">
            <a:extLst>
              <a:ext uri="{FF2B5EF4-FFF2-40B4-BE49-F238E27FC236}">
                <a16:creationId xmlns:a16="http://schemas.microsoft.com/office/drawing/2014/main" id="{12E79460-904B-E55B-4C4A-4544354D711F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2" name="Group 121">
          <a:extLst>
            <a:ext uri="{FF2B5EF4-FFF2-40B4-BE49-F238E27FC236}">
              <a16:creationId xmlns:a16="http://schemas.microsoft.com/office/drawing/2014/main" id="{429E46F6-B225-AF11-196F-25EC67B9F755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49" name="Rectangle 122">
            <a:extLst>
              <a:ext uri="{FF2B5EF4-FFF2-40B4-BE49-F238E27FC236}">
                <a16:creationId xmlns:a16="http://schemas.microsoft.com/office/drawing/2014/main" id="{A4B9972F-6BFD-DFBF-9531-F267A0B6363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0" name="Rectangle 123">
            <a:extLst>
              <a:ext uri="{FF2B5EF4-FFF2-40B4-BE49-F238E27FC236}">
                <a16:creationId xmlns:a16="http://schemas.microsoft.com/office/drawing/2014/main" id="{90DEC8AD-6D4F-5958-B4EB-B770741DFA62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1" name="Rectangle 124">
            <a:extLst>
              <a:ext uri="{FF2B5EF4-FFF2-40B4-BE49-F238E27FC236}">
                <a16:creationId xmlns:a16="http://schemas.microsoft.com/office/drawing/2014/main" id="{74C0B8BA-1BE3-93A7-2286-42831933B0E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2" name="Rectangle 125">
            <a:extLst>
              <a:ext uri="{FF2B5EF4-FFF2-40B4-BE49-F238E27FC236}">
                <a16:creationId xmlns:a16="http://schemas.microsoft.com/office/drawing/2014/main" id="{DB8F5393-37D7-314C-FB9E-8B287E6C295C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53" name="Line 126">
            <a:extLst>
              <a:ext uri="{FF2B5EF4-FFF2-40B4-BE49-F238E27FC236}">
                <a16:creationId xmlns:a16="http://schemas.microsoft.com/office/drawing/2014/main" id="{94DEC5DF-48A9-385D-54F5-63BDF78BA49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54" name="Line 127">
            <a:extLst>
              <a:ext uri="{FF2B5EF4-FFF2-40B4-BE49-F238E27FC236}">
                <a16:creationId xmlns:a16="http://schemas.microsoft.com/office/drawing/2014/main" id="{7E4578C1-B514-EACA-1CCB-1CDAAB80F825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55" name="Line 128">
            <a:extLst>
              <a:ext uri="{FF2B5EF4-FFF2-40B4-BE49-F238E27FC236}">
                <a16:creationId xmlns:a16="http://schemas.microsoft.com/office/drawing/2014/main" id="{519F68F5-F2E3-543F-A640-FE9E4AC94A7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3" name="Group 129">
          <a:extLst>
            <a:ext uri="{FF2B5EF4-FFF2-40B4-BE49-F238E27FC236}">
              <a16:creationId xmlns:a16="http://schemas.microsoft.com/office/drawing/2014/main" id="{8C41DD1D-1BAB-25D4-4A27-F19FC35EB36C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42" name="Rectangle 130">
            <a:extLst>
              <a:ext uri="{FF2B5EF4-FFF2-40B4-BE49-F238E27FC236}">
                <a16:creationId xmlns:a16="http://schemas.microsoft.com/office/drawing/2014/main" id="{B96AC78A-37DB-2B88-CD18-158B53EDC45A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43" name="Rectangle 131">
            <a:extLst>
              <a:ext uri="{FF2B5EF4-FFF2-40B4-BE49-F238E27FC236}">
                <a16:creationId xmlns:a16="http://schemas.microsoft.com/office/drawing/2014/main" id="{9855986E-35C6-06B8-7E78-1E43E0F00FA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44" name="Rectangle 132">
            <a:extLst>
              <a:ext uri="{FF2B5EF4-FFF2-40B4-BE49-F238E27FC236}">
                <a16:creationId xmlns:a16="http://schemas.microsoft.com/office/drawing/2014/main" id="{38FD59BD-D625-E34C-B310-E9121D63C9A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45" name="Rectangle 133">
            <a:extLst>
              <a:ext uri="{FF2B5EF4-FFF2-40B4-BE49-F238E27FC236}">
                <a16:creationId xmlns:a16="http://schemas.microsoft.com/office/drawing/2014/main" id="{20B1FF93-A5B5-C71C-3187-3E7BC75594D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46" name="Line 134">
            <a:extLst>
              <a:ext uri="{FF2B5EF4-FFF2-40B4-BE49-F238E27FC236}">
                <a16:creationId xmlns:a16="http://schemas.microsoft.com/office/drawing/2014/main" id="{F00E3A94-771D-494F-BA2A-3E0B60491B5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47" name="Line 135">
            <a:extLst>
              <a:ext uri="{FF2B5EF4-FFF2-40B4-BE49-F238E27FC236}">
                <a16:creationId xmlns:a16="http://schemas.microsoft.com/office/drawing/2014/main" id="{B2441708-3FAC-090C-11EF-43D3C532A73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48" name="Line 136">
            <a:extLst>
              <a:ext uri="{FF2B5EF4-FFF2-40B4-BE49-F238E27FC236}">
                <a16:creationId xmlns:a16="http://schemas.microsoft.com/office/drawing/2014/main" id="{91FBE302-7D47-74B2-374E-59BC9D748FD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4" name="Group 137">
          <a:extLst>
            <a:ext uri="{FF2B5EF4-FFF2-40B4-BE49-F238E27FC236}">
              <a16:creationId xmlns:a16="http://schemas.microsoft.com/office/drawing/2014/main" id="{1B84FA21-1B3D-7931-1E6E-01B0F36690A2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35" name="Rectangle 138">
            <a:extLst>
              <a:ext uri="{FF2B5EF4-FFF2-40B4-BE49-F238E27FC236}">
                <a16:creationId xmlns:a16="http://schemas.microsoft.com/office/drawing/2014/main" id="{E1005FB4-3146-6B21-00B6-DF4CAB9C6E3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6" name="Rectangle 139">
            <a:extLst>
              <a:ext uri="{FF2B5EF4-FFF2-40B4-BE49-F238E27FC236}">
                <a16:creationId xmlns:a16="http://schemas.microsoft.com/office/drawing/2014/main" id="{9A1043C4-F5C6-A89E-A3DE-564E66636F8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7" name="Rectangle 140">
            <a:extLst>
              <a:ext uri="{FF2B5EF4-FFF2-40B4-BE49-F238E27FC236}">
                <a16:creationId xmlns:a16="http://schemas.microsoft.com/office/drawing/2014/main" id="{FF35B3A5-375E-4068-2C9C-0F35DAAE498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8" name="Rectangle 141">
            <a:extLst>
              <a:ext uri="{FF2B5EF4-FFF2-40B4-BE49-F238E27FC236}">
                <a16:creationId xmlns:a16="http://schemas.microsoft.com/office/drawing/2014/main" id="{00D5535F-203B-669B-D59D-00A0437C443F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9" name="Line 142">
            <a:extLst>
              <a:ext uri="{FF2B5EF4-FFF2-40B4-BE49-F238E27FC236}">
                <a16:creationId xmlns:a16="http://schemas.microsoft.com/office/drawing/2014/main" id="{70D3D0C7-F06E-76A9-1811-67F7A527522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40" name="Line 143">
            <a:extLst>
              <a:ext uri="{FF2B5EF4-FFF2-40B4-BE49-F238E27FC236}">
                <a16:creationId xmlns:a16="http://schemas.microsoft.com/office/drawing/2014/main" id="{76673330-B333-A5FF-1E85-DCA9F4717B3F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41" name="Line 144">
            <a:extLst>
              <a:ext uri="{FF2B5EF4-FFF2-40B4-BE49-F238E27FC236}">
                <a16:creationId xmlns:a16="http://schemas.microsoft.com/office/drawing/2014/main" id="{B8415846-C281-9C0E-6D52-C58526F8163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5" name="Group 145">
          <a:extLst>
            <a:ext uri="{FF2B5EF4-FFF2-40B4-BE49-F238E27FC236}">
              <a16:creationId xmlns:a16="http://schemas.microsoft.com/office/drawing/2014/main" id="{FFA528F4-5F5D-A935-3211-407130EFFDFB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28" name="Rectangle 146">
            <a:extLst>
              <a:ext uri="{FF2B5EF4-FFF2-40B4-BE49-F238E27FC236}">
                <a16:creationId xmlns:a16="http://schemas.microsoft.com/office/drawing/2014/main" id="{302AC9D1-1E82-C80B-3E38-3A7B732BEB2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9" name="Rectangle 147">
            <a:extLst>
              <a:ext uri="{FF2B5EF4-FFF2-40B4-BE49-F238E27FC236}">
                <a16:creationId xmlns:a16="http://schemas.microsoft.com/office/drawing/2014/main" id="{1B96981C-AFCD-36FF-DB57-4774161079AC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0" name="Rectangle 148">
            <a:extLst>
              <a:ext uri="{FF2B5EF4-FFF2-40B4-BE49-F238E27FC236}">
                <a16:creationId xmlns:a16="http://schemas.microsoft.com/office/drawing/2014/main" id="{49222D02-8F14-532B-B497-45E55831DC59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1" name="Rectangle 149">
            <a:extLst>
              <a:ext uri="{FF2B5EF4-FFF2-40B4-BE49-F238E27FC236}">
                <a16:creationId xmlns:a16="http://schemas.microsoft.com/office/drawing/2014/main" id="{55BCC8F6-E87A-A119-3C38-BB12DFDC639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32" name="Line 150">
            <a:extLst>
              <a:ext uri="{FF2B5EF4-FFF2-40B4-BE49-F238E27FC236}">
                <a16:creationId xmlns:a16="http://schemas.microsoft.com/office/drawing/2014/main" id="{C9D86F3D-24D3-D1D7-8DD1-BAA18E0E1F8A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33" name="Line 151">
            <a:extLst>
              <a:ext uri="{FF2B5EF4-FFF2-40B4-BE49-F238E27FC236}">
                <a16:creationId xmlns:a16="http://schemas.microsoft.com/office/drawing/2014/main" id="{31783C91-3535-C1CE-3B0C-727BB044753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34" name="Line 152">
            <a:extLst>
              <a:ext uri="{FF2B5EF4-FFF2-40B4-BE49-F238E27FC236}">
                <a16:creationId xmlns:a16="http://schemas.microsoft.com/office/drawing/2014/main" id="{1D457F13-3ECC-C9F1-961C-FF9B397D322D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6" name="Group 153">
          <a:extLst>
            <a:ext uri="{FF2B5EF4-FFF2-40B4-BE49-F238E27FC236}">
              <a16:creationId xmlns:a16="http://schemas.microsoft.com/office/drawing/2014/main" id="{4D63F5EE-8C76-F299-6ED1-0B3889ADEAAA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21" name="Rectangle 154">
            <a:extLst>
              <a:ext uri="{FF2B5EF4-FFF2-40B4-BE49-F238E27FC236}">
                <a16:creationId xmlns:a16="http://schemas.microsoft.com/office/drawing/2014/main" id="{A2DA350B-8990-C9C4-F56D-DCC4B7221268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2" name="Rectangle 155">
            <a:extLst>
              <a:ext uri="{FF2B5EF4-FFF2-40B4-BE49-F238E27FC236}">
                <a16:creationId xmlns:a16="http://schemas.microsoft.com/office/drawing/2014/main" id="{74B55103-D674-6CC2-78DC-9234F5197F41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3" name="Rectangle 156">
            <a:extLst>
              <a:ext uri="{FF2B5EF4-FFF2-40B4-BE49-F238E27FC236}">
                <a16:creationId xmlns:a16="http://schemas.microsoft.com/office/drawing/2014/main" id="{F07564A2-607D-1C07-C329-5112190986AC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4" name="Rectangle 157">
            <a:extLst>
              <a:ext uri="{FF2B5EF4-FFF2-40B4-BE49-F238E27FC236}">
                <a16:creationId xmlns:a16="http://schemas.microsoft.com/office/drawing/2014/main" id="{BC038FCA-D819-0BD8-0D99-8FBBCECD404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25" name="Line 158">
            <a:extLst>
              <a:ext uri="{FF2B5EF4-FFF2-40B4-BE49-F238E27FC236}">
                <a16:creationId xmlns:a16="http://schemas.microsoft.com/office/drawing/2014/main" id="{0F647E0D-5699-5931-714A-B8925051FE4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26" name="Line 159">
            <a:extLst>
              <a:ext uri="{FF2B5EF4-FFF2-40B4-BE49-F238E27FC236}">
                <a16:creationId xmlns:a16="http://schemas.microsoft.com/office/drawing/2014/main" id="{A94ADCA1-FB29-2653-5419-6005AC573B9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27" name="Line 160">
            <a:extLst>
              <a:ext uri="{FF2B5EF4-FFF2-40B4-BE49-F238E27FC236}">
                <a16:creationId xmlns:a16="http://schemas.microsoft.com/office/drawing/2014/main" id="{01A76BA7-87C9-97D1-06EB-3C4FE49FD82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7" name="Group 161">
          <a:extLst>
            <a:ext uri="{FF2B5EF4-FFF2-40B4-BE49-F238E27FC236}">
              <a16:creationId xmlns:a16="http://schemas.microsoft.com/office/drawing/2014/main" id="{F838CD01-31ED-AAF3-8BED-A0A606904C97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14" name="Rectangle 162">
            <a:extLst>
              <a:ext uri="{FF2B5EF4-FFF2-40B4-BE49-F238E27FC236}">
                <a16:creationId xmlns:a16="http://schemas.microsoft.com/office/drawing/2014/main" id="{9940052D-AD76-C2C6-4E8F-B67FB757F6C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5" name="Rectangle 163">
            <a:extLst>
              <a:ext uri="{FF2B5EF4-FFF2-40B4-BE49-F238E27FC236}">
                <a16:creationId xmlns:a16="http://schemas.microsoft.com/office/drawing/2014/main" id="{D05E00E9-6EBB-17E9-DB68-7CC5E4B709E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6" name="Rectangle 164">
            <a:extLst>
              <a:ext uri="{FF2B5EF4-FFF2-40B4-BE49-F238E27FC236}">
                <a16:creationId xmlns:a16="http://schemas.microsoft.com/office/drawing/2014/main" id="{FD46F8EE-B562-9EDA-CFF7-EB2936F210E3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7" name="Rectangle 165">
            <a:extLst>
              <a:ext uri="{FF2B5EF4-FFF2-40B4-BE49-F238E27FC236}">
                <a16:creationId xmlns:a16="http://schemas.microsoft.com/office/drawing/2014/main" id="{03DEBD39-4422-1C9B-4512-492E212C5BD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8" name="Line 166">
            <a:extLst>
              <a:ext uri="{FF2B5EF4-FFF2-40B4-BE49-F238E27FC236}">
                <a16:creationId xmlns:a16="http://schemas.microsoft.com/office/drawing/2014/main" id="{79A89395-0EF2-ECAA-658F-B3FB4A371B1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19" name="Line 167">
            <a:extLst>
              <a:ext uri="{FF2B5EF4-FFF2-40B4-BE49-F238E27FC236}">
                <a16:creationId xmlns:a16="http://schemas.microsoft.com/office/drawing/2014/main" id="{4A4DEA2D-1EAF-8FAF-A1EB-47824187EAE2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20" name="Line 168">
            <a:extLst>
              <a:ext uri="{FF2B5EF4-FFF2-40B4-BE49-F238E27FC236}">
                <a16:creationId xmlns:a16="http://schemas.microsoft.com/office/drawing/2014/main" id="{D5A11DA4-F383-3FF0-6815-354C1239E56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8" name="Group 169">
          <a:extLst>
            <a:ext uri="{FF2B5EF4-FFF2-40B4-BE49-F238E27FC236}">
              <a16:creationId xmlns:a16="http://schemas.microsoft.com/office/drawing/2014/main" id="{171774BD-BC7B-82ED-9BF8-01787234CF92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07" name="Rectangle 170">
            <a:extLst>
              <a:ext uri="{FF2B5EF4-FFF2-40B4-BE49-F238E27FC236}">
                <a16:creationId xmlns:a16="http://schemas.microsoft.com/office/drawing/2014/main" id="{030866A8-41F6-D69F-5561-93F32D5C5CC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8" name="Rectangle 171">
            <a:extLst>
              <a:ext uri="{FF2B5EF4-FFF2-40B4-BE49-F238E27FC236}">
                <a16:creationId xmlns:a16="http://schemas.microsoft.com/office/drawing/2014/main" id="{B2F79FCB-ECCD-D4C0-99DF-C2DD3960453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9" name="Rectangle 172">
            <a:extLst>
              <a:ext uri="{FF2B5EF4-FFF2-40B4-BE49-F238E27FC236}">
                <a16:creationId xmlns:a16="http://schemas.microsoft.com/office/drawing/2014/main" id="{5735437C-30CA-12FF-66F9-EEA59B5810A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0" name="Rectangle 173">
            <a:extLst>
              <a:ext uri="{FF2B5EF4-FFF2-40B4-BE49-F238E27FC236}">
                <a16:creationId xmlns:a16="http://schemas.microsoft.com/office/drawing/2014/main" id="{95307A2D-3261-B1EC-6DC4-87FA20866BC8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11" name="Line 174">
            <a:extLst>
              <a:ext uri="{FF2B5EF4-FFF2-40B4-BE49-F238E27FC236}">
                <a16:creationId xmlns:a16="http://schemas.microsoft.com/office/drawing/2014/main" id="{F9D5B216-0503-3C2D-804B-D8238494B32F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12" name="Line 175">
            <a:extLst>
              <a:ext uri="{FF2B5EF4-FFF2-40B4-BE49-F238E27FC236}">
                <a16:creationId xmlns:a16="http://schemas.microsoft.com/office/drawing/2014/main" id="{F544D7B4-600B-827D-B147-AC1CBD4D5B2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13" name="Line 176">
            <a:extLst>
              <a:ext uri="{FF2B5EF4-FFF2-40B4-BE49-F238E27FC236}">
                <a16:creationId xmlns:a16="http://schemas.microsoft.com/office/drawing/2014/main" id="{DF1DC27A-CD32-BA7F-04FA-E033FFA404A1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499" name="Group 177">
          <a:extLst>
            <a:ext uri="{FF2B5EF4-FFF2-40B4-BE49-F238E27FC236}">
              <a16:creationId xmlns:a16="http://schemas.microsoft.com/office/drawing/2014/main" id="{4B58EE05-A055-9574-62DD-3E86BB213B38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400" name="Rectangle 178">
            <a:extLst>
              <a:ext uri="{FF2B5EF4-FFF2-40B4-BE49-F238E27FC236}">
                <a16:creationId xmlns:a16="http://schemas.microsoft.com/office/drawing/2014/main" id="{ABAB8A35-7E10-7F80-AAC5-272E9926BD4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1" name="Rectangle 179">
            <a:extLst>
              <a:ext uri="{FF2B5EF4-FFF2-40B4-BE49-F238E27FC236}">
                <a16:creationId xmlns:a16="http://schemas.microsoft.com/office/drawing/2014/main" id="{F4AAD21C-08AE-8CBD-1093-1938DC9D2EC7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2" name="Rectangle 180">
            <a:extLst>
              <a:ext uri="{FF2B5EF4-FFF2-40B4-BE49-F238E27FC236}">
                <a16:creationId xmlns:a16="http://schemas.microsoft.com/office/drawing/2014/main" id="{E9E82305-CABF-7951-00C5-BD2290734ED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3" name="Rectangle 181">
            <a:extLst>
              <a:ext uri="{FF2B5EF4-FFF2-40B4-BE49-F238E27FC236}">
                <a16:creationId xmlns:a16="http://schemas.microsoft.com/office/drawing/2014/main" id="{65FC5475-E36C-47AB-F35D-38E40B41661A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404" name="Line 182">
            <a:extLst>
              <a:ext uri="{FF2B5EF4-FFF2-40B4-BE49-F238E27FC236}">
                <a16:creationId xmlns:a16="http://schemas.microsoft.com/office/drawing/2014/main" id="{F9A28D47-6DCB-B784-AFAB-4E6B6912312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05" name="Line 183">
            <a:extLst>
              <a:ext uri="{FF2B5EF4-FFF2-40B4-BE49-F238E27FC236}">
                <a16:creationId xmlns:a16="http://schemas.microsoft.com/office/drawing/2014/main" id="{F9D46BBC-E4F2-6AD0-C9C6-C8A4DFE0D660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406" name="Line 184">
            <a:extLst>
              <a:ext uri="{FF2B5EF4-FFF2-40B4-BE49-F238E27FC236}">
                <a16:creationId xmlns:a16="http://schemas.microsoft.com/office/drawing/2014/main" id="{532CF0D1-F586-9F23-02B5-EF19B9C15DE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0" name="Group 185">
          <a:extLst>
            <a:ext uri="{FF2B5EF4-FFF2-40B4-BE49-F238E27FC236}">
              <a16:creationId xmlns:a16="http://schemas.microsoft.com/office/drawing/2014/main" id="{843FB38E-3198-458B-AB85-0933DBFF601A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93" name="Rectangle 186">
            <a:extLst>
              <a:ext uri="{FF2B5EF4-FFF2-40B4-BE49-F238E27FC236}">
                <a16:creationId xmlns:a16="http://schemas.microsoft.com/office/drawing/2014/main" id="{1B925D32-A997-65E5-56F3-4D3BDB984A38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4" name="Rectangle 187">
            <a:extLst>
              <a:ext uri="{FF2B5EF4-FFF2-40B4-BE49-F238E27FC236}">
                <a16:creationId xmlns:a16="http://schemas.microsoft.com/office/drawing/2014/main" id="{1EF16599-20B1-440E-9FE6-3860C475172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5" name="Rectangle 188">
            <a:extLst>
              <a:ext uri="{FF2B5EF4-FFF2-40B4-BE49-F238E27FC236}">
                <a16:creationId xmlns:a16="http://schemas.microsoft.com/office/drawing/2014/main" id="{2D7366B2-067F-65BF-C850-4DCAE8DDA890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6" name="Rectangle 189">
            <a:extLst>
              <a:ext uri="{FF2B5EF4-FFF2-40B4-BE49-F238E27FC236}">
                <a16:creationId xmlns:a16="http://schemas.microsoft.com/office/drawing/2014/main" id="{180DBBDB-CB50-39C0-0474-0F6EB584E89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7" name="Line 190">
            <a:extLst>
              <a:ext uri="{FF2B5EF4-FFF2-40B4-BE49-F238E27FC236}">
                <a16:creationId xmlns:a16="http://schemas.microsoft.com/office/drawing/2014/main" id="{C5173B6E-CD1D-F3A7-3D7F-17BC3E7A5CB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98" name="Line 191">
            <a:extLst>
              <a:ext uri="{FF2B5EF4-FFF2-40B4-BE49-F238E27FC236}">
                <a16:creationId xmlns:a16="http://schemas.microsoft.com/office/drawing/2014/main" id="{2AAF7F59-1995-7A18-B221-425BF0FDB387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99" name="Line 192">
            <a:extLst>
              <a:ext uri="{FF2B5EF4-FFF2-40B4-BE49-F238E27FC236}">
                <a16:creationId xmlns:a16="http://schemas.microsoft.com/office/drawing/2014/main" id="{FE0A493D-33A7-84B3-D106-4A854CF7907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1" name="Group 193">
          <a:extLst>
            <a:ext uri="{FF2B5EF4-FFF2-40B4-BE49-F238E27FC236}">
              <a16:creationId xmlns:a16="http://schemas.microsoft.com/office/drawing/2014/main" id="{2529274A-9838-C3E8-77B1-322B8E2EBF68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86" name="Rectangle 194">
            <a:extLst>
              <a:ext uri="{FF2B5EF4-FFF2-40B4-BE49-F238E27FC236}">
                <a16:creationId xmlns:a16="http://schemas.microsoft.com/office/drawing/2014/main" id="{46094284-5283-8809-2F77-685ECFC69390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7" name="Rectangle 195">
            <a:extLst>
              <a:ext uri="{FF2B5EF4-FFF2-40B4-BE49-F238E27FC236}">
                <a16:creationId xmlns:a16="http://schemas.microsoft.com/office/drawing/2014/main" id="{DF74644D-6912-7E5E-3922-2B173544CC16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8" name="Rectangle 196">
            <a:extLst>
              <a:ext uri="{FF2B5EF4-FFF2-40B4-BE49-F238E27FC236}">
                <a16:creationId xmlns:a16="http://schemas.microsoft.com/office/drawing/2014/main" id="{D07CB6E4-CA91-1943-B94A-A0DA2A64841B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9" name="Rectangle 197">
            <a:extLst>
              <a:ext uri="{FF2B5EF4-FFF2-40B4-BE49-F238E27FC236}">
                <a16:creationId xmlns:a16="http://schemas.microsoft.com/office/drawing/2014/main" id="{25B6A15F-ABBC-53D2-AC11-F6FE2183E10E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90" name="Line 198">
            <a:extLst>
              <a:ext uri="{FF2B5EF4-FFF2-40B4-BE49-F238E27FC236}">
                <a16:creationId xmlns:a16="http://schemas.microsoft.com/office/drawing/2014/main" id="{277C7630-FF8D-FFDA-180E-833AC9303B2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91" name="Line 199">
            <a:extLst>
              <a:ext uri="{FF2B5EF4-FFF2-40B4-BE49-F238E27FC236}">
                <a16:creationId xmlns:a16="http://schemas.microsoft.com/office/drawing/2014/main" id="{BCC4BFFD-C288-AE8B-17FD-74153E6B570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92" name="Line 200">
            <a:extLst>
              <a:ext uri="{FF2B5EF4-FFF2-40B4-BE49-F238E27FC236}">
                <a16:creationId xmlns:a16="http://schemas.microsoft.com/office/drawing/2014/main" id="{B1DF9938-52F3-889D-4EA0-D389DF43AFDE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2" name="Group 201">
          <a:extLst>
            <a:ext uri="{FF2B5EF4-FFF2-40B4-BE49-F238E27FC236}">
              <a16:creationId xmlns:a16="http://schemas.microsoft.com/office/drawing/2014/main" id="{B59A5610-5B44-0770-437F-793B7FA106FA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79" name="Rectangle 202">
            <a:extLst>
              <a:ext uri="{FF2B5EF4-FFF2-40B4-BE49-F238E27FC236}">
                <a16:creationId xmlns:a16="http://schemas.microsoft.com/office/drawing/2014/main" id="{F0BA0395-3C4B-82B6-5322-21077285E5D4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0" name="Rectangle 203">
            <a:extLst>
              <a:ext uri="{FF2B5EF4-FFF2-40B4-BE49-F238E27FC236}">
                <a16:creationId xmlns:a16="http://schemas.microsoft.com/office/drawing/2014/main" id="{C1745365-0070-C215-A19B-10A30D4C1ECA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1" name="Rectangle 204">
            <a:extLst>
              <a:ext uri="{FF2B5EF4-FFF2-40B4-BE49-F238E27FC236}">
                <a16:creationId xmlns:a16="http://schemas.microsoft.com/office/drawing/2014/main" id="{A7373CE8-BBB0-1230-A222-2018E40AACF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2" name="Rectangle 205">
            <a:extLst>
              <a:ext uri="{FF2B5EF4-FFF2-40B4-BE49-F238E27FC236}">
                <a16:creationId xmlns:a16="http://schemas.microsoft.com/office/drawing/2014/main" id="{9974D354-6F84-1117-4150-0181B921335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83" name="Line 206">
            <a:extLst>
              <a:ext uri="{FF2B5EF4-FFF2-40B4-BE49-F238E27FC236}">
                <a16:creationId xmlns:a16="http://schemas.microsoft.com/office/drawing/2014/main" id="{72CF55A4-5847-A48B-CBFA-7D195B3C0740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84" name="Line 207">
            <a:extLst>
              <a:ext uri="{FF2B5EF4-FFF2-40B4-BE49-F238E27FC236}">
                <a16:creationId xmlns:a16="http://schemas.microsoft.com/office/drawing/2014/main" id="{50D38738-E6BD-CFC9-1281-7EB161A812F4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85" name="Line 208">
            <a:extLst>
              <a:ext uri="{FF2B5EF4-FFF2-40B4-BE49-F238E27FC236}">
                <a16:creationId xmlns:a16="http://schemas.microsoft.com/office/drawing/2014/main" id="{F8484870-E7BC-0001-7713-91D6753372E6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3" name="Group 209">
          <a:extLst>
            <a:ext uri="{FF2B5EF4-FFF2-40B4-BE49-F238E27FC236}">
              <a16:creationId xmlns:a16="http://schemas.microsoft.com/office/drawing/2014/main" id="{43337E25-43A2-1321-5696-D2CF5FDA9176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72" name="Rectangle 210">
            <a:extLst>
              <a:ext uri="{FF2B5EF4-FFF2-40B4-BE49-F238E27FC236}">
                <a16:creationId xmlns:a16="http://schemas.microsoft.com/office/drawing/2014/main" id="{D8DFE4D6-C907-D68A-6F9A-77C7E506B0D2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73" name="Rectangle 211">
            <a:extLst>
              <a:ext uri="{FF2B5EF4-FFF2-40B4-BE49-F238E27FC236}">
                <a16:creationId xmlns:a16="http://schemas.microsoft.com/office/drawing/2014/main" id="{F26E8E73-B6FC-8882-5ED7-BD47F0409699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74" name="Rectangle 212">
            <a:extLst>
              <a:ext uri="{FF2B5EF4-FFF2-40B4-BE49-F238E27FC236}">
                <a16:creationId xmlns:a16="http://schemas.microsoft.com/office/drawing/2014/main" id="{2F0C164B-70DB-6D18-7D8A-63C6296D028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75" name="Rectangle 213">
            <a:extLst>
              <a:ext uri="{FF2B5EF4-FFF2-40B4-BE49-F238E27FC236}">
                <a16:creationId xmlns:a16="http://schemas.microsoft.com/office/drawing/2014/main" id="{1C977BB0-530D-5ED5-AA9D-A796B0B06F6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76" name="Line 214">
            <a:extLst>
              <a:ext uri="{FF2B5EF4-FFF2-40B4-BE49-F238E27FC236}">
                <a16:creationId xmlns:a16="http://schemas.microsoft.com/office/drawing/2014/main" id="{8E840268-26A4-575E-974E-F0397897A2B8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77" name="Line 215">
            <a:extLst>
              <a:ext uri="{FF2B5EF4-FFF2-40B4-BE49-F238E27FC236}">
                <a16:creationId xmlns:a16="http://schemas.microsoft.com/office/drawing/2014/main" id="{50C1E1C6-6794-CE1C-2B83-ED05E861C11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78" name="Line 216">
            <a:extLst>
              <a:ext uri="{FF2B5EF4-FFF2-40B4-BE49-F238E27FC236}">
                <a16:creationId xmlns:a16="http://schemas.microsoft.com/office/drawing/2014/main" id="{8A061C06-0021-F03C-BFA0-677297E41DB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4" name="Group 217">
          <a:extLst>
            <a:ext uri="{FF2B5EF4-FFF2-40B4-BE49-F238E27FC236}">
              <a16:creationId xmlns:a16="http://schemas.microsoft.com/office/drawing/2014/main" id="{D3C2C230-7D87-F129-5E06-C85DF2421579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65" name="Rectangle 218">
            <a:extLst>
              <a:ext uri="{FF2B5EF4-FFF2-40B4-BE49-F238E27FC236}">
                <a16:creationId xmlns:a16="http://schemas.microsoft.com/office/drawing/2014/main" id="{429F7C4A-393C-E965-916B-2AC4D2C0456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6" name="Rectangle 219">
            <a:extLst>
              <a:ext uri="{FF2B5EF4-FFF2-40B4-BE49-F238E27FC236}">
                <a16:creationId xmlns:a16="http://schemas.microsoft.com/office/drawing/2014/main" id="{6E77565B-3CCE-4FC3-3C65-2E60004BE33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7" name="Rectangle 220">
            <a:extLst>
              <a:ext uri="{FF2B5EF4-FFF2-40B4-BE49-F238E27FC236}">
                <a16:creationId xmlns:a16="http://schemas.microsoft.com/office/drawing/2014/main" id="{42CDD90F-7FF4-8F7A-AE8D-47D4B25FFE27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8" name="Rectangle 221">
            <a:extLst>
              <a:ext uri="{FF2B5EF4-FFF2-40B4-BE49-F238E27FC236}">
                <a16:creationId xmlns:a16="http://schemas.microsoft.com/office/drawing/2014/main" id="{0A2580C8-7711-4DB0-6759-D1635DF4BD34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9" name="Line 222">
            <a:extLst>
              <a:ext uri="{FF2B5EF4-FFF2-40B4-BE49-F238E27FC236}">
                <a16:creationId xmlns:a16="http://schemas.microsoft.com/office/drawing/2014/main" id="{9859D0E3-56F1-BB08-9460-46FB4A4A2C9B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70" name="Line 223">
            <a:extLst>
              <a:ext uri="{FF2B5EF4-FFF2-40B4-BE49-F238E27FC236}">
                <a16:creationId xmlns:a16="http://schemas.microsoft.com/office/drawing/2014/main" id="{E71A8542-D210-A8FB-4C59-301ED21E565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71" name="Line 224">
            <a:extLst>
              <a:ext uri="{FF2B5EF4-FFF2-40B4-BE49-F238E27FC236}">
                <a16:creationId xmlns:a16="http://schemas.microsoft.com/office/drawing/2014/main" id="{45A89043-2C52-5D4C-E8DF-ADA309195A5C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5" name="Group 225">
          <a:extLst>
            <a:ext uri="{FF2B5EF4-FFF2-40B4-BE49-F238E27FC236}">
              <a16:creationId xmlns:a16="http://schemas.microsoft.com/office/drawing/2014/main" id="{F213B136-C9C2-D028-76BA-0326F35E2DDE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58" name="Rectangle 226">
            <a:extLst>
              <a:ext uri="{FF2B5EF4-FFF2-40B4-BE49-F238E27FC236}">
                <a16:creationId xmlns:a16="http://schemas.microsoft.com/office/drawing/2014/main" id="{F090FFE7-C5C7-EBC3-CF67-927E6F4D8071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9" name="Rectangle 227">
            <a:extLst>
              <a:ext uri="{FF2B5EF4-FFF2-40B4-BE49-F238E27FC236}">
                <a16:creationId xmlns:a16="http://schemas.microsoft.com/office/drawing/2014/main" id="{A5C0284E-9630-6818-5BC3-CB0AC6095B75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0" name="Rectangle 228">
            <a:extLst>
              <a:ext uri="{FF2B5EF4-FFF2-40B4-BE49-F238E27FC236}">
                <a16:creationId xmlns:a16="http://schemas.microsoft.com/office/drawing/2014/main" id="{41714817-2FAC-9260-59BF-66562FDC0BD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1" name="Rectangle 229">
            <a:extLst>
              <a:ext uri="{FF2B5EF4-FFF2-40B4-BE49-F238E27FC236}">
                <a16:creationId xmlns:a16="http://schemas.microsoft.com/office/drawing/2014/main" id="{388C1108-E8D3-B612-4B74-177B84CC78AB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62" name="Line 230">
            <a:extLst>
              <a:ext uri="{FF2B5EF4-FFF2-40B4-BE49-F238E27FC236}">
                <a16:creationId xmlns:a16="http://schemas.microsoft.com/office/drawing/2014/main" id="{7588CE21-DFDA-8B47-236E-E2D56DE8CC75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63" name="Line 231">
            <a:extLst>
              <a:ext uri="{FF2B5EF4-FFF2-40B4-BE49-F238E27FC236}">
                <a16:creationId xmlns:a16="http://schemas.microsoft.com/office/drawing/2014/main" id="{17051D5F-CB0E-8892-ABB6-015B8263E0EA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64" name="Line 232">
            <a:extLst>
              <a:ext uri="{FF2B5EF4-FFF2-40B4-BE49-F238E27FC236}">
                <a16:creationId xmlns:a16="http://schemas.microsoft.com/office/drawing/2014/main" id="{4EE7C67E-636E-804A-CE23-EDAD46A91C0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6" name="Group 233">
          <a:extLst>
            <a:ext uri="{FF2B5EF4-FFF2-40B4-BE49-F238E27FC236}">
              <a16:creationId xmlns:a16="http://schemas.microsoft.com/office/drawing/2014/main" id="{F29CDA08-2C81-9DAF-6003-09B4DA01EA97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51" name="Rectangle 234">
            <a:extLst>
              <a:ext uri="{FF2B5EF4-FFF2-40B4-BE49-F238E27FC236}">
                <a16:creationId xmlns:a16="http://schemas.microsoft.com/office/drawing/2014/main" id="{4CE9797B-CF96-33DD-1531-AB4E4B16A126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2" name="Rectangle 235">
            <a:extLst>
              <a:ext uri="{FF2B5EF4-FFF2-40B4-BE49-F238E27FC236}">
                <a16:creationId xmlns:a16="http://schemas.microsoft.com/office/drawing/2014/main" id="{DDCC4969-A24C-8A50-6A13-9566EA0EC0FD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3" name="Rectangle 236">
            <a:extLst>
              <a:ext uri="{FF2B5EF4-FFF2-40B4-BE49-F238E27FC236}">
                <a16:creationId xmlns:a16="http://schemas.microsoft.com/office/drawing/2014/main" id="{B97E4097-68D7-9FCC-2F39-E5ACD586774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4" name="Rectangle 237">
            <a:extLst>
              <a:ext uri="{FF2B5EF4-FFF2-40B4-BE49-F238E27FC236}">
                <a16:creationId xmlns:a16="http://schemas.microsoft.com/office/drawing/2014/main" id="{D555C857-EFB0-5482-8C3E-ACEA37968CB1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55" name="Line 238">
            <a:extLst>
              <a:ext uri="{FF2B5EF4-FFF2-40B4-BE49-F238E27FC236}">
                <a16:creationId xmlns:a16="http://schemas.microsoft.com/office/drawing/2014/main" id="{CC73016A-43B1-5BC5-9D07-13F26EFC3C0D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56" name="Line 239">
            <a:extLst>
              <a:ext uri="{FF2B5EF4-FFF2-40B4-BE49-F238E27FC236}">
                <a16:creationId xmlns:a16="http://schemas.microsoft.com/office/drawing/2014/main" id="{EBB412FD-07C6-627C-78B5-49DF110BF53E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57" name="Line 240">
            <a:extLst>
              <a:ext uri="{FF2B5EF4-FFF2-40B4-BE49-F238E27FC236}">
                <a16:creationId xmlns:a16="http://schemas.microsoft.com/office/drawing/2014/main" id="{794FB66D-32CA-BE53-E469-D2C38F918428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7" name="Group 241">
          <a:extLst>
            <a:ext uri="{FF2B5EF4-FFF2-40B4-BE49-F238E27FC236}">
              <a16:creationId xmlns:a16="http://schemas.microsoft.com/office/drawing/2014/main" id="{1BEC5426-716E-2FBA-94C2-B86395C33FE3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44" name="Rectangle 242">
            <a:extLst>
              <a:ext uri="{FF2B5EF4-FFF2-40B4-BE49-F238E27FC236}">
                <a16:creationId xmlns:a16="http://schemas.microsoft.com/office/drawing/2014/main" id="{378C15A6-0ECB-0932-7C8C-006B5C3B4DB3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5" name="Rectangle 243">
            <a:extLst>
              <a:ext uri="{FF2B5EF4-FFF2-40B4-BE49-F238E27FC236}">
                <a16:creationId xmlns:a16="http://schemas.microsoft.com/office/drawing/2014/main" id="{B4C9DCEF-E277-05E3-8DFA-4AE882087473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6" name="Rectangle 244">
            <a:extLst>
              <a:ext uri="{FF2B5EF4-FFF2-40B4-BE49-F238E27FC236}">
                <a16:creationId xmlns:a16="http://schemas.microsoft.com/office/drawing/2014/main" id="{F3B29022-EDA7-FCFF-C2A6-3BC99B6CB931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7" name="Rectangle 245">
            <a:extLst>
              <a:ext uri="{FF2B5EF4-FFF2-40B4-BE49-F238E27FC236}">
                <a16:creationId xmlns:a16="http://schemas.microsoft.com/office/drawing/2014/main" id="{C84F0418-76E8-1659-1ED8-341CDC8CF3E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8" name="Line 246">
            <a:extLst>
              <a:ext uri="{FF2B5EF4-FFF2-40B4-BE49-F238E27FC236}">
                <a16:creationId xmlns:a16="http://schemas.microsoft.com/office/drawing/2014/main" id="{179F415A-D6D8-264E-0C3A-F606E12F047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49" name="Line 247">
            <a:extLst>
              <a:ext uri="{FF2B5EF4-FFF2-40B4-BE49-F238E27FC236}">
                <a16:creationId xmlns:a16="http://schemas.microsoft.com/office/drawing/2014/main" id="{9E9FB065-39CA-49C2-83FD-98FB83755D71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50" name="Line 248">
            <a:extLst>
              <a:ext uri="{FF2B5EF4-FFF2-40B4-BE49-F238E27FC236}">
                <a16:creationId xmlns:a16="http://schemas.microsoft.com/office/drawing/2014/main" id="{C76278C3-E79B-1C5D-139D-C0B40EAC7325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8" name="Group 249">
          <a:extLst>
            <a:ext uri="{FF2B5EF4-FFF2-40B4-BE49-F238E27FC236}">
              <a16:creationId xmlns:a16="http://schemas.microsoft.com/office/drawing/2014/main" id="{0D1A8458-350A-3DBD-BE73-7FE3BE069D79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37" name="Rectangle 250">
            <a:extLst>
              <a:ext uri="{FF2B5EF4-FFF2-40B4-BE49-F238E27FC236}">
                <a16:creationId xmlns:a16="http://schemas.microsoft.com/office/drawing/2014/main" id="{4C5C96A7-8F40-83B5-B83E-77F185B8C958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8" name="Rectangle 251">
            <a:extLst>
              <a:ext uri="{FF2B5EF4-FFF2-40B4-BE49-F238E27FC236}">
                <a16:creationId xmlns:a16="http://schemas.microsoft.com/office/drawing/2014/main" id="{A4DA533B-0B32-0EC4-3AA2-22DEB3FE7F6B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9" name="Rectangle 252">
            <a:extLst>
              <a:ext uri="{FF2B5EF4-FFF2-40B4-BE49-F238E27FC236}">
                <a16:creationId xmlns:a16="http://schemas.microsoft.com/office/drawing/2014/main" id="{B166E14B-B0E7-058F-2CF0-98F19E6010AD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0" name="Rectangle 253">
            <a:extLst>
              <a:ext uri="{FF2B5EF4-FFF2-40B4-BE49-F238E27FC236}">
                <a16:creationId xmlns:a16="http://schemas.microsoft.com/office/drawing/2014/main" id="{CE8A5848-B972-AEA7-C91A-9AFE3D7271B6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41" name="Line 254">
            <a:extLst>
              <a:ext uri="{FF2B5EF4-FFF2-40B4-BE49-F238E27FC236}">
                <a16:creationId xmlns:a16="http://schemas.microsoft.com/office/drawing/2014/main" id="{2123B003-526F-6927-36AE-F5F91A6959BE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42" name="Line 255">
            <a:extLst>
              <a:ext uri="{FF2B5EF4-FFF2-40B4-BE49-F238E27FC236}">
                <a16:creationId xmlns:a16="http://schemas.microsoft.com/office/drawing/2014/main" id="{26647705-FCF4-7769-3675-AE03A2FBFFBC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43" name="Line 256">
            <a:extLst>
              <a:ext uri="{FF2B5EF4-FFF2-40B4-BE49-F238E27FC236}">
                <a16:creationId xmlns:a16="http://schemas.microsoft.com/office/drawing/2014/main" id="{1D715A31-B963-10F5-8783-529F7BD8AFED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09" name="Group 257">
          <a:extLst>
            <a:ext uri="{FF2B5EF4-FFF2-40B4-BE49-F238E27FC236}">
              <a16:creationId xmlns:a16="http://schemas.microsoft.com/office/drawing/2014/main" id="{5977470B-4CC7-CFC4-6E7E-FBEC1BC3AD48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30" name="Rectangle 258">
            <a:extLst>
              <a:ext uri="{FF2B5EF4-FFF2-40B4-BE49-F238E27FC236}">
                <a16:creationId xmlns:a16="http://schemas.microsoft.com/office/drawing/2014/main" id="{9F3CFD48-021B-92D2-4C29-A8C522B4FD69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1" name="Rectangle 259">
            <a:extLst>
              <a:ext uri="{FF2B5EF4-FFF2-40B4-BE49-F238E27FC236}">
                <a16:creationId xmlns:a16="http://schemas.microsoft.com/office/drawing/2014/main" id="{9E54A1AF-4718-CB6B-A30D-CAA2AE7B7338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2" name="Rectangle 260">
            <a:extLst>
              <a:ext uri="{FF2B5EF4-FFF2-40B4-BE49-F238E27FC236}">
                <a16:creationId xmlns:a16="http://schemas.microsoft.com/office/drawing/2014/main" id="{7221146A-DE53-C2FC-3571-F9C769A1806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3" name="Rectangle 261">
            <a:extLst>
              <a:ext uri="{FF2B5EF4-FFF2-40B4-BE49-F238E27FC236}">
                <a16:creationId xmlns:a16="http://schemas.microsoft.com/office/drawing/2014/main" id="{AFEAC585-4F84-AE2D-22CD-0055417C00A2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34" name="Line 262">
            <a:extLst>
              <a:ext uri="{FF2B5EF4-FFF2-40B4-BE49-F238E27FC236}">
                <a16:creationId xmlns:a16="http://schemas.microsoft.com/office/drawing/2014/main" id="{CA18A4D6-5C0B-FF8E-D079-2CAD4A5D6422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35" name="Line 263">
            <a:extLst>
              <a:ext uri="{FF2B5EF4-FFF2-40B4-BE49-F238E27FC236}">
                <a16:creationId xmlns:a16="http://schemas.microsoft.com/office/drawing/2014/main" id="{59885E93-4DCE-49B9-0D3C-C81164941D5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36" name="Line 264">
            <a:extLst>
              <a:ext uri="{FF2B5EF4-FFF2-40B4-BE49-F238E27FC236}">
                <a16:creationId xmlns:a16="http://schemas.microsoft.com/office/drawing/2014/main" id="{6B643345-F426-489C-8ED1-589B213563AA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10" name="Group 265">
          <a:extLst>
            <a:ext uri="{FF2B5EF4-FFF2-40B4-BE49-F238E27FC236}">
              <a16:creationId xmlns:a16="http://schemas.microsoft.com/office/drawing/2014/main" id="{5D727178-7783-D559-3570-6B1CC724FA95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23" name="Rectangle 266">
            <a:extLst>
              <a:ext uri="{FF2B5EF4-FFF2-40B4-BE49-F238E27FC236}">
                <a16:creationId xmlns:a16="http://schemas.microsoft.com/office/drawing/2014/main" id="{EC1FC0C4-F446-0771-27A9-45C3B3EF493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4" name="Rectangle 267">
            <a:extLst>
              <a:ext uri="{FF2B5EF4-FFF2-40B4-BE49-F238E27FC236}">
                <a16:creationId xmlns:a16="http://schemas.microsoft.com/office/drawing/2014/main" id="{57CCD90B-53D7-E159-C1EF-7CBC126F764F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5" name="Rectangle 268">
            <a:extLst>
              <a:ext uri="{FF2B5EF4-FFF2-40B4-BE49-F238E27FC236}">
                <a16:creationId xmlns:a16="http://schemas.microsoft.com/office/drawing/2014/main" id="{75A2AAA1-261A-89EA-D687-1391E40FBDF6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6" name="Rectangle 269">
            <a:extLst>
              <a:ext uri="{FF2B5EF4-FFF2-40B4-BE49-F238E27FC236}">
                <a16:creationId xmlns:a16="http://schemas.microsoft.com/office/drawing/2014/main" id="{18208793-1A6D-8262-E843-60C7A47058F5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7" name="Line 270">
            <a:extLst>
              <a:ext uri="{FF2B5EF4-FFF2-40B4-BE49-F238E27FC236}">
                <a16:creationId xmlns:a16="http://schemas.microsoft.com/office/drawing/2014/main" id="{B7EF1B49-6E7B-4F52-31FE-F7D44635AA54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28" name="Line 271">
            <a:extLst>
              <a:ext uri="{FF2B5EF4-FFF2-40B4-BE49-F238E27FC236}">
                <a16:creationId xmlns:a16="http://schemas.microsoft.com/office/drawing/2014/main" id="{62180676-47B7-73D7-5530-6AEF7A3D2BE6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29" name="Line 272">
            <a:extLst>
              <a:ext uri="{FF2B5EF4-FFF2-40B4-BE49-F238E27FC236}">
                <a16:creationId xmlns:a16="http://schemas.microsoft.com/office/drawing/2014/main" id="{E56311BF-E608-6042-B3EE-7AD9B27613B4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11" name="Group 273">
          <a:extLst>
            <a:ext uri="{FF2B5EF4-FFF2-40B4-BE49-F238E27FC236}">
              <a16:creationId xmlns:a16="http://schemas.microsoft.com/office/drawing/2014/main" id="{A3226DDA-6736-9BEA-E120-4A086904D96E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16" name="Rectangle 274">
            <a:extLst>
              <a:ext uri="{FF2B5EF4-FFF2-40B4-BE49-F238E27FC236}">
                <a16:creationId xmlns:a16="http://schemas.microsoft.com/office/drawing/2014/main" id="{4D8EE3DC-36DD-4CB4-A336-F510E6DBCBEE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7" name="Rectangle 275">
            <a:extLst>
              <a:ext uri="{FF2B5EF4-FFF2-40B4-BE49-F238E27FC236}">
                <a16:creationId xmlns:a16="http://schemas.microsoft.com/office/drawing/2014/main" id="{42328E64-DEBB-C491-BC0F-D158597482D4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8" name="Rectangle 276">
            <a:extLst>
              <a:ext uri="{FF2B5EF4-FFF2-40B4-BE49-F238E27FC236}">
                <a16:creationId xmlns:a16="http://schemas.microsoft.com/office/drawing/2014/main" id="{BF5D1A04-0A69-96B8-FE38-9113580D293A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9" name="Rectangle 277">
            <a:extLst>
              <a:ext uri="{FF2B5EF4-FFF2-40B4-BE49-F238E27FC236}">
                <a16:creationId xmlns:a16="http://schemas.microsoft.com/office/drawing/2014/main" id="{3E7A321C-D529-CDDE-7F30-81F85C37FC6D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20" name="Line 278">
            <a:extLst>
              <a:ext uri="{FF2B5EF4-FFF2-40B4-BE49-F238E27FC236}">
                <a16:creationId xmlns:a16="http://schemas.microsoft.com/office/drawing/2014/main" id="{29F71781-646C-07E2-A239-5E2D8B44B39C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21" name="Line 279">
            <a:extLst>
              <a:ext uri="{FF2B5EF4-FFF2-40B4-BE49-F238E27FC236}">
                <a16:creationId xmlns:a16="http://schemas.microsoft.com/office/drawing/2014/main" id="{A09D601C-FC6F-6363-DC40-03FBCAEA977B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22" name="Line 280">
            <a:extLst>
              <a:ext uri="{FF2B5EF4-FFF2-40B4-BE49-F238E27FC236}">
                <a16:creationId xmlns:a16="http://schemas.microsoft.com/office/drawing/2014/main" id="{99D0D9BA-3F3D-A6ED-27C0-2AE9F97B10C7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0</xdr:colOff>
      <xdr:row>2</xdr:row>
      <xdr:rowOff>182880</xdr:rowOff>
    </xdr:from>
    <xdr:to>
      <xdr:col>7</xdr:col>
      <xdr:colOff>0</xdr:colOff>
      <xdr:row>3</xdr:row>
      <xdr:rowOff>0</xdr:rowOff>
    </xdr:to>
    <xdr:grpSp>
      <xdr:nvGrpSpPr>
        <xdr:cNvPr id="530512" name="Group 281">
          <a:extLst>
            <a:ext uri="{FF2B5EF4-FFF2-40B4-BE49-F238E27FC236}">
              <a16:creationId xmlns:a16="http://schemas.microsoft.com/office/drawing/2014/main" id="{987A83E1-5A81-8D79-316D-856A6DBFC80B}"/>
            </a:ext>
          </a:extLst>
        </xdr:cNvPr>
        <xdr:cNvGrpSpPr>
          <a:grpSpLocks/>
        </xdr:cNvGrpSpPr>
      </xdr:nvGrpSpPr>
      <xdr:grpSpPr bwMode="auto">
        <a:xfrm>
          <a:off x="5524500" y="1280160"/>
          <a:ext cx="0" cy="388620"/>
          <a:chOff x="632" y="220"/>
          <a:chExt cx="195" cy="136"/>
        </a:xfrm>
      </xdr:grpSpPr>
      <xdr:sp macro="" textlink="">
        <xdr:nvSpPr>
          <xdr:cNvPr id="531309" name="Rectangle 282">
            <a:extLst>
              <a:ext uri="{FF2B5EF4-FFF2-40B4-BE49-F238E27FC236}">
                <a16:creationId xmlns:a16="http://schemas.microsoft.com/office/drawing/2014/main" id="{48BE208D-91F7-9B92-1ED2-798EA9565C3C}"/>
              </a:ext>
            </a:extLst>
          </xdr:cNvPr>
          <xdr:cNvSpPr>
            <a:spLocks noChangeArrowheads="1"/>
          </xdr:cNvSpPr>
        </xdr:nvSpPr>
        <xdr:spPr bwMode="auto">
          <a:xfrm>
            <a:off x="632" y="220"/>
            <a:ext cx="195" cy="13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0" name="Rectangle 283">
            <a:extLst>
              <a:ext uri="{FF2B5EF4-FFF2-40B4-BE49-F238E27FC236}">
                <a16:creationId xmlns:a16="http://schemas.microsoft.com/office/drawing/2014/main" id="{72E9809C-58C1-9397-16C8-FA475D03F35E}"/>
              </a:ext>
            </a:extLst>
          </xdr:cNvPr>
          <xdr:cNvSpPr>
            <a:spLocks noChangeArrowheads="1"/>
          </xdr:cNvSpPr>
        </xdr:nvSpPr>
        <xdr:spPr bwMode="auto">
          <a:xfrm>
            <a:off x="636" y="224"/>
            <a:ext cx="185" cy="12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1" name="Rectangle 284">
            <a:extLst>
              <a:ext uri="{FF2B5EF4-FFF2-40B4-BE49-F238E27FC236}">
                <a16:creationId xmlns:a16="http://schemas.microsoft.com/office/drawing/2014/main" id="{78BDA50B-F4DD-B04D-1F47-169C9A001625}"/>
              </a:ext>
            </a:extLst>
          </xdr:cNvPr>
          <xdr:cNvSpPr>
            <a:spLocks noChangeArrowheads="1"/>
          </xdr:cNvSpPr>
        </xdr:nvSpPr>
        <xdr:spPr bwMode="auto">
          <a:xfrm>
            <a:off x="735" y="235"/>
            <a:ext cx="78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2" name="Rectangle 285">
            <a:extLst>
              <a:ext uri="{FF2B5EF4-FFF2-40B4-BE49-F238E27FC236}">
                <a16:creationId xmlns:a16="http://schemas.microsoft.com/office/drawing/2014/main" id="{812302C8-FA67-B7C4-5F82-1F539FA5CEE3}"/>
              </a:ext>
            </a:extLst>
          </xdr:cNvPr>
          <xdr:cNvSpPr>
            <a:spLocks noChangeArrowheads="1"/>
          </xdr:cNvSpPr>
        </xdr:nvSpPr>
        <xdr:spPr bwMode="auto">
          <a:xfrm>
            <a:off x="645" y="235"/>
            <a:ext cx="76" cy="10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313" name="Line 286">
            <a:extLst>
              <a:ext uri="{FF2B5EF4-FFF2-40B4-BE49-F238E27FC236}">
                <a16:creationId xmlns:a16="http://schemas.microsoft.com/office/drawing/2014/main" id="{64C3FFAD-BD53-E3BD-58EE-D21F69698CF9}"/>
              </a:ext>
            </a:extLst>
          </xdr:cNvPr>
          <xdr:cNvSpPr>
            <a:spLocks noChangeShapeType="1"/>
          </xdr:cNvSpPr>
        </xdr:nvSpPr>
        <xdr:spPr bwMode="auto">
          <a:xfrm>
            <a:off x="728" y="224"/>
            <a:ext cx="0" cy="12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14" name="Line 287">
            <a:extLst>
              <a:ext uri="{FF2B5EF4-FFF2-40B4-BE49-F238E27FC236}">
                <a16:creationId xmlns:a16="http://schemas.microsoft.com/office/drawing/2014/main" id="{AEE7C784-E081-E5F9-68C2-AD622BF645B3}"/>
              </a:ext>
            </a:extLst>
          </xdr:cNvPr>
          <xdr:cNvSpPr>
            <a:spLocks noChangeShapeType="1"/>
          </xdr:cNvSpPr>
        </xdr:nvSpPr>
        <xdr:spPr bwMode="auto">
          <a:xfrm flipV="1">
            <a:off x="741" y="288"/>
            <a:ext cx="3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315" name="Line 288">
            <a:extLst>
              <a:ext uri="{FF2B5EF4-FFF2-40B4-BE49-F238E27FC236}">
                <a16:creationId xmlns:a16="http://schemas.microsoft.com/office/drawing/2014/main" id="{29F94C56-5E37-4BE5-894B-F0CF86398E72}"/>
              </a:ext>
            </a:extLst>
          </xdr:cNvPr>
          <xdr:cNvSpPr>
            <a:spLocks noChangeShapeType="1"/>
          </xdr:cNvSpPr>
        </xdr:nvSpPr>
        <xdr:spPr bwMode="auto">
          <a:xfrm>
            <a:off x="762" y="278"/>
            <a:ext cx="18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</xdr:row>
      <xdr:rowOff>160020</xdr:rowOff>
    </xdr:from>
    <xdr:to>
      <xdr:col>4</xdr:col>
      <xdr:colOff>0</xdr:colOff>
      <xdr:row>3</xdr:row>
      <xdr:rowOff>0</xdr:rowOff>
    </xdr:to>
    <xdr:grpSp>
      <xdr:nvGrpSpPr>
        <xdr:cNvPr id="530513" name="Group 289">
          <a:extLst>
            <a:ext uri="{FF2B5EF4-FFF2-40B4-BE49-F238E27FC236}">
              <a16:creationId xmlns:a16="http://schemas.microsoft.com/office/drawing/2014/main" id="{2EDF80B4-95FC-D1EB-FAEF-034C62B3FE93}"/>
            </a:ext>
          </a:extLst>
        </xdr:cNvPr>
        <xdr:cNvGrpSpPr>
          <a:grpSpLocks/>
        </xdr:cNvGrpSpPr>
      </xdr:nvGrpSpPr>
      <xdr:grpSpPr bwMode="auto">
        <a:xfrm>
          <a:off x="3863340" y="1257300"/>
          <a:ext cx="0" cy="411480"/>
          <a:chOff x="220" y="176"/>
          <a:chExt cx="556" cy="247"/>
        </a:xfrm>
      </xdr:grpSpPr>
      <xdr:sp macro="" textlink="">
        <xdr:nvSpPr>
          <xdr:cNvPr id="531286" name="Rectangle 290">
            <a:extLst>
              <a:ext uri="{FF2B5EF4-FFF2-40B4-BE49-F238E27FC236}">
                <a16:creationId xmlns:a16="http://schemas.microsoft.com/office/drawing/2014/main" id="{B8A68AC8-D869-BB67-233F-953141D6872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87" name="Line 291">
            <a:extLst>
              <a:ext uri="{FF2B5EF4-FFF2-40B4-BE49-F238E27FC236}">
                <a16:creationId xmlns:a16="http://schemas.microsoft.com/office/drawing/2014/main" id="{93924AC3-ED59-44C8-F51D-997B7C6C600F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88" name="Line 292">
            <a:extLst>
              <a:ext uri="{FF2B5EF4-FFF2-40B4-BE49-F238E27FC236}">
                <a16:creationId xmlns:a16="http://schemas.microsoft.com/office/drawing/2014/main" id="{E4D26FAD-9F82-150D-B94C-156BB3C8C366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89" name="Rectangle 293">
            <a:extLst>
              <a:ext uri="{FF2B5EF4-FFF2-40B4-BE49-F238E27FC236}">
                <a16:creationId xmlns:a16="http://schemas.microsoft.com/office/drawing/2014/main" id="{05105FAD-489F-BD4C-90FC-ED644512D40E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0" name="Oval 294">
            <a:extLst>
              <a:ext uri="{FF2B5EF4-FFF2-40B4-BE49-F238E27FC236}">
                <a16:creationId xmlns:a16="http://schemas.microsoft.com/office/drawing/2014/main" id="{4A13C9AB-100A-EF7E-FDC0-0A9BD2FBBBB8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91" name="Oval 295">
            <a:extLst>
              <a:ext uri="{FF2B5EF4-FFF2-40B4-BE49-F238E27FC236}">
                <a16:creationId xmlns:a16="http://schemas.microsoft.com/office/drawing/2014/main" id="{EE947803-5A42-A18A-0F6F-08A2EBC95912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92" name="Rectangle 296">
            <a:extLst>
              <a:ext uri="{FF2B5EF4-FFF2-40B4-BE49-F238E27FC236}">
                <a16:creationId xmlns:a16="http://schemas.microsoft.com/office/drawing/2014/main" id="{310213EF-74CE-0989-0075-65FFC83CF3E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3" name="Rectangle 297">
            <a:extLst>
              <a:ext uri="{FF2B5EF4-FFF2-40B4-BE49-F238E27FC236}">
                <a16:creationId xmlns:a16="http://schemas.microsoft.com/office/drawing/2014/main" id="{249F1C83-683D-DC8A-F876-14ACA8707FBF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4" name="Rectangle 298">
            <a:extLst>
              <a:ext uri="{FF2B5EF4-FFF2-40B4-BE49-F238E27FC236}">
                <a16:creationId xmlns:a16="http://schemas.microsoft.com/office/drawing/2014/main" id="{E4450FE1-F88B-9627-57C6-47121D8452A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5" name="Rectangle 299">
            <a:extLst>
              <a:ext uri="{FF2B5EF4-FFF2-40B4-BE49-F238E27FC236}">
                <a16:creationId xmlns:a16="http://schemas.microsoft.com/office/drawing/2014/main" id="{83744369-50C0-2B16-0EF7-3C5D389447AE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96" name="Group 300">
            <a:extLst>
              <a:ext uri="{FF2B5EF4-FFF2-40B4-BE49-F238E27FC236}">
                <a16:creationId xmlns:a16="http://schemas.microsoft.com/office/drawing/2014/main" id="{BBA4BE21-6144-FEBE-1D67-F93EE075ACB2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99" name="Rectangle 301">
              <a:extLst>
                <a:ext uri="{FF2B5EF4-FFF2-40B4-BE49-F238E27FC236}">
                  <a16:creationId xmlns:a16="http://schemas.microsoft.com/office/drawing/2014/main" id="{C639B2B2-0534-C3D2-2859-6B25D29312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0" name="Line 302">
              <a:extLst>
                <a:ext uri="{FF2B5EF4-FFF2-40B4-BE49-F238E27FC236}">
                  <a16:creationId xmlns:a16="http://schemas.microsoft.com/office/drawing/2014/main" id="{4D1239C8-12B9-C975-7371-E1DD772094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301" name="Line 303">
              <a:extLst>
                <a:ext uri="{FF2B5EF4-FFF2-40B4-BE49-F238E27FC236}">
                  <a16:creationId xmlns:a16="http://schemas.microsoft.com/office/drawing/2014/main" id="{941A4C4E-4F89-9302-1F69-3FE287F4462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302" name="Rectangle 304">
              <a:extLst>
                <a:ext uri="{FF2B5EF4-FFF2-40B4-BE49-F238E27FC236}">
                  <a16:creationId xmlns:a16="http://schemas.microsoft.com/office/drawing/2014/main" id="{80C942E4-9E29-EAEF-C352-B8D99169765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3" name="Oval 305">
              <a:extLst>
                <a:ext uri="{FF2B5EF4-FFF2-40B4-BE49-F238E27FC236}">
                  <a16:creationId xmlns:a16="http://schemas.microsoft.com/office/drawing/2014/main" id="{CB062281-DF2E-68BB-1823-71172A12C7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304" name="Oval 306">
              <a:extLst>
                <a:ext uri="{FF2B5EF4-FFF2-40B4-BE49-F238E27FC236}">
                  <a16:creationId xmlns:a16="http://schemas.microsoft.com/office/drawing/2014/main" id="{FF87DD54-241B-4B1C-8E8A-23DF059D62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305" name="Rectangle 307">
              <a:extLst>
                <a:ext uri="{FF2B5EF4-FFF2-40B4-BE49-F238E27FC236}">
                  <a16:creationId xmlns:a16="http://schemas.microsoft.com/office/drawing/2014/main" id="{555A71DA-0BAF-3324-7A0A-55470B1DA5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6" name="Rectangle 308">
              <a:extLst>
                <a:ext uri="{FF2B5EF4-FFF2-40B4-BE49-F238E27FC236}">
                  <a16:creationId xmlns:a16="http://schemas.microsoft.com/office/drawing/2014/main" id="{13287857-33F2-AD4D-A7AF-D4BA0710B4B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7" name="Rectangle 309">
              <a:extLst>
                <a:ext uri="{FF2B5EF4-FFF2-40B4-BE49-F238E27FC236}">
                  <a16:creationId xmlns:a16="http://schemas.microsoft.com/office/drawing/2014/main" id="{1BE9A843-01F1-B4EA-1550-EB60925E01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308" name="Rectangle 310">
              <a:extLst>
                <a:ext uri="{FF2B5EF4-FFF2-40B4-BE49-F238E27FC236}">
                  <a16:creationId xmlns:a16="http://schemas.microsoft.com/office/drawing/2014/main" id="{72C8E67E-7397-5205-7FC0-78187D714AE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97" name="Rectangle 311">
            <a:extLst>
              <a:ext uri="{FF2B5EF4-FFF2-40B4-BE49-F238E27FC236}">
                <a16:creationId xmlns:a16="http://schemas.microsoft.com/office/drawing/2014/main" id="{0FCE0F61-A5D0-FE81-01B9-4BE38189D5B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98" name="Rectangle 312">
            <a:extLst>
              <a:ext uri="{FF2B5EF4-FFF2-40B4-BE49-F238E27FC236}">
                <a16:creationId xmlns:a16="http://schemas.microsoft.com/office/drawing/2014/main" id="{861284CD-D803-C86C-E9FF-0B7B128711D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4" name="Group 313">
          <a:extLst>
            <a:ext uri="{FF2B5EF4-FFF2-40B4-BE49-F238E27FC236}">
              <a16:creationId xmlns:a16="http://schemas.microsoft.com/office/drawing/2014/main" id="{507391EF-E308-D5EA-5085-533ACDE186D3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263" name="Rectangle 314">
            <a:extLst>
              <a:ext uri="{FF2B5EF4-FFF2-40B4-BE49-F238E27FC236}">
                <a16:creationId xmlns:a16="http://schemas.microsoft.com/office/drawing/2014/main" id="{7BACFBC1-E13A-1277-0E4B-8ACC0C567C0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64" name="Line 315">
            <a:extLst>
              <a:ext uri="{FF2B5EF4-FFF2-40B4-BE49-F238E27FC236}">
                <a16:creationId xmlns:a16="http://schemas.microsoft.com/office/drawing/2014/main" id="{D420C19B-6434-89D3-1483-14E1AF70ABE6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65" name="Line 316">
            <a:extLst>
              <a:ext uri="{FF2B5EF4-FFF2-40B4-BE49-F238E27FC236}">
                <a16:creationId xmlns:a16="http://schemas.microsoft.com/office/drawing/2014/main" id="{9EF50BF4-C033-CB79-B807-8D58F576738D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66" name="Rectangle 317">
            <a:extLst>
              <a:ext uri="{FF2B5EF4-FFF2-40B4-BE49-F238E27FC236}">
                <a16:creationId xmlns:a16="http://schemas.microsoft.com/office/drawing/2014/main" id="{F93DE574-6F98-ECB6-9DA0-2AA00375FB4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67" name="Oval 318">
            <a:extLst>
              <a:ext uri="{FF2B5EF4-FFF2-40B4-BE49-F238E27FC236}">
                <a16:creationId xmlns:a16="http://schemas.microsoft.com/office/drawing/2014/main" id="{215AB7C7-DF8E-1A62-C38F-892B1914A45F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68" name="Oval 319">
            <a:extLst>
              <a:ext uri="{FF2B5EF4-FFF2-40B4-BE49-F238E27FC236}">
                <a16:creationId xmlns:a16="http://schemas.microsoft.com/office/drawing/2014/main" id="{653798D9-F049-2C68-03D8-F2C79BD0A22B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69" name="Rectangle 320">
            <a:extLst>
              <a:ext uri="{FF2B5EF4-FFF2-40B4-BE49-F238E27FC236}">
                <a16:creationId xmlns:a16="http://schemas.microsoft.com/office/drawing/2014/main" id="{A8821FD5-8BBB-2160-8BEC-282350868D5F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70" name="Rectangle 321">
            <a:extLst>
              <a:ext uri="{FF2B5EF4-FFF2-40B4-BE49-F238E27FC236}">
                <a16:creationId xmlns:a16="http://schemas.microsoft.com/office/drawing/2014/main" id="{5E1BC227-B774-3389-D1FD-F54D16CEA2C9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71" name="Rectangle 322">
            <a:extLst>
              <a:ext uri="{FF2B5EF4-FFF2-40B4-BE49-F238E27FC236}">
                <a16:creationId xmlns:a16="http://schemas.microsoft.com/office/drawing/2014/main" id="{36004470-D3E1-F135-304D-452F49DD50CD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72" name="Rectangle 323">
            <a:extLst>
              <a:ext uri="{FF2B5EF4-FFF2-40B4-BE49-F238E27FC236}">
                <a16:creationId xmlns:a16="http://schemas.microsoft.com/office/drawing/2014/main" id="{6CECFD69-A8A6-CC1C-B38C-9B1859BB8D4F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73" name="Group 324">
            <a:extLst>
              <a:ext uri="{FF2B5EF4-FFF2-40B4-BE49-F238E27FC236}">
                <a16:creationId xmlns:a16="http://schemas.microsoft.com/office/drawing/2014/main" id="{DC9EF0BB-21FF-DFAC-1F56-4D12E6D28916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76" name="Rectangle 325">
              <a:extLst>
                <a:ext uri="{FF2B5EF4-FFF2-40B4-BE49-F238E27FC236}">
                  <a16:creationId xmlns:a16="http://schemas.microsoft.com/office/drawing/2014/main" id="{69A6657B-B2E2-570B-D975-9AE05607C6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77" name="Line 326">
              <a:extLst>
                <a:ext uri="{FF2B5EF4-FFF2-40B4-BE49-F238E27FC236}">
                  <a16:creationId xmlns:a16="http://schemas.microsoft.com/office/drawing/2014/main" id="{29C68EC6-120F-BFAE-9A74-C30E29339D4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78" name="Line 327">
              <a:extLst>
                <a:ext uri="{FF2B5EF4-FFF2-40B4-BE49-F238E27FC236}">
                  <a16:creationId xmlns:a16="http://schemas.microsoft.com/office/drawing/2014/main" id="{4B2D0B4F-AC19-647D-8841-55A1F2F2BEB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79" name="Rectangle 328">
              <a:extLst>
                <a:ext uri="{FF2B5EF4-FFF2-40B4-BE49-F238E27FC236}">
                  <a16:creationId xmlns:a16="http://schemas.microsoft.com/office/drawing/2014/main" id="{49C5B02E-D721-6B20-21C6-30E8FC80DF0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80" name="Oval 329">
              <a:extLst>
                <a:ext uri="{FF2B5EF4-FFF2-40B4-BE49-F238E27FC236}">
                  <a16:creationId xmlns:a16="http://schemas.microsoft.com/office/drawing/2014/main" id="{912032DF-7ADB-2665-49B8-8D81D04F51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81" name="Oval 330">
              <a:extLst>
                <a:ext uri="{FF2B5EF4-FFF2-40B4-BE49-F238E27FC236}">
                  <a16:creationId xmlns:a16="http://schemas.microsoft.com/office/drawing/2014/main" id="{AE6FB455-A4B6-602D-C3D9-D083BB709EC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82" name="Rectangle 331">
              <a:extLst>
                <a:ext uri="{FF2B5EF4-FFF2-40B4-BE49-F238E27FC236}">
                  <a16:creationId xmlns:a16="http://schemas.microsoft.com/office/drawing/2014/main" id="{BC6F8B66-0088-692F-3C41-96BC63E26CF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83" name="Rectangle 332">
              <a:extLst>
                <a:ext uri="{FF2B5EF4-FFF2-40B4-BE49-F238E27FC236}">
                  <a16:creationId xmlns:a16="http://schemas.microsoft.com/office/drawing/2014/main" id="{696949B9-14B7-BB9F-47D1-762346AD6A0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84" name="Rectangle 333">
              <a:extLst>
                <a:ext uri="{FF2B5EF4-FFF2-40B4-BE49-F238E27FC236}">
                  <a16:creationId xmlns:a16="http://schemas.microsoft.com/office/drawing/2014/main" id="{0C1A4A5E-5FE3-D542-7325-635BE68E35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85" name="Rectangle 334">
              <a:extLst>
                <a:ext uri="{FF2B5EF4-FFF2-40B4-BE49-F238E27FC236}">
                  <a16:creationId xmlns:a16="http://schemas.microsoft.com/office/drawing/2014/main" id="{759BA8CF-1C4C-0CDA-E56B-5DFD4028A3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74" name="Rectangle 335">
            <a:extLst>
              <a:ext uri="{FF2B5EF4-FFF2-40B4-BE49-F238E27FC236}">
                <a16:creationId xmlns:a16="http://schemas.microsoft.com/office/drawing/2014/main" id="{A13EE6EC-E7FA-7E91-263F-7A2A401C3810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75" name="Rectangle 336">
            <a:extLst>
              <a:ext uri="{FF2B5EF4-FFF2-40B4-BE49-F238E27FC236}">
                <a16:creationId xmlns:a16="http://schemas.microsoft.com/office/drawing/2014/main" id="{279B230F-C6F1-73DC-E670-D6A34398B9F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5" name="Group 337">
          <a:extLst>
            <a:ext uri="{FF2B5EF4-FFF2-40B4-BE49-F238E27FC236}">
              <a16:creationId xmlns:a16="http://schemas.microsoft.com/office/drawing/2014/main" id="{3D4D8374-83BA-E629-EFFF-DD8B0DC8EB3D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240" name="Rectangle 338">
            <a:extLst>
              <a:ext uri="{FF2B5EF4-FFF2-40B4-BE49-F238E27FC236}">
                <a16:creationId xmlns:a16="http://schemas.microsoft.com/office/drawing/2014/main" id="{EEF668F9-421A-F821-2DDA-19593983DC77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1" name="Line 339">
            <a:extLst>
              <a:ext uri="{FF2B5EF4-FFF2-40B4-BE49-F238E27FC236}">
                <a16:creationId xmlns:a16="http://schemas.microsoft.com/office/drawing/2014/main" id="{4A29C116-362C-F92C-43F3-74AF2F110051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42" name="Line 340">
            <a:extLst>
              <a:ext uri="{FF2B5EF4-FFF2-40B4-BE49-F238E27FC236}">
                <a16:creationId xmlns:a16="http://schemas.microsoft.com/office/drawing/2014/main" id="{70B85771-170C-6866-AF50-4341B87A53DE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43" name="Rectangle 341">
            <a:extLst>
              <a:ext uri="{FF2B5EF4-FFF2-40B4-BE49-F238E27FC236}">
                <a16:creationId xmlns:a16="http://schemas.microsoft.com/office/drawing/2014/main" id="{390CB7A4-021B-1E60-F141-6A33910EE5F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4" name="Oval 342">
            <a:extLst>
              <a:ext uri="{FF2B5EF4-FFF2-40B4-BE49-F238E27FC236}">
                <a16:creationId xmlns:a16="http://schemas.microsoft.com/office/drawing/2014/main" id="{5B53E1BD-E67F-6907-5A05-9EC90435F6D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45" name="Oval 343">
            <a:extLst>
              <a:ext uri="{FF2B5EF4-FFF2-40B4-BE49-F238E27FC236}">
                <a16:creationId xmlns:a16="http://schemas.microsoft.com/office/drawing/2014/main" id="{1C22986B-5F7C-6DD9-AA84-23536475E3C7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46" name="Rectangle 344">
            <a:extLst>
              <a:ext uri="{FF2B5EF4-FFF2-40B4-BE49-F238E27FC236}">
                <a16:creationId xmlns:a16="http://schemas.microsoft.com/office/drawing/2014/main" id="{38D19F99-F3EB-D68D-00AA-71090C2B1803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7" name="Rectangle 345">
            <a:extLst>
              <a:ext uri="{FF2B5EF4-FFF2-40B4-BE49-F238E27FC236}">
                <a16:creationId xmlns:a16="http://schemas.microsoft.com/office/drawing/2014/main" id="{B572FE95-3694-B2D9-67B6-2EBF77FEFED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8" name="Rectangle 346">
            <a:extLst>
              <a:ext uri="{FF2B5EF4-FFF2-40B4-BE49-F238E27FC236}">
                <a16:creationId xmlns:a16="http://schemas.microsoft.com/office/drawing/2014/main" id="{7CF68EE9-79E3-5774-4782-380AA97C4BF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49" name="Rectangle 347">
            <a:extLst>
              <a:ext uri="{FF2B5EF4-FFF2-40B4-BE49-F238E27FC236}">
                <a16:creationId xmlns:a16="http://schemas.microsoft.com/office/drawing/2014/main" id="{DE9698A7-F96B-A8DB-6BE9-147BE8B0E07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50" name="Group 348">
            <a:extLst>
              <a:ext uri="{FF2B5EF4-FFF2-40B4-BE49-F238E27FC236}">
                <a16:creationId xmlns:a16="http://schemas.microsoft.com/office/drawing/2014/main" id="{179241C4-029A-C474-354C-65BBD3B33D39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53" name="Rectangle 349">
              <a:extLst>
                <a:ext uri="{FF2B5EF4-FFF2-40B4-BE49-F238E27FC236}">
                  <a16:creationId xmlns:a16="http://schemas.microsoft.com/office/drawing/2014/main" id="{34732519-D333-D1CD-BF10-B9BA10C3A1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54" name="Line 350">
              <a:extLst>
                <a:ext uri="{FF2B5EF4-FFF2-40B4-BE49-F238E27FC236}">
                  <a16:creationId xmlns:a16="http://schemas.microsoft.com/office/drawing/2014/main" id="{A33E79AD-F59E-17B9-8E06-8BDEB227255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55" name="Line 351">
              <a:extLst>
                <a:ext uri="{FF2B5EF4-FFF2-40B4-BE49-F238E27FC236}">
                  <a16:creationId xmlns:a16="http://schemas.microsoft.com/office/drawing/2014/main" id="{85FFC2FF-EB49-FED8-5703-7EEBBBA3D2E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56" name="Rectangle 352">
              <a:extLst>
                <a:ext uri="{FF2B5EF4-FFF2-40B4-BE49-F238E27FC236}">
                  <a16:creationId xmlns:a16="http://schemas.microsoft.com/office/drawing/2014/main" id="{310C825C-EAB5-2E5D-7DE4-FE5D6C7A91F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57" name="Oval 353">
              <a:extLst>
                <a:ext uri="{FF2B5EF4-FFF2-40B4-BE49-F238E27FC236}">
                  <a16:creationId xmlns:a16="http://schemas.microsoft.com/office/drawing/2014/main" id="{D70AC95F-64FD-5F94-A2B7-CB07A86BC6B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58" name="Oval 354">
              <a:extLst>
                <a:ext uri="{FF2B5EF4-FFF2-40B4-BE49-F238E27FC236}">
                  <a16:creationId xmlns:a16="http://schemas.microsoft.com/office/drawing/2014/main" id="{D5192C1A-4AC2-94CE-6FAC-1EE6FEF652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59" name="Rectangle 355">
              <a:extLst>
                <a:ext uri="{FF2B5EF4-FFF2-40B4-BE49-F238E27FC236}">
                  <a16:creationId xmlns:a16="http://schemas.microsoft.com/office/drawing/2014/main" id="{E8A53288-22CA-7E46-C253-610F360A8F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60" name="Rectangle 356">
              <a:extLst>
                <a:ext uri="{FF2B5EF4-FFF2-40B4-BE49-F238E27FC236}">
                  <a16:creationId xmlns:a16="http://schemas.microsoft.com/office/drawing/2014/main" id="{A751E3AA-F9DB-3E24-C402-7282FA0674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61" name="Rectangle 357">
              <a:extLst>
                <a:ext uri="{FF2B5EF4-FFF2-40B4-BE49-F238E27FC236}">
                  <a16:creationId xmlns:a16="http://schemas.microsoft.com/office/drawing/2014/main" id="{29ED8707-2C6D-D291-A4D7-36C7E24C53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62" name="Rectangle 358">
              <a:extLst>
                <a:ext uri="{FF2B5EF4-FFF2-40B4-BE49-F238E27FC236}">
                  <a16:creationId xmlns:a16="http://schemas.microsoft.com/office/drawing/2014/main" id="{08057A9B-BCF3-1064-3911-5DC0EF412EB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51" name="Rectangle 359">
            <a:extLst>
              <a:ext uri="{FF2B5EF4-FFF2-40B4-BE49-F238E27FC236}">
                <a16:creationId xmlns:a16="http://schemas.microsoft.com/office/drawing/2014/main" id="{C7189EA3-F5C9-E083-420F-4F32E0A75B25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52" name="Rectangle 360">
            <a:extLst>
              <a:ext uri="{FF2B5EF4-FFF2-40B4-BE49-F238E27FC236}">
                <a16:creationId xmlns:a16="http://schemas.microsoft.com/office/drawing/2014/main" id="{4220B769-AC9E-0802-278A-5C46D8281F23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6" name="Group 361">
          <a:extLst>
            <a:ext uri="{FF2B5EF4-FFF2-40B4-BE49-F238E27FC236}">
              <a16:creationId xmlns:a16="http://schemas.microsoft.com/office/drawing/2014/main" id="{7F3DCEC8-A6F0-A55F-F960-1EB43AC8D045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217" name="Rectangle 362">
            <a:extLst>
              <a:ext uri="{FF2B5EF4-FFF2-40B4-BE49-F238E27FC236}">
                <a16:creationId xmlns:a16="http://schemas.microsoft.com/office/drawing/2014/main" id="{709F435D-0CF3-F104-3112-0AF3EBDC028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18" name="Line 363">
            <a:extLst>
              <a:ext uri="{FF2B5EF4-FFF2-40B4-BE49-F238E27FC236}">
                <a16:creationId xmlns:a16="http://schemas.microsoft.com/office/drawing/2014/main" id="{394610F8-109D-00B9-0C54-461F78F02372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19" name="Line 364">
            <a:extLst>
              <a:ext uri="{FF2B5EF4-FFF2-40B4-BE49-F238E27FC236}">
                <a16:creationId xmlns:a16="http://schemas.microsoft.com/office/drawing/2014/main" id="{E6364F69-99F9-9CE9-2839-DC7A29F17299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220" name="Rectangle 365">
            <a:extLst>
              <a:ext uri="{FF2B5EF4-FFF2-40B4-BE49-F238E27FC236}">
                <a16:creationId xmlns:a16="http://schemas.microsoft.com/office/drawing/2014/main" id="{8CB7A3C2-BCBA-D748-2D63-3EDFB6F42881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1" name="Oval 366">
            <a:extLst>
              <a:ext uri="{FF2B5EF4-FFF2-40B4-BE49-F238E27FC236}">
                <a16:creationId xmlns:a16="http://schemas.microsoft.com/office/drawing/2014/main" id="{50872C37-FDB9-796D-3866-DBDE1919C0D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22" name="Oval 367">
            <a:extLst>
              <a:ext uri="{FF2B5EF4-FFF2-40B4-BE49-F238E27FC236}">
                <a16:creationId xmlns:a16="http://schemas.microsoft.com/office/drawing/2014/main" id="{0F5C1DA5-5A8E-7DA6-6B3E-817C5C62B4F0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23" name="Rectangle 368">
            <a:extLst>
              <a:ext uri="{FF2B5EF4-FFF2-40B4-BE49-F238E27FC236}">
                <a16:creationId xmlns:a16="http://schemas.microsoft.com/office/drawing/2014/main" id="{C6E18140-9D00-59A4-3D6E-FDA5B9EF1469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4" name="Rectangle 369">
            <a:extLst>
              <a:ext uri="{FF2B5EF4-FFF2-40B4-BE49-F238E27FC236}">
                <a16:creationId xmlns:a16="http://schemas.microsoft.com/office/drawing/2014/main" id="{1AF55B4C-F07A-965B-0F3B-D4DBE8F13DDD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5" name="Rectangle 370">
            <a:extLst>
              <a:ext uri="{FF2B5EF4-FFF2-40B4-BE49-F238E27FC236}">
                <a16:creationId xmlns:a16="http://schemas.microsoft.com/office/drawing/2014/main" id="{03FEB341-5557-4C8B-E312-B76BE1A28FC6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6" name="Rectangle 371">
            <a:extLst>
              <a:ext uri="{FF2B5EF4-FFF2-40B4-BE49-F238E27FC236}">
                <a16:creationId xmlns:a16="http://schemas.microsoft.com/office/drawing/2014/main" id="{C247E095-10A7-AFA3-A72F-2503F852DA4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27" name="Group 372">
            <a:extLst>
              <a:ext uri="{FF2B5EF4-FFF2-40B4-BE49-F238E27FC236}">
                <a16:creationId xmlns:a16="http://schemas.microsoft.com/office/drawing/2014/main" id="{7F5557E8-213C-C4D8-06A5-4FFC54EE3FC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30" name="Rectangle 373">
              <a:extLst>
                <a:ext uri="{FF2B5EF4-FFF2-40B4-BE49-F238E27FC236}">
                  <a16:creationId xmlns:a16="http://schemas.microsoft.com/office/drawing/2014/main" id="{846AA4F9-FE94-AC96-47D9-001E4622DA2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1" name="Line 374">
              <a:extLst>
                <a:ext uri="{FF2B5EF4-FFF2-40B4-BE49-F238E27FC236}">
                  <a16:creationId xmlns:a16="http://schemas.microsoft.com/office/drawing/2014/main" id="{5456CC0D-1136-767E-D759-744C711A0C5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32" name="Line 375">
              <a:extLst>
                <a:ext uri="{FF2B5EF4-FFF2-40B4-BE49-F238E27FC236}">
                  <a16:creationId xmlns:a16="http://schemas.microsoft.com/office/drawing/2014/main" id="{0E5D49FA-7161-5A13-2645-8B2833BD5AE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33" name="Rectangle 376">
              <a:extLst>
                <a:ext uri="{FF2B5EF4-FFF2-40B4-BE49-F238E27FC236}">
                  <a16:creationId xmlns:a16="http://schemas.microsoft.com/office/drawing/2014/main" id="{6AC0B170-F4B8-090E-A961-72A23F2219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4" name="Oval 377">
              <a:extLst>
                <a:ext uri="{FF2B5EF4-FFF2-40B4-BE49-F238E27FC236}">
                  <a16:creationId xmlns:a16="http://schemas.microsoft.com/office/drawing/2014/main" id="{1ACD6A21-5D86-E8E2-E3A5-0E9A68CAD72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35" name="Oval 378">
              <a:extLst>
                <a:ext uri="{FF2B5EF4-FFF2-40B4-BE49-F238E27FC236}">
                  <a16:creationId xmlns:a16="http://schemas.microsoft.com/office/drawing/2014/main" id="{ABAFABB5-921E-0EE1-AA5F-D5F46179E56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36" name="Rectangle 379">
              <a:extLst>
                <a:ext uri="{FF2B5EF4-FFF2-40B4-BE49-F238E27FC236}">
                  <a16:creationId xmlns:a16="http://schemas.microsoft.com/office/drawing/2014/main" id="{4533CAC0-ADC3-7974-16CF-3A7F329D7B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7" name="Rectangle 380">
              <a:extLst>
                <a:ext uri="{FF2B5EF4-FFF2-40B4-BE49-F238E27FC236}">
                  <a16:creationId xmlns:a16="http://schemas.microsoft.com/office/drawing/2014/main" id="{7FA2F3DF-959E-2EB7-5928-6CBAA89879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8" name="Rectangle 381">
              <a:extLst>
                <a:ext uri="{FF2B5EF4-FFF2-40B4-BE49-F238E27FC236}">
                  <a16:creationId xmlns:a16="http://schemas.microsoft.com/office/drawing/2014/main" id="{5BEF10E5-F125-BE80-35D6-2E51E90C765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39" name="Rectangle 382">
              <a:extLst>
                <a:ext uri="{FF2B5EF4-FFF2-40B4-BE49-F238E27FC236}">
                  <a16:creationId xmlns:a16="http://schemas.microsoft.com/office/drawing/2014/main" id="{A75A26C7-A225-3EE9-422E-657726C49A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28" name="Rectangle 383">
            <a:extLst>
              <a:ext uri="{FF2B5EF4-FFF2-40B4-BE49-F238E27FC236}">
                <a16:creationId xmlns:a16="http://schemas.microsoft.com/office/drawing/2014/main" id="{1AC3EFDD-9DFD-FA77-C02B-DC31816C8B44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29" name="Rectangle 384">
            <a:extLst>
              <a:ext uri="{FF2B5EF4-FFF2-40B4-BE49-F238E27FC236}">
                <a16:creationId xmlns:a16="http://schemas.microsoft.com/office/drawing/2014/main" id="{2E6A0388-7763-F26F-1A64-A04D05A6DB5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7" name="Group 385">
          <a:extLst>
            <a:ext uri="{FF2B5EF4-FFF2-40B4-BE49-F238E27FC236}">
              <a16:creationId xmlns:a16="http://schemas.microsoft.com/office/drawing/2014/main" id="{2B178713-12E4-4882-577B-201A5E5DCAC7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194" name="Rectangle 386">
            <a:extLst>
              <a:ext uri="{FF2B5EF4-FFF2-40B4-BE49-F238E27FC236}">
                <a16:creationId xmlns:a16="http://schemas.microsoft.com/office/drawing/2014/main" id="{77029F46-36E7-A32D-C54E-A74CDF0873C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95" name="Line 387">
            <a:extLst>
              <a:ext uri="{FF2B5EF4-FFF2-40B4-BE49-F238E27FC236}">
                <a16:creationId xmlns:a16="http://schemas.microsoft.com/office/drawing/2014/main" id="{72E37103-8C60-3B6C-746A-BBE8BD4AD723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96" name="Line 388">
            <a:extLst>
              <a:ext uri="{FF2B5EF4-FFF2-40B4-BE49-F238E27FC236}">
                <a16:creationId xmlns:a16="http://schemas.microsoft.com/office/drawing/2014/main" id="{1842C43A-7FBA-E5A8-4085-D9C7519D8C17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97" name="Rectangle 389">
            <a:extLst>
              <a:ext uri="{FF2B5EF4-FFF2-40B4-BE49-F238E27FC236}">
                <a16:creationId xmlns:a16="http://schemas.microsoft.com/office/drawing/2014/main" id="{1F994958-3F08-EFEC-D6E6-FF27CEF795CC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98" name="Oval 390">
            <a:extLst>
              <a:ext uri="{FF2B5EF4-FFF2-40B4-BE49-F238E27FC236}">
                <a16:creationId xmlns:a16="http://schemas.microsoft.com/office/drawing/2014/main" id="{ED00483B-5F03-C857-FFFF-C02BE5BE3D13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99" name="Oval 391">
            <a:extLst>
              <a:ext uri="{FF2B5EF4-FFF2-40B4-BE49-F238E27FC236}">
                <a16:creationId xmlns:a16="http://schemas.microsoft.com/office/drawing/2014/main" id="{FB8F0C97-9B3B-F74E-9C43-2C451065F208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200" name="Rectangle 392">
            <a:extLst>
              <a:ext uri="{FF2B5EF4-FFF2-40B4-BE49-F238E27FC236}">
                <a16:creationId xmlns:a16="http://schemas.microsoft.com/office/drawing/2014/main" id="{73E0EC22-2242-6DA5-7B96-3B09BCC93E7C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01" name="Rectangle 393">
            <a:extLst>
              <a:ext uri="{FF2B5EF4-FFF2-40B4-BE49-F238E27FC236}">
                <a16:creationId xmlns:a16="http://schemas.microsoft.com/office/drawing/2014/main" id="{506821EB-3178-6C0A-8495-532706922E16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02" name="Rectangle 394">
            <a:extLst>
              <a:ext uri="{FF2B5EF4-FFF2-40B4-BE49-F238E27FC236}">
                <a16:creationId xmlns:a16="http://schemas.microsoft.com/office/drawing/2014/main" id="{B9C83905-ED04-D5CE-45B0-D9E116FB66C4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03" name="Rectangle 395">
            <a:extLst>
              <a:ext uri="{FF2B5EF4-FFF2-40B4-BE49-F238E27FC236}">
                <a16:creationId xmlns:a16="http://schemas.microsoft.com/office/drawing/2014/main" id="{7666FD10-82F9-7DB5-A106-65DEFF6493C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204" name="Group 396">
            <a:extLst>
              <a:ext uri="{FF2B5EF4-FFF2-40B4-BE49-F238E27FC236}">
                <a16:creationId xmlns:a16="http://schemas.microsoft.com/office/drawing/2014/main" id="{C0FA1229-35EC-8327-F0DF-6E234158CDCA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207" name="Rectangle 397">
              <a:extLst>
                <a:ext uri="{FF2B5EF4-FFF2-40B4-BE49-F238E27FC236}">
                  <a16:creationId xmlns:a16="http://schemas.microsoft.com/office/drawing/2014/main" id="{06C8577C-0581-1916-14FC-A29D47CED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08" name="Line 398">
              <a:extLst>
                <a:ext uri="{FF2B5EF4-FFF2-40B4-BE49-F238E27FC236}">
                  <a16:creationId xmlns:a16="http://schemas.microsoft.com/office/drawing/2014/main" id="{C6854C7C-70F5-5099-0364-CCB7CA36F59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09" name="Line 399">
              <a:extLst>
                <a:ext uri="{FF2B5EF4-FFF2-40B4-BE49-F238E27FC236}">
                  <a16:creationId xmlns:a16="http://schemas.microsoft.com/office/drawing/2014/main" id="{6E259B3C-F219-8312-8CA6-201B29282AD9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210" name="Rectangle 400">
              <a:extLst>
                <a:ext uri="{FF2B5EF4-FFF2-40B4-BE49-F238E27FC236}">
                  <a16:creationId xmlns:a16="http://schemas.microsoft.com/office/drawing/2014/main" id="{322B8E81-53EB-ED5D-2C2C-062527731D8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11" name="Oval 401">
              <a:extLst>
                <a:ext uri="{FF2B5EF4-FFF2-40B4-BE49-F238E27FC236}">
                  <a16:creationId xmlns:a16="http://schemas.microsoft.com/office/drawing/2014/main" id="{996557A4-A0B1-3577-807E-2376E7AABB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12" name="Oval 402">
              <a:extLst>
                <a:ext uri="{FF2B5EF4-FFF2-40B4-BE49-F238E27FC236}">
                  <a16:creationId xmlns:a16="http://schemas.microsoft.com/office/drawing/2014/main" id="{77DC9CC5-7EC4-867B-03B5-E093DAD174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213" name="Rectangle 403">
              <a:extLst>
                <a:ext uri="{FF2B5EF4-FFF2-40B4-BE49-F238E27FC236}">
                  <a16:creationId xmlns:a16="http://schemas.microsoft.com/office/drawing/2014/main" id="{0DDB6340-520E-1694-A989-3D5E4214343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14" name="Rectangle 404">
              <a:extLst>
                <a:ext uri="{FF2B5EF4-FFF2-40B4-BE49-F238E27FC236}">
                  <a16:creationId xmlns:a16="http://schemas.microsoft.com/office/drawing/2014/main" id="{368C5E2A-8CFB-8C09-214F-B08F2B6ED0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15" name="Rectangle 405">
              <a:extLst>
                <a:ext uri="{FF2B5EF4-FFF2-40B4-BE49-F238E27FC236}">
                  <a16:creationId xmlns:a16="http://schemas.microsoft.com/office/drawing/2014/main" id="{AAF36F4A-F3F0-2FBD-8F22-D59C2FA2B1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216" name="Rectangle 406">
              <a:extLst>
                <a:ext uri="{FF2B5EF4-FFF2-40B4-BE49-F238E27FC236}">
                  <a16:creationId xmlns:a16="http://schemas.microsoft.com/office/drawing/2014/main" id="{FD1B38CD-0BB7-FA7C-2A35-267DC2212C1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205" name="Rectangle 407">
            <a:extLst>
              <a:ext uri="{FF2B5EF4-FFF2-40B4-BE49-F238E27FC236}">
                <a16:creationId xmlns:a16="http://schemas.microsoft.com/office/drawing/2014/main" id="{B853651F-2C0C-0584-3578-789085790ECF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206" name="Rectangle 408">
            <a:extLst>
              <a:ext uri="{FF2B5EF4-FFF2-40B4-BE49-F238E27FC236}">
                <a16:creationId xmlns:a16="http://schemas.microsoft.com/office/drawing/2014/main" id="{0158DA0B-E72A-1141-7514-5CA3CC497668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18" name="Group 409">
          <a:extLst>
            <a:ext uri="{FF2B5EF4-FFF2-40B4-BE49-F238E27FC236}">
              <a16:creationId xmlns:a16="http://schemas.microsoft.com/office/drawing/2014/main" id="{9B9116F0-FA5C-C8D4-C0F2-05B227C0F624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1171" name="Rectangle 410">
            <a:extLst>
              <a:ext uri="{FF2B5EF4-FFF2-40B4-BE49-F238E27FC236}">
                <a16:creationId xmlns:a16="http://schemas.microsoft.com/office/drawing/2014/main" id="{795FE9EF-4590-7DA3-826C-D3DD93B9997E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2" name="Line 411">
            <a:extLst>
              <a:ext uri="{FF2B5EF4-FFF2-40B4-BE49-F238E27FC236}">
                <a16:creationId xmlns:a16="http://schemas.microsoft.com/office/drawing/2014/main" id="{E030B711-8EA6-83B8-69A0-137D05ACB43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73" name="Line 412">
            <a:extLst>
              <a:ext uri="{FF2B5EF4-FFF2-40B4-BE49-F238E27FC236}">
                <a16:creationId xmlns:a16="http://schemas.microsoft.com/office/drawing/2014/main" id="{9C9A23CC-B89E-CBCB-36C2-B3FBD24C0D30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74" name="Rectangle 413">
            <a:extLst>
              <a:ext uri="{FF2B5EF4-FFF2-40B4-BE49-F238E27FC236}">
                <a16:creationId xmlns:a16="http://schemas.microsoft.com/office/drawing/2014/main" id="{E7417C87-ACF0-A159-737F-5AECA53695FA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5" name="Oval 414">
            <a:extLst>
              <a:ext uri="{FF2B5EF4-FFF2-40B4-BE49-F238E27FC236}">
                <a16:creationId xmlns:a16="http://schemas.microsoft.com/office/drawing/2014/main" id="{5266E628-6EFF-4152-8839-FF93DFBF0B35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76" name="Oval 415">
            <a:extLst>
              <a:ext uri="{FF2B5EF4-FFF2-40B4-BE49-F238E27FC236}">
                <a16:creationId xmlns:a16="http://schemas.microsoft.com/office/drawing/2014/main" id="{30E5EA95-C99A-115E-DE44-5BEC6703623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77" name="Rectangle 416">
            <a:extLst>
              <a:ext uri="{FF2B5EF4-FFF2-40B4-BE49-F238E27FC236}">
                <a16:creationId xmlns:a16="http://schemas.microsoft.com/office/drawing/2014/main" id="{5AFB7160-DC6A-DD63-CA18-6194BF9F542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8" name="Rectangle 417">
            <a:extLst>
              <a:ext uri="{FF2B5EF4-FFF2-40B4-BE49-F238E27FC236}">
                <a16:creationId xmlns:a16="http://schemas.microsoft.com/office/drawing/2014/main" id="{CC1C0688-B1AE-F427-6417-074F5D9F725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9" name="Rectangle 418">
            <a:extLst>
              <a:ext uri="{FF2B5EF4-FFF2-40B4-BE49-F238E27FC236}">
                <a16:creationId xmlns:a16="http://schemas.microsoft.com/office/drawing/2014/main" id="{84662F18-30D4-960A-9CCB-9A83F83FD25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80" name="Rectangle 419">
            <a:extLst>
              <a:ext uri="{FF2B5EF4-FFF2-40B4-BE49-F238E27FC236}">
                <a16:creationId xmlns:a16="http://schemas.microsoft.com/office/drawing/2014/main" id="{D5E58E7E-8241-6C8A-7CBD-9A4CEEF7B964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1181" name="Group 420">
            <a:extLst>
              <a:ext uri="{FF2B5EF4-FFF2-40B4-BE49-F238E27FC236}">
                <a16:creationId xmlns:a16="http://schemas.microsoft.com/office/drawing/2014/main" id="{D968BAE2-CFD1-1D10-EABC-3D82D1A4DAF0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1184" name="Rectangle 421">
              <a:extLst>
                <a:ext uri="{FF2B5EF4-FFF2-40B4-BE49-F238E27FC236}">
                  <a16:creationId xmlns:a16="http://schemas.microsoft.com/office/drawing/2014/main" id="{42D1F145-08D4-4E19-2B55-2765BD88FF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85" name="Line 422">
              <a:extLst>
                <a:ext uri="{FF2B5EF4-FFF2-40B4-BE49-F238E27FC236}">
                  <a16:creationId xmlns:a16="http://schemas.microsoft.com/office/drawing/2014/main" id="{5E6C7405-7F4A-ABD7-3F40-4B7DB781E89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86" name="Line 423">
              <a:extLst>
                <a:ext uri="{FF2B5EF4-FFF2-40B4-BE49-F238E27FC236}">
                  <a16:creationId xmlns:a16="http://schemas.microsoft.com/office/drawing/2014/main" id="{3C5D3F68-8AC5-6343-DFF5-16B24259F59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87" name="Rectangle 424">
              <a:extLst>
                <a:ext uri="{FF2B5EF4-FFF2-40B4-BE49-F238E27FC236}">
                  <a16:creationId xmlns:a16="http://schemas.microsoft.com/office/drawing/2014/main" id="{6EDB5892-EA3B-3F90-BADC-89ACE72B14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88" name="Oval 425">
              <a:extLst>
                <a:ext uri="{FF2B5EF4-FFF2-40B4-BE49-F238E27FC236}">
                  <a16:creationId xmlns:a16="http://schemas.microsoft.com/office/drawing/2014/main" id="{628F362A-9D31-794B-E579-F7DDD38A2C3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89" name="Oval 426">
              <a:extLst>
                <a:ext uri="{FF2B5EF4-FFF2-40B4-BE49-F238E27FC236}">
                  <a16:creationId xmlns:a16="http://schemas.microsoft.com/office/drawing/2014/main" id="{441D5E5D-A49C-5DFA-1ABF-7CE0F787A42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90" name="Rectangle 427">
              <a:extLst>
                <a:ext uri="{FF2B5EF4-FFF2-40B4-BE49-F238E27FC236}">
                  <a16:creationId xmlns:a16="http://schemas.microsoft.com/office/drawing/2014/main" id="{9472F5B5-2ADC-87E6-46C1-CFDD720DA09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91" name="Rectangle 428">
              <a:extLst>
                <a:ext uri="{FF2B5EF4-FFF2-40B4-BE49-F238E27FC236}">
                  <a16:creationId xmlns:a16="http://schemas.microsoft.com/office/drawing/2014/main" id="{84E12AC3-89DC-00A4-E03B-0E765132B6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92" name="Rectangle 429">
              <a:extLst>
                <a:ext uri="{FF2B5EF4-FFF2-40B4-BE49-F238E27FC236}">
                  <a16:creationId xmlns:a16="http://schemas.microsoft.com/office/drawing/2014/main" id="{111B3CAE-2DE6-FE0D-CDF4-6B601C184A8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93" name="Rectangle 430">
              <a:extLst>
                <a:ext uri="{FF2B5EF4-FFF2-40B4-BE49-F238E27FC236}">
                  <a16:creationId xmlns:a16="http://schemas.microsoft.com/office/drawing/2014/main" id="{49C8DFA4-5690-C8FD-06A7-F127AF182A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1182" name="Rectangle 431">
            <a:extLst>
              <a:ext uri="{FF2B5EF4-FFF2-40B4-BE49-F238E27FC236}">
                <a16:creationId xmlns:a16="http://schemas.microsoft.com/office/drawing/2014/main" id="{31A42360-AD22-CC66-2537-11793E6E1A6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83" name="Rectangle 432">
            <a:extLst>
              <a:ext uri="{FF2B5EF4-FFF2-40B4-BE49-F238E27FC236}">
                <a16:creationId xmlns:a16="http://schemas.microsoft.com/office/drawing/2014/main" id="{18A39911-E79A-4EB9-2031-153F4F716F63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530519" name="Group 433">
          <a:extLst>
            <a:ext uri="{FF2B5EF4-FFF2-40B4-BE49-F238E27FC236}">
              <a16:creationId xmlns:a16="http://schemas.microsoft.com/office/drawing/2014/main" id="{45FCCC1C-6ABF-415C-6B16-85ADA1D52E89}"/>
            </a:ext>
          </a:extLst>
        </xdr:cNvPr>
        <xdr:cNvGrpSpPr>
          <a:grpSpLocks/>
        </xdr:cNvGrpSpPr>
      </xdr:nvGrpSpPr>
      <xdr:grpSpPr bwMode="auto">
        <a:xfrm>
          <a:off x="5524500" y="1249680"/>
          <a:ext cx="0" cy="419100"/>
          <a:chOff x="333" y="153"/>
          <a:chExt cx="219" cy="333"/>
        </a:xfrm>
      </xdr:grpSpPr>
      <xdr:sp macro="" textlink="">
        <xdr:nvSpPr>
          <xdr:cNvPr id="531161" name="Rectangle 434">
            <a:extLst>
              <a:ext uri="{FF2B5EF4-FFF2-40B4-BE49-F238E27FC236}">
                <a16:creationId xmlns:a16="http://schemas.microsoft.com/office/drawing/2014/main" id="{7538B95A-6421-5D70-9AC9-646A2B74AAAA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2" name="Line 435">
            <a:extLst>
              <a:ext uri="{FF2B5EF4-FFF2-40B4-BE49-F238E27FC236}">
                <a16:creationId xmlns:a16="http://schemas.microsoft.com/office/drawing/2014/main" id="{D2822F4F-BA41-47AB-B283-7E3CDFE3FD5A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63" name="Line 436">
            <a:extLst>
              <a:ext uri="{FF2B5EF4-FFF2-40B4-BE49-F238E27FC236}">
                <a16:creationId xmlns:a16="http://schemas.microsoft.com/office/drawing/2014/main" id="{0BF34392-8C60-F09C-2783-0368CE5A5902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64" name="Rectangle 437">
            <a:extLst>
              <a:ext uri="{FF2B5EF4-FFF2-40B4-BE49-F238E27FC236}">
                <a16:creationId xmlns:a16="http://schemas.microsoft.com/office/drawing/2014/main" id="{F71B81C9-727A-CB2F-4CD0-75FA6A4FD11F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5" name="Oval 438">
            <a:extLst>
              <a:ext uri="{FF2B5EF4-FFF2-40B4-BE49-F238E27FC236}">
                <a16:creationId xmlns:a16="http://schemas.microsoft.com/office/drawing/2014/main" id="{7E9F5BBB-01D8-AA69-9373-92511716CA4F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66" name="Oval 439">
            <a:extLst>
              <a:ext uri="{FF2B5EF4-FFF2-40B4-BE49-F238E27FC236}">
                <a16:creationId xmlns:a16="http://schemas.microsoft.com/office/drawing/2014/main" id="{1BC52471-64F6-4BB6-F8F3-6CA504E20707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67" name="Rectangle 440">
            <a:extLst>
              <a:ext uri="{FF2B5EF4-FFF2-40B4-BE49-F238E27FC236}">
                <a16:creationId xmlns:a16="http://schemas.microsoft.com/office/drawing/2014/main" id="{0F18D133-2405-D4FF-65D1-B490D8145D40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8" name="Rectangle 441">
            <a:extLst>
              <a:ext uri="{FF2B5EF4-FFF2-40B4-BE49-F238E27FC236}">
                <a16:creationId xmlns:a16="http://schemas.microsoft.com/office/drawing/2014/main" id="{C720BE7F-74C4-0891-410E-48A2E89438FE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9" name="Rectangle 442">
            <a:extLst>
              <a:ext uri="{FF2B5EF4-FFF2-40B4-BE49-F238E27FC236}">
                <a16:creationId xmlns:a16="http://schemas.microsoft.com/office/drawing/2014/main" id="{F77CC7D7-7860-D6AC-DD23-4EB26B1E67E0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70" name="Rectangle 443">
            <a:extLst>
              <a:ext uri="{FF2B5EF4-FFF2-40B4-BE49-F238E27FC236}">
                <a16:creationId xmlns:a16="http://schemas.microsoft.com/office/drawing/2014/main" id="{06694CD0-1888-99A9-6DD4-2E1394C99090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152400</xdr:rowOff>
    </xdr:from>
    <xdr:to>
      <xdr:col>7</xdr:col>
      <xdr:colOff>0</xdr:colOff>
      <xdr:row>3</xdr:row>
      <xdr:rowOff>0</xdr:rowOff>
    </xdr:to>
    <xdr:grpSp>
      <xdr:nvGrpSpPr>
        <xdr:cNvPr id="530520" name="Group 444">
          <a:extLst>
            <a:ext uri="{FF2B5EF4-FFF2-40B4-BE49-F238E27FC236}">
              <a16:creationId xmlns:a16="http://schemas.microsoft.com/office/drawing/2014/main" id="{1D3C5911-E43A-BA40-127E-BA7747991745}"/>
            </a:ext>
          </a:extLst>
        </xdr:cNvPr>
        <xdr:cNvGrpSpPr>
          <a:grpSpLocks/>
        </xdr:cNvGrpSpPr>
      </xdr:nvGrpSpPr>
      <xdr:grpSpPr bwMode="auto">
        <a:xfrm>
          <a:off x="5524500" y="1249680"/>
          <a:ext cx="0" cy="419100"/>
          <a:chOff x="333" y="153"/>
          <a:chExt cx="219" cy="333"/>
        </a:xfrm>
      </xdr:grpSpPr>
      <xdr:sp macro="" textlink="">
        <xdr:nvSpPr>
          <xdr:cNvPr id="531151" name="Rectangle 445">
            <a:extLst>
              <a:ext uri="{FF2B5EF4-FFF2-40B4-BE49-F238E27FC236}">
                <a16:creationId xmlns:a16="http://schemas.microsoft.com/office/drawing/2014/main" id="{2D20A028-A4C5-776F-716F-C52D54F4BC3E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218" cy="3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52" name="Line 446">
            <a:extLst>
              <a:ext uri="{FF2B5EF4-FFF2-40B4-BE49-F238E27FC236}">
                <a16:creationId xmlns:a16="http://schemas.microsoft.com/office/drawing/2014/main" id="{A74D9848-EACB-BBE9-3841-27E91E80069F}"/>
              </a:ext>
            </a:extLst>
          </xdr:cNvPr>
          <xdr:cNvSpPr>
            <a:spLocks noChangeShapeType="1"/>
          </xdr:cNvSpPr>
        </xdr:nvSpPr>
        <xdr:spPr bwMode="auto">
          <a:xfrm>
            <a:off x="333" y="153"/>
            <a:ext cx="218" cy="159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53" name="Line 447">
            <a:extLst>
              <a:ext uri="{FF2B5EF4-FFF2-40B4-BE49-F238E27FC236}">
                <a16:creationId xmlns:a16="http://schemas.microsoft.com/office/drawing/2014/main" id="{9652B3DF-78CC-82D4-2C47-30A329222004}"/>
              </a:ext>
            </a:extLst>
          </xdr:cNvPr>
          <xdr:cNvSpPr>
            <a:spLocks noChangeShapeType="1"/>
          </xdr:cNvSpPr>
        </xdr:nvSpPr>
        <xdr:spPr bwMode="auto">
          <a:xfrm flipH="1">
            <a:off x="333" y="314"/>
            <a:ext cx="216" cy="15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1154" name="Rectangle 448">
            <a:extLst>
              <a:ext uri="{FF2B5EF4-FFF2-40B4-BE49-F238E27FC236}">
                <a16:creationId xmlns:a16="http://schemas.microsoft.com/office/drawing/2014/main" id="{74309A63-65BA-4D43-5385-EFF5291E01A5}"/>
              </a:ext>
            </a:extLst>
          </xdr:cNvPr>
          <xdr:cNvSpPr>
            <a:spLocks noChangeArrowheads="1"/>
          </xdr:cNvSpPr>
        </xdr:nvSpPr>
        <xdr:spPr bwMode="auto">
          <a:xfrm>
            <a:off x="508" y="291"/>
            <a:ext cx="23" cy="4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55" name="Oval 449">
            <a:extLst>
              <a:ext uri="{FF2B5EF4-FFF2-40B4-BE49-F238E27FC236}">
                <a16:creationId xmlns:a16="http://schemas.microsoft.com/office/drawing/2014/main" id="{2C050909-C38A-0FE5-3B73-E3330898DA88}"/>
              </a:ext>
            </a:extLst>
          </xdr:cNvPr>
          <xdr:cNvSpPr>
            <a:spLocks noChangeArrowheads="1"/>
          </xdr:cNvSpPr>
        </xdr:nvSpPr>
        <xdr:spPr bwMode="auto">
          <a:xfrm>
            <a:off x="515" y="320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56" name="Oval 450">
            <a:extLst>
              <a:ext uri="{FF2B5EF4-FFF2-40B4-BE49-F238E27FC236}">
                <a16:creationId xmlns:a16="http://schemas.microsoft.com/office/drawing/2014/main" id="{2147485F-3899-62C8-59C1-CBC8293899B1}"/>
              </a:ext>
            </a:extLst>
          </xdr:cNvPr>
          <xdr:cNvSpPr>
            <a:spLocks noChangeArrowheads="1"/>
          </xdr:cNvSpPr>
        </xdr:nvSpPr>
        <xdr:spPr bwMode="auto">
          <a:xfrm>
            <a:off x="515" y="301"/>
            <a:ext cx="8" cy="8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1157" name="Rectangle 451">
            <a:extLst>
              <a:ext uri="{FF2B5EF4-FFF2-40B4-BE49-F238E27FC236}">
                <a16:creationId xmlns:a16="http://schemas.microsoft.com/office/drawing/2014/main" id="{B4AE1960-BA06-3877-13F3-2F2D81CA9467}"/>
              </a:ext>
            </a:extLst>
          </xdr:cNvPr>
          <xdr:cNvSpPr>
            <a:spLocks noChangeArrowheads="1"/>
          </xdr:cNvSpPr>
        </xdr:nvSpPr>
        <xdr:spPr bwMode="auto">
          <a:xfrm>
            <a:off x="544" y="302"/>
            <a:ext cx="8" cy="2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58" name="Rectangle 452">
            <a:extLst>
              <a:ext uri="{FF2B5EF4-FFF2-40B4-BE49-F238E27FC236}">
                <a16:creationId xmlns:a16="http://schemas.microsoft.com/office/drawing/2014/main" id="{337D975D-5703-FB0A-3DA2-4A4BF49A4753}"/>
              </a:ext>
            </a:extLst>
          </xdr:cNvPr>
          <xdr:cNvSpPr>
            <a:spLocks noChangeArrowheads="1"/>
          </xdr:cNvSpPr>
        </xdr:nvSpPr>
        <xdr:spPr bwMode="auto">
          <a:xfrm>
            <a:off x="334" y="460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59" name="Rectangle 453">
            <a:extLst>
              <a:ext uri="{FF2B5EF4-FFF2-40B4-BE49-F238E27FC236}">
                <a16:creationId xmlns:a16="http://schemas.microsoft.com/office/drawing/2014/main" id="{68B61541-2DCD-64D3-AD72-696D8B349D15}"/>
              </a:ext>
            </a:extLst>
          </xdr:cNvPr>
          <xdr:cNvSpPr>
            <a:spLocks noChangeArrowheads="1"/>
          </xdr:cNvSpPr>
        </xdr:nvSpPr>
        <xdr:spPr bwMode="auto">
          <a:xfrm>
            <a:off x="333" y="153"/>
            <a:ext cx="32" cy="10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1160" name="Rectangle 454">
            <a:extLst>
              <a:ext uri="{FF2B5EF4-FFF2-40B4-BE49-F238E27FC236}">
                <a16:creationId xmlns:a16="http://schemas.microsoft.com/office/drawing/2014/main" id="{1AEB2BB4-5628-BD78-3ED2-8B81CAD357A8}"/>
              </a:ext>
            </a:extLst>
          </xdr:cNvPr>
          <xdr:cNvSpPr>
            <a:spLocks noChangeArrowheads="1"/>
          </xdr:cNvSpPr>
        </xdr:nvSpPr>
        <xdr:spPr bwMode="auto">
          <a:xfrm>
            <a:off x="333" y="474"/>
            <a:ext cx="12" cy="12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1" name="Group 455">
          <a:extLst>
            <a:ext uri="{FF2B5EF4-FFF2-40B4-BE49-F238E27FC236}">
              <a16:creationId xmlns:a16="http://schemas.microsoft.com/office/drawing/2014/main" id="{4F91EA8B-76DE-72BF-3F94-45220E0D81D0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129" name="Group 456">
            <a:extLst>
              <a:ext uri="{FF2B5EF4-FFF2-40B4-BE49-F238E27FC236}">
                <a16:creationId xmlns:a16="http://schemas.microsoft.com/office/drawing/2014/main" id="{44A00859-0666-CBAA-21C3-20EF4A823A12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141" name="Rectangle 457">
              <a:extLst>
                <a:ext uri="{FF2B5EF4-FFF2-40B4-BE49-F238E27FC236}">
                  <a16:creationId xmlns:a16="http://schemas.microsoft.com/office/drawing/2014/main" id="{408C3B94-FD47-D9A2-BF87-AFB79EEB8B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2" name="Line 458">
              <a:extLst>
                <a:ext uri="{FF2B5EF4-FFF2-40B4-BE49-F238E27FC236}">
                  <a16:creationId xmlns:a16="http://schemas.microsoft.com/office/drawing/2014/main" id="{E0423909-2335-4E10-B49B-4FE49BFB231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43" name="Line 459">
              <a:extLst>
                <a:ext uri="{FF2B5EF4-FFF2-40B4-BE49-F238E27FC236}">
                  <a16:creationId xmlns:a16="http://schemas.microsoft.com/office/drawing/2014/main" id="{83E6374A-3BB6-AD4A-6449-413BAA2232F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44" name="Rectangle 460">
              <a:extLst>
                <a:ext uri="{FF2B5EF4-FFF2-40B4-BE49-F238E27FC236}">
                  <a16:creationId xmlns:a16="http://schemas.microsoft.com/office/drawing/2014/main" id="{8139DD10-E216-38A7-7C40-1DFF7869858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5" name="Oval 461">
              <a:extLst>
                <a:ext uri="{FF2B5EF4-FFF2-40B4-BE49-F238E27FC236}">
                  <a16:creationId xmlns:a16="http://schemas.microsoft.com/office/drawing/2014/main" id="{D710EE03-725F-2460-70A6-47138A1F9CB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46" name="Oval 462">
              <a:extLst>
                <a:ext uri="{FF2B5EF4-FFF2-40B4-BE49-F238E27FC236}">
                  <a16:creationId xmlns:a16="http://schemas.microsoft.com/office/drawing/2014/main" id="{F4AE4079-BC6C-49F2-883E-B2B722831A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47" name="Rectangle 463">
              <a:extLst>
                <a:ext uri="{FF2B5EF4-FFF2-40B4-BE49-F238E27FC236}">
                  <a16:creationId xmlns:a16="http://schemas.microsoft.com/office/drawing/2014/main" id="{EB6AAB79-C430-8CC8-75C9-F85525144F6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8" name="Rectangle 464">
              <a:extLst>
                <a:ext uri="{FF2B5EF4-FFF2-40B4-BE49-F238E27FC236}">
                  <a16:creationId xmlns:a16="http://schemas.microsoft.com/office/drawing/2014/main" id="{F590D341-E5C8-04D3-B4F9-9BD33F3F45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9" name="Rectangle 465">
              <a:extLst>
                <a:ext uri="{FF2B5EF4-FFF2-40B4-BE49-F238E27FC236}">
                  <a16:creationId xmlns:a16="http://schemas.microsoft.com/office/drawing/2014/main" id="{FBB3D231-47AD-1EED-E7BE-E7B49CDAEB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50" name="Rectangle 466">
              <a:extLst>
                <a:ext uri="{FF2B5EF4-FFF2-40B4-BE49-F238E27FC236}">
                  <a16:creationId xmlns:a16="http://schemas.microsoft.com/office/drawing/2014/main" id="{42FD0B2B-D822-A244-F746-622590D07B7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130" name="Group 467">
            <a:extLst>
              <a:ext uri="{FF2B5EF4-FFF2-40B4-BE49-F238E27FC236}">
                <a16:creationId xmlns:a16="http://schemas.microsoft.com/office/drawing/2014/main" id="{0A2EB12F-C7F7-E8AD-8370-4C3F43F633AF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131" name="Rectangle 468">
              <a:extLst>
                <a:ext uri="{FF2B5EF4-FFF2-40B4-BE49-F238E27FC236}">
                  <a16:creationId xmlns:a16="http://schemas.microsoft.com/office/drawing/2014/main" id="{349D69AD-4E43-63FA-46F2-54D2B4F9E0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32" name="Line 469">
              <a:extLst>
                <a:ext uri="{FF2B5EF4-FFF2-40B4-BE49-F238E27FC236}">
                  <a16:creationId xmlns:a16="http://schemas.microsoft.com/office/drawing/2014/main" id="{60C2DB2E-23B2-970F-F666-FB25F83F4C2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33" name="Line 470">
              <a:extLst>
                <a:ext uri="{FF2B5EF4-FFF2-40B4-BE49-F238E27FC236}">
                  <a16:creationId xmlns:a16="http://schemas.microsoft.com/office/drawing/2014/main" id="{5365C39E-934F-3EC0-1C0E-ABC40E7D394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34" name="Rectangle 471">
              <a:extLst>
                <a:ext uri="{FF2B5EF4-FFF2-40B4-BE49-F238E27FC236}">
                  <a16:creationId xmlns:a16="http://schemas.microsoft.com/office/drawing/2014/main" id="{ACEB1944-ACF4-D141-1041-896B8D1657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35" name="Oval 472">
              <a:extLst>
                <a:ext uri="{FF2B5EF4-FFF2-40B4-BE49-F238E27FC236}">
                  <a16:creationId xmlns:a16="http://schemas.microsoft.com/office/drawing/2014/main" id="{1C7491DD-027A-F65B-E207-4A676914100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36" name="Oval 473">
              <a:extLst>
                <a:ext uri="{FF2B5EF4-FFF2-40B4-BE49-F238E27FC236}">
                  <a16:creationId xmlns:a16="http://schemas.microsoft.com/office/drawing/2014/main" id="{F44D0880-BC89-9123-EB16-3CA2BA546F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37" name="Rectangle 474">
              <a:extLst>
                <a:ext uri="{FF2B5EF4-FFF2-40B4-BE49-F238E27FC236}">
                  <a16:creationId xmlns:a16="http://schemas.microsoft.com/office/drawing/2014/main" id="{52FAFF48-8135-F0C1-249C-206E60581C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38" name="Rectangle 475">
              <a:extLst>
                <a:ext uri="{FF2B5EF4-FFF2-40B4-BE49-F238E27FC236}">
                  <a16:creationId xmlns:a16="http://schemas.microsoft.com/office/drawing/2014/main" id="{985DE6D0-39E1-2C80-F387-B98D2532C53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39" name="Rectangle 476">
              <a:extLst>
                <a:ext uri="{FF2B5EF4-FFF2-40B4-BE49-F238E27FC236}">
                  <a16:creationId xmlns:a16="http://schemas.microsoft.com/office/drawing/2014/main" id="{1B6BC3AC-ACB5-53E0-D758-4BF0568AFE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40" name="Rectangle 477">
              <a:extLst>
                <a:ext uri="{FF2B5EF4-FFF2-40B4-BE49-F238E27FC236}">
                  <a16:creationId xmlns:a16="http://schemas.microsoft.com/office/drawing/2014/main" id="{D0676344-37C9-C5B7-7DF0-270533D7D26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2" name="Group 478">
          <a:extLst>
            <a:ext uri="{FF2B5EF4-FFF2-40B4-BE49-F238E27FC236}">
              <a16:creationId xmlns:a16="http://schemas.microsoft.com/office/drawing/2014/main" id="{8D99F8FF-13A6-10C3-8270-759F15CDCE24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107" name="Group 479">
            <a:extLst>
              <a:ext uri="{FF2B5EF4-FFF2-40B4-BE49-F238E27FC236}">
                <a16:creationId xmlns:a16="http://schemas.microsoft.com/office/drawing/2014/main" id="{554ED6CD-6A83-0E6F-6C17-6D3AAF53D692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119" name="Rectangle 480">
              <a:extLst>
                <a:ext uri="{FF2B5EF4-FFF2-40B4-BE49-F238E27FC236}">
                  <a16:creationId xmlns:a16="http://schemas.microsoft.com/office/drawing/2014/main" id="{904A90AE-1436-3888-EF6C-3439D7AE5C7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0" name="Line 481">
              <a:extLst>
                <a:ext uri="{FF2B5EF4-FFF2-40B4-BE49-F238E27FC236}">
                  <a16:creationId xmlns:a16="http://schemas.microsoft.com/office/drawing/2014/main" id="{866E2161-6742-162F-1FAD-88503107206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21" name="Line 482">
              <a:extLst>
                <a:ext uri="{FF2B5EF4-FFF2-40B4-BE49-F238E27FC236}">
                  <a16:creationId xmlns:a16="http://schemas.microsoft.com/office/drawing/2014/main" id="{B8DF9B93-6E03-1C7F-299E-E1C19600AA2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22" name="Rectangle 483">
              <a:extLst>
                <a:ext uri="{FF2B5EF4-FFF2-40B4-BE49-F238E27FC236}">
                  <a16:creationId xmlns:a16="http://schemas.microsoft.com/office/drawing/2014/main" id="{9A506CD1-0E9C-E93D-1F8E-8C1EA63AE61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3" name="Oval 484">
              <a:extLst>
                <a:ext uri="{FF2B5EF4-FFF2-40B4-BE49-F238E27FC236}">
                  <a16:creationId xmlns:a16="http://schemas.microsoft.com/office/drawing/2014/main" id="{A2049CEB-6FE1-A33C-E37C-5FA224DD0BC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24" name="Oval 485">
              <a:extLst>
                <a:ext uri="{FF2B5EF4-FFF2-40B4-BE49-F238E27FC236}">
                  <a16:creationId xmlns:a16="http://schemas.microsoft.com/office/drawing/2014/main" id="{772B1330-561E-57CF-263C-AF0FCECED5C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25" name="Rectangle 486">
              <a:extLst>
                <a:ext uri="{FF2B5EF4-FFF2-40B4-BE49-F238E27FC236}">
                  <a16:creationId xmlns:a16="http://schemas.microsoft.com/office/drawing/2014/main" id="{4149DED2-1BC7-BBF3-823B-847E8EB37A5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6" name="Rectangle 487">
              <a:extLst>
                <a:ext uri="{FF2B5EF4-FFF2-40B4-BE49-F238E27FC236}">
                  <a16:creationId xmlns:a16="http://schemas.microsoft.com/office/drawing/2014/main" id="{3F9FCB35-80D3-1851-A0B5-96A9ED7963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7" name="Rectangle 488">
              <a:extLst>
                <a:ext uri="{FF2B5EF4-FFF2-40B4-BE49-F238E27FC236}">
                  <a16:creationId xmlns:a16="http://schemas.microsoft.com/office/drawing/2014/main" id="{57105EF5-9D94-6D9A-8A5E-286017E727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28" name="Rectangle 489">
              <a:extLst>
                <a:ext uri="{FF2B5EF4-FFF2-40B4-BE49-F238E27FC236}">
                  <a16:creationId xmlns:a16="http://schemas.microsoft.com/office/drawing/2014/main" id="{CD0565B2-5180-7CB2-5915-9BA7A352B3A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108" name="Group 490">
            <a:extLst>
              <a:ext uri="{FF2B5EF4-FFF2-40B4-BE49-F238E27FC236}">
                <a16:creationId xmlns:a16="http://schemas.microsoft.com/office/drawing/2014/main" id="{B3FC331A-F207-9CBA-DE38-1F5D24020B35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109" name="Rectangle 491">
              <a:extLst>
                <a:ext uri="{FF2B5EF4-FFF2-40B4-BE49-F238E27FC236}">
                  <a16:creationId xmlns:a16="http://schemas.microsoft.com/office/drawing/2014/main" id="{E7178544-6B74-61BD-5936-26F886019A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0" name="Line 492">
              <a:extLst>
                <a:ext uri="{FF2B5EF4-FFF2-40B4-BE49-F238E27FC236}">
                  <a16:creationId xmlns:a16="http://schemas.microsoft.com/office/drawing/2014/main" id="{4B93EA92-ADBD-BD13-C9FA-80BA837CA7A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11" name="Line 493">
              <a:extLst>
                <a:ext uri="{FF2B5EF4-FFF2-40B4-BE49-F238E27FC236}">
                  <a16:creationId xmlns:a16="http://schemas.microsoft.com/office/drawing/2014/main" id="{E0A25273-85C8-AE6D-6520-7F5240E5D65E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12" name="Rectangle 494">
              <a:extLst>
                <a:ext uri="{FF2B5EF4-FFF2-40B4-BE49-F238E27FC236}">
                  <a16:creationId xmlns:a16="http://schemas.microsoft.com/office/drawing/2014/main" id="{1EAB5FFE-FE79-EEA5-91B0-A9F0561FD6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3" name="Oval 495">
              <a:extLst>
                <a:ext uri="{FF2B5EF4-FFF2-40B4-BE49-F238E27FC236}">
                  <a16:creationId xmlns:a16="http://schemas.microsoft.com/office/drawing/2014/main" id="{35C809FC-D742-C400-B013-2368CDC21A9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14" name="Oval 496">
              <a:extLst>
                <a:ext uri="{FF2B5EF4-FFF2-40B4-BE49-F238E27FC236}">
                  <a16:creationId xmlns:a16="http://schemas.microsoft.com/office/drawing/2014/main" id="{5E0B320C-0CC3-D061-0944-DF63693D1F2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15" name="Rectangle 497">
              <a:extLst>
                <a:ext uri="{FF2B5EF4-FFF2-40B4-BE49-F238E27FC236}">
                  <a16:creationId xmlns:a16="http://schemas.microsoft.com/office/drawing/2014/main" id="{B98E3888-52E1-CC97-A283-C9CCD6AA82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6" name="Rectangle 498">
              <a:extLst>
                <a:ext uri="{FF2B5EF4-FFF2-40B4-BE49-F238E27FC236}">
                  <a16:creationId xmlns:a16="http://schemas.microsoft.com/office/drawing/2014/main" id="{BD32194C-A30A-D1E7-FD3E-555DC4ACE2E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7" name="Rectangle 499">
              <a:extLst>
                <a:ext uri="{FF2B5EF4-FFF2-40B4-BE49-F238E27FC236}">
                  <a16:creationId xmlns:a16="http://schemas.microsoft.com/office/drawing/2014/main" id="{6F9DC063-94E9-00F2-17F7-4B1CFC2B651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18" name="Rectangle 500">
              <a:extLst>
                <a:ext uri="{FF2B5EF4-FFF2-40B4-BE49-F238E27FC236}">
                  <a16:creationId xmlns:a16="http://schemas.microsoft.com/office/drawing/2014/main" id="{BB734677-8339-A951-2A65-B8895F579FB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3" name="Group 501">
          <a:extLst>
            <a:ext uri="{FF2B5EF4-FFF2-40B4-BE49-F238E27FC236}">
              <a16:creationId xmlns:a16="http://schemas.microsoft.com/office/drawing/2014/main" id="{93EFF7D5-7C58-CFE1-93D2-2E357C7FB698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085" name="Group 502">
            <a:extLst>
              <a:ext uri="{FF2B5EF4-FFF2-40B4-BE49-F238E27FC236}">
                <a16:creationId xmlns:a16="http://schemas.microsoft.com/office/drawing/2014/main" id="{647292B0-B497-E029-84EC-A4B1F7E1876B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97" name="Rectangle 503">
              <a:extLst>
                <a:ext uri="{FF2B5EF4-FFF2-40B4-BE49-F238E27FC236}">
                  <a16:creationId xmlns:a16="http://schemas.microsoft.com/office/drawing/2014/main" id="{F72DDEC2-5B07-D3EE-B6E9-751F6BD51F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8" name="Line 504">
              <a:extLst>
                <a:ext uri="{FF2B5EF4-FFF2-40B4-BE49-F238E27FC236}">
                  <a16:creationId xmlns:a16="http://schemas.microsoft.com/office/drawing/2014/main" id="{FB960E08-21B3-315C-D73C-D7EEF2A0114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99" name="Line 505">
              <a:extLst>
                <a:ext uri="{FF2B5EF4-FFF2-40B4-BE49-F238E27FC236}">
                  <a16:creationId xmlns:a16="http://schemas.microsoft.com/office/drawing/2014/main" id="{3BA4CEEE-604A-8ECA-FC9B-F50E4A6AB64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100" name="Rectangle 506">
              <a:extLst>
                <a:ext uri="{FF2B5EF4-FFF2-40B4-BE49-F238E27FC236}">
                  <a16:creationId xmlns:a16="http://schemas.microsoft.com/office/drawing/2014/main" id="{4E5581C8-51CF-1831-EC82-9E125124973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01" name="Oval 507">
              <a:extLst>
                <a:ext uri="{FF2B5EF4-FFF2-40B4-BE49-F238E27FC236}">
                  <a16:creationId xmlns:a16="http://schemas.microsoft.com/office/drawing/2014/main" id="{0969823B-D030-1AA0-4797-AD9AC3144BC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02" name="Oval 508">
              <a:extLst>
                <a:ext uri="{FF2B5EF4-FFF2-40B4-BE49-F238E27FC236}">
                  <a16:creationId xmlns:a16="http://schemas.microsoft.com/office/drawing/2014/main" id="{00A08727-3411-74AC-01A5-7173F27E5D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103" name="Rectangle 509">
              <a:extLst>
                <a:ext uri="{FF2B5EF4-FFF2-40B4-BE49-F238E27FC236}">
                  <a16:creationId xmlns:a16="http://schemas.microsoft.com/office/drawing/2014/main" id="{F6FFA17B-C7CB-D181-4E5D-3EDAB03900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04" name="Rectangle 510">
              <a:extLst>
                <a:ext uri="{FF2B5EF4-FFF2-40B4-BE49-F238E27FC236}">
                  <a16:creationId xmlns:a16="http://schemas.microsoft.com/office/drawing/2014/main" id="{82B9E3C1-DE72-C3E8-0A46-199B5B58F0F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05" name="Rectangle 511">
              <a:extLst>
                <a:ext uri="{FF2B5EF4-FFF2-40B4-BE49-F238E27FC236}">
                  <a16:creationId xmlns:a16="http://schemas.microsoft.com/office/drawing/2014/main" id="{482FDE19-A4AC-BF16-A04C-104EB13CA37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106" name="Rectangle 512">
              <a:extLst>
                <a:ext uri="{FF2B5EF4-FFF2-40B4-BE49-F238E27FC236}">
                  <a16:creationId xmlns:a16="http://schemas.microsoft.com/office/drawing/2014/main" id="{DAFCBE54-5AD8-E933-7245-FD642D51F52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086" name="Group 513">
            <a:extLst>
              <a:ext uri="{FF2B5EF4-FFF2-40B4-BE49-F238E27FC236}">
                <a16:creationId xmlns:a16="http://schemas.microsoft.com/office/drawing/2014/main" id="{257B53D8-D12B-378A-F47D-799AE05B084C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087" name="Rectangle 514">
              <a:extLst>
                <a:ext uri="{FF2B5EF4-FFF2-40B4-BE49-F238E27FC236}">
                  <a16:creationId xmlns:a16="http://schemas.microsoft.com/office/drawing/2014/main" id="{1C12A06B-D24B-4B43-AE2C-4B6D23F3183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88" name="Line 515">
              <a:extLst>
                <a:ext uri="{FF2B5EF4-FFF2-40B4-BE49-F238E27FC236}">
                  <a16:creationId xmlns:a16="http://schemas.microsoft.com/office/drawing/2014/main" id="{6955F718-5C8F-DD2B-2A0E-6232BEFBBC5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89" name="Line 516">
              <a:extLst>
                <a:ext uri="{FF2B5EF4-FFF2-40B4-BE49-F238E27FC236}">
                  <a16:creationId xmlns:a16="http://schemas.microsoft.com/office/drawing/2014/main" id="{04FBFA98-6EFF-CBD4-7D20-6593CA1737B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90" name="Rectangle 517">
              <a:extLst>
                <a:ext uri="{FF2B5EF4-FFF2-40B4-BE49-F238E27FC236}">
                  <a16:creationId xmlns:a16="http://schemas.microsoft.com/office/drawing/2014/main" id="{11096DC1-7014-DCF9-C5D7-66370E0B748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1" name="Oval 518">
              <a:extLst>
                <a:ext uri="{FF2B5EF4-FFF2-40B4-BE49-F238E27FC236}">
                  <a16:creationId xmlns:a16="http://schemas.microsoft.com/office/drawing/2014/main" id="{4D5B5D0E-F5F3-8F3C-80A0-6D9EB724A5B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92" name="Oval 519">
              <a:extLst>
                <a:ext uri="{FF2B5EF4-FFF2-40B4-BE49-F238E27FC236}">
                  <a16:creationId xmlns:a16="http://schemas.microsoft.com/office/drawing/2014/main" id="{16C0A16D-AEEF-2074-B6F5-6976B463E8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93" name="Rectangle 520">
              <a:extLst>
                <a:ext uri="{FF2B5EF4-FFF2-40B4-BE49-F238E27FC236}">
                  <a16:creationId xmlns:a16="http://schemas.microsoft.com/office/drawing/2014/main" id="{71219C01-9363-E32D-2C59-14CE4F9A95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4" name="Rectangle 521">
              <a:extLst>
                <a:ext uri="{FF2B5EF4-FFF2-40B4-BE49-F238E27FC236}">
                  <a16:creationId xmlns:a16="http://schemas.microsoft.com/office/drawing/2014/main" id="{A258869C-ECE4-BBED-9D48-EE701D6828F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5" name="Rectangle 522">
              <a:extLst>
                <a:ext uri="{FF2B5EF4-FFF2-40B4-BE49-F238E27FC236}">
                  <a16:creationId xmlns:a16="http://schemas.microsoft.com/office/drawing/2014/main" id="{81B6147D-469B-78D6-0385-8ED1710D973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96" name="Rectangle 523">
              <a:extLst>
                <a:ext uri="{FF2B5EF4-FFF2-40B4-BE49-F238E27FC236}">
                  <a16:creationId xmlns:a16="http://schemas.microsoft.com/office/drawing/2014/main" id="{B704045D-27D4-BEDC-1D2B-F8D734787BE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4" name="Group 524">
          <a:extLst>
            <a:ext uri="{FF2B5EF4-FFF2-40B4-BE49-F238E27FC236}">
              <a16:creationId xmlns:a16="http://schemas.microsoft.com/office/drawing/2014/main" id="{2065E634-A1D5-922C-7DB0-5F994E83BF39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063" name="Group 525">
            <a:extLst>
              <a:ext uri="{FF2B5EF4-FFF2-40B4-BE49-F238E27FC236}">
                <a16:creationId xmlns:a16="http://schemas.microsoft.com/office/drawing/2014/main" id="{56558752-C336-44AA-73D4-0B95C88D2D13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75" name="Rectangle 526">
              <a:extLst>
                <a:ext uri="{FF2B5EF4-FFF2-40B4-BE49-F238E27FC236}">
                  <a16:creationId xmlns:a16="http://schemas.microsoft.com/office/drawing/2014/main" id="{4ABBABE5-23B4-E943-05E2-524EDF31E4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6" name="Line 527">
              <a:extLst>
                <a:ext uri="{FF2B5EF4-FFF2-40B4-BE49-F238E27FC236}">
                  <a16:creationId xmlns:a16="http://schemas.microsoft.com/office/drawing/2014/main" id="{1A570936-A225-2B74-FC1C-F8126391024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77" name="Line 528">
              <a:extLst>
                <a:ext uri="{FF2B5EF4-FFF2-40B4-BE49-F238E27FC236}">
                  <a16:creationId xmlns:a16="http://schemas.microsoft.com/office/drawing/2014/main" id="{E9D3D0AF-431D-712B-5D72-98465B0A90E7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78" name="Rectangle 529">
              <a:extLst>
                <a:ext uri="{FF2B5EF4-FFF2-40B4-BE49-F238E27FC236}">
                  <a16:creationId xmlns:a16="http://schemas.microsoft.com/office/drawing/2014/main" id="{78EB102F-41FE-BF44-2242-155804BFB5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9" name="Oval 530">
              <a:extLst>
                <a:ext uri="{FF2B5EF4-FFF2-40B4-BE49-F238E27FC236}">
                  <a16:creationId xmlns:a16="http://schemas.microsoft.com/office/drawing/2014/main" id="{41ADE996-0758-F57C-9E2C-18877AEC56E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80" name="Oval 531">
              <a:extLst>
                <a:ext uri="{FF2B5EF4-FFF2-40B4-BE49-F238E27FC236}">
                  <a16:creationId xmlns:a16="http://schemas.microsoft.com/office/drawing/2014/main" id="{6F855284-ECB0-F5D3-7595-2B8EE578559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81" name="Rectangle 532">
              <a:extLst>
                <a:ext uri="{FF2B5EF4-FFF2-40B4-BE49-F238E27FC236}">
                  <a16:creationId xmlns:a16="http://schemas.microsoft.com/office/drawing/2014/main" id="{EB9B4947-F47E-B7FE-E1B1-A35C2D230D7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82" name="Rectangle 533">
              <a:extLst>
                <a:ext uri="{FF2B5EF4-FFF2-40B4-BE49-F238E27FC236}">
                  <a16:creationId xmlns:a16="http://schemas.microsoft.com/office/drawing/2014/main" id="{EC09C4ED-5E84-4F92-F7F9-D49CB53B20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83" name="Rectangle 534">
              <a:extLst>
                <a:ext uri="{FF2B5EF4-FFF2-40B4-BE49-F238E27FC236}">
                  <a16:creationId xmlns:a16="http://schemas.microsoft.com/office/drawing/2014/main" id="{530A7BDB-DDFA-604F-EADA-0D9B8CD3986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84" name="Rectangle 535">
              <a:extLst>
                <a:ext uri="{FF2B5EF4-FFF2-40B4-BE49-F238E27FC236}">
                  <a16:creationId xmlns:a16="http://schemas.microsoft.com/office/drawing/2014/main" id="{B937339D-51AE-7070-9FD3-E083AE0A17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064" name="Group 536">
            <a:extLst>
              <a:ext uri="{FF2B5EF4-FFF2-40B4-BE49-F238E27FC236}">
                <a16:creationId xmlns:a16="http://schemas.microsoft.com/office/drawing/2014/main" id="{7D9CB5C8-9535-5D60-7BAD-BC1A8D8FA497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065" name="Rectangle 537">
              <a:extLst>
                <a:ext uri="{FF2B5EF4-FFF2-40B4-BE49-F238E27FC236}">
                  <a16:creationId xmlns:a16="http://schemas.microsoft.com/office/drawing/2014/main" id="{F5697655-BEB5-1809-9D30-CAF33E17F3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6" name="Line 538">
              <a:extLst>
                <a:ext uri="{FF2B5EF4-FFF2-40B4-BE49-F238E27FC236}">
                  <a16:creationId xmlns:a16="http://schemas.microsoft.com/office/drawing/2014/main" id="{5E32FC54-3E8A-5FC4-0403-A8B17B3E125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67" name="Line 539">
              <a:extLst>
                <a:ext uri="{FF2B5EF4-FFF2-40B4-BE49-F238E27FC236}">
                  <a16:creationId xmlns:a16="http://schemas.microsoft.com/office/drawing/2014/main" id="{111D38C4-2BAB-D56C-ED94-F3195A19376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68" name="Rectangle 540">
              <a:extLst>
                <a:ext uri="{FF2B5EF4-FFF2-40B4-BE49-F238E27FC236}">
                  <a16:creationId xmlns:a16="http://schemas.microsoft.com/office/drawing/2014/main" id="{65EF9459-481E-EF29-1C3C-CF7596944BE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9" name="Oval 541">
              <a:extLst>
                <a:ext uri="{FF2B5EF4-FFF2-40B4-BE49-F238E27FC236}">
                  <a16:creationId xmlns:a16="http://schemas.microsoft.com/office/drawing/2014/main" id="{52E7F943-8BA3-7C29-842F-C52D2C5C2A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70" name="Oval 542">
              <a:extLst>
                <a:ext uri="{FF2B5EF4-FFF2-40B4-BE49-F238E27FC236}">
                  <a16:creationId xmlns:a16="http://schemas.microsoft.com/office/drawing/2014/main" id="{2AFB53B4-369C-F5A7-3AAA-6E59E8F91DA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71" name="Rectangle 543">
              <a:extLst>
                <a:ext uri="{FF2B5EF4-FFF2-40B4-BE49-F238E27FC236}">
                  <a16:creationId xmlns:a16="http://schemas.microsoft.com/office/drawing/2014/main" id="{86E033B1-4AE3-4334-AE08-E62ECF44A5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2" name="Rectangle 544">
              <a:extLst>
                <a:ext uri="{FF2B5EF4-FFF2-40B4-BE49-F238E27FC236}">
                  <a16:creationId xmlns:a16="http://schemas.microsoft.com/office/drawing/2014/main" id="{CBBB163A-511B-3A13-77BC-0BC24C006A4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3" name="Rectangle 545">
              <a:extLst>
                <a:ext uri="{FF2B5EF4-FFF2-40B4-BE49-F238E27FC236}">
                  <a16:creationId xmlns:a16="http://schemas.microsoft.com/office/drawing/2014/main" id="{1C3C6F98-20D7-29C4-CE6F-7B17E5685F1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74" name="Rectangle 546">
              <a:extLst>
                <a:ext uri="{FF2B5EF4-FFF2-40B4-BE49-F238E27FC236}">
                  <a16:creationId xmlns:a16="http://schemas.microsoft.com/office/drawing/2014/main" id="{9EA0641F-9FAD-16DF-6205-EE614F4C55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5" name="Group 547">
          <a:extLst>
            <a:ext uri="{FF2B5EF4-FFF2-40B4-BE49-F238E27FC236}">
              <a16:creationId xmlns:a16="http://schemas.microsoft.com/office/drawing/2014/main" id="{C67BFDA9-BDCE-8734-A3E7-7E3D418B213E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041" name="Group 548">
            <a:extLst>
              <a:ext uri="{FF2B5EF4-FFF2-40B4-BE49-F238E27FC236}">
                <a16:creationId xmlns:a16="http://schemas.microsoft.com/office/drawing/2014/main" id="{1E28B962-B1C4-0612-9803-FC20DC0235E9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53" name="Rectangle 549">
              <a:extLst>
                <a:ext uri="{FF2B5EF4-FFF2-40B4-BE49-F238E27FC236}">
                  <a16:creationId xmlns:a16="http://schemas.microsoft.com/office/drawing/2014/main" id="{33C99BE1-EDD9-3C4E-3940-F030D445400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4" name="Line 550">
              <a:extLst>
                <a:ext uri="{FF2B5EF4-FFF2-40B4-BE49-F238E27FC236}">
                  <a16:creationId xmlns:a16="http://schemas.microsoft.com/office/drawing/2014/main" id="{250E2F89-6046-C3ED-FBE1-A434E1AEF45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55" name="Line 551">
              <a:extLst>
                <a:ext uri="{FF2B5EF4-FFF2-40B4-BE49-F238E27FC236}">
                  <a16:creationId xmlns:a16="http://schemas.microsoft.com/office/drawing/2014/main" id="{2C1816CC-66DB-2CA4-1BA1-FF724990642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56" name="Rectangle 552">
              <a:extLst>
                <a:ext uri="{FF2B5EF4-FFF2-40B4-BE49-F238E27FC236}">
                  <a16:creationId xmlns:a16="http://schemas.microsoft.com/office/drawing/2014/main" id="{D1722C6B-7675-ABA2-8599-DC969DBB6B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7" name="Oval 553">
              <a:extLst>
                <a:ext uri="{FF2B5EF4-FFF2-40B4-BE49-F238E27FC236}">
                  <a16:creationId xmlns:a16="http://schemas.microsoft.com/office/drawing/2014/main" id="{4DB0D4FC-47BC-A2F6-4E24-A5A1C494987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58" name="Oval 554">
              <a:extLst>
                <a:ext uri="{FF2B5EF4-FFF2-40B4-BE49-F238E27FC236}">
                  <a16:creationId xmlns:a16="http://schemas.microsoft.com/office/drawing/2014/main" id="{32210841-D4AB-F7EC-7CAC-2CD8B62366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59" name="Rectangle 555">
              <a:extLst>
                <a:ext uri="{FF2B5EF4-FFF2-40B4-BE49-F238E27FC236}">
                  <a16:creationId xmlns:a16="http://schemas.microsoft.com/office/drawing/2014/main" id="{95BC5484-EA60-DBE1-85DB-3A88DFF0E5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0" name="Rectangle 556">
              <a:extLst>
                <a:ext uri="{FF2B5EF4-FFF2-40B4-BE49-F238E27FC236}">
                  <a16:creationId xmlns:a16="http://schemas.microsoft.com/office/drawing/2014/main" id="{8816684E-D0E4-869B-1739-FCBB758C29E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1" name="Rectangle 557">
              <a:extLst>
                <a:ext uri="{FF2B5EF4-FFF2-40B4-BE49-F238E27FC236}">
                  <a16:creationId xmlns:a16="http://schemas.microsoft.com/office/drawing/2014/main" id="{3F678D1A-EAB2-CE27-A8C6-80547463787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62" name="Rectangle 558">
              <a:extLst>
                <a:ext uri="{FF2B5EF4-FFF2-40B4-BE49-F238E27FC236}">
                  <a16:creationId xmlns:a16="http://schemas.microsoft.com/office/drawing/2014/main" id="{5F8883B1-D0DE-7A91-A416-9E18AF359C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042" name="Group 559">
            <a:extLst>
              <a:ext uri="{FF2B5EF4-FFF2-40B4-BE49-F238E27FC236}">
                <a16:creationId xmlns:a16="http://schemas.microsoft.com/office/drawing/2014/main" id="{80B4AEA2-82CD-9DFF-A1B9-C864AA5EC13D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043" name="Rectangle 560">
              <a:extLst>
                <a:ext uri="{FF2B5EF4-FFF2-40B4-BE49-F238E27FC236}">
                  <a16:creationId xmlns:a16="http://schemas.microsoft.com/office/drawing/2014/main" id="{C9701ED1-FB46-E043-4AD7-A2F99F9584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44" name="Line 561">
              <a:extLst>
                <a:ext uri="{FF2B5EF4-FFF2-40B4-BE49-F238E27FC236}">
                  <a16:creationId xmlns:a16="http://schemas.microsoft.com/office/drawing/2014/main" id="{1D449EE0-1178-47A8-85A0-CD22AE510A9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45" name="Line 562">
              <a:extLst>
                <a:ext uri="{FF2B5EF4-FFF2-40B4-BE49-F238E27FC236}">
                  <a16:creationId xmlns:a16="http://schemas.microsoft.com/office/drawing/2014/main" id="{3F931A25-F7D3-BACA-E0E9-2CCB1C6E47B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46" name="Rectangle 563">
              <a:extLst>
                <a:ext uri="{FF2B5EF4-FFF2-40B4-BE49-F238E27FC236}">
                  <a16:creationId xmlns:a16="http://schemas.microsoft.com/office/drawing/2014/main" id="{565D9DCB-79DF-5278-45C7-1A4A084906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47" name="Oval 564">
              <a:extLst>
                <a:ext uri="{FF2B5EF4-FFF2-40B4-BE49-F238E27FC236}">
                  <a16:creationId xmlns:a16="http://schemas.microsoft.com/office/drawing/2014/main" id="{B08571D1-B91D-A388-7140-977D43C75BD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48" name="Oval 565">
              <a:extLst>
                <a:ext uri="{FF2B5EF4-FFF2-40B4-BE49-F238E27FC236}">
                  <a16:creationId xmlns:a16="http://schemas.microsoft.com/office/drawing/2014/main" id="{F064D938-F655-F8EB-52B4-FFCC96A3EA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49" name="Rectangle 566">
              <a:extLst>
                <a:ext uri="{FF2B5EF4-FFF2-40B4-BE49-F238E27FC236}">
                  <a16:creationId xmlns:a16="http://schemas.microsoft.com/office/drawing/2014/main" id="{0A533D89-1F80-AF84-5B4D-0274801CCE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0" name="Rectangle 567">
              <a:extLst>
                <a:ext uri="{FF2B5EF4-FFF2-40B4-BE49-F238E27FC236}">
                  <a16:creationId xmlns:a16="http://schemas.microsoft.com/office/drawing/2014/main" id="{7B504D14-73BB-57AA-3B18-907C4415D0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1" name="Rectangle 568">
              <a:extLst>
                <a:ext uri="{FF2B5EF4-FFF2-40B4-BE49-F238E27FC236}">
                  <a16:creationId xmlns:a16="http://schemas.microsoft.com/office/drawing/2014/main" id="{21647179-601C-57E1-7BF4-DD29072CD36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52" name="Rectangle 569">
              <a:extLst>
                <a:ext uri="{FF2B5EF4-FFF2-40B4-BE49-F238E27FC236}">
                  <a16:creationId xmlns:a16="http://schemas.microsoft.com/office/drawing/2014/main" id="{C3C6426E-09F4-1226-4DC4-13BB084A322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6" name="Group 570">
          <a:extLst>
            <a:ext uri="{FF2B5EF4-FFF2-40B4-BE49-F238E27FC236}">
              <a16:creationId xmlns:a16="http://schemas.microsoft.com/office/drawing/2014/main" id="{0FF0BEB1-7BCB-D12E-E773-B3A6E7C9FCFD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1019" name="Group 571">
            <a:extLst>
              <a:ext uri="{FF2B5EF4-FFF2-40B4-BE49-F238E27FC236}">
                <a16:creationId xmlns:a16="http://schemas.microsoft.com/office/drawing/2014/main" id="{7A5FB2C7-0647-F37C-B16D-25BF0A282041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31" name="Rectangle 572">
              <a:extLst>
                <a:ext uri="{FF2B5EF4-FFF2-40B4-BE49-F238E27FC236}">
                  <a16:creationId xmlns:a16="http://schemas.microsoft.com/office/drawing/2014/main" id="{AB996974-6046-B1DC-4E55-A99129ED4D6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2" name="Line 573">
              <a:extLst>
                <a:ext uri="{FF2B5EF4-FFF2-40B4-BE49-F238E27FC236}">
                  <a16:creationId xmlns:a16="http://schemas.microsoft.com/office/drawing/2014/main" id="{5738AD66-8FCF-FB2B-CCC6-E6AC83D7FFE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33" name="Line 574">
              <a:extLst>
                <a:ext uri="{FF2B5EF4-FFF2-40B4-BE49-F238E27FC236}">
                  <a16:creationId xmlns:a16="http://schemas.microsoft.com/office/drawing/2014/main" id="{7ACC9C86-2B82-A2DB-D106-73280A456A18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34" name="Rectangle 575">
              <a:extLst>
                <a:ext uri="{FF2B5EF4-FFF2-40B4-BE49-F238E27FC236}">
                  <a16:creationId xmlns:a16="http://schemas.microsoft.com/office/drawing/2014/main" id="{CE2734BD-6757-7ABE-21B3-A5C205D35D0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5" name="Oval 576">
              <a:extLst>
                <a:ext uri="{FF2B5EF4-FFF2-40B4-BE49-F238E27FC236}">
                  <a16:creationId xmlns:a16="http://schemas.microsoft.com/office/drawing/2014/main" id="{FF49498A-CADF-1C40-9315-72F38CC8ECF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36" name="Oval 577">
              <a:extLst>
                <a:ext uri="{FF2B5EF4-FFF2-40B4-BE49-F238E27FC236}">
                  <a16:creationId xmlns:a16="http://schemas.microsoft.com/office/drawing/2014/main" id="{AAA650B2-BC13-4BCD-4761-2E261D747D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37" name="Rectangle 578">
              <a:extLst>
                <a:ext uri="{FF2B5EF4-FFF2-40B4-BE49-F238E27FC236}">
                  <a16:creationId xmlns:a16="http://schemas.microsoft.com/office/drawing/2014/main" id="{D3E11A60-3F60-A336-1083-BEF418E866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8" name="Rectangle 579">
              <a:extLst>
                <a:ext uri="{FF2B5EF4-FFF2-40B4-BE49-F238E27FC236}">
                  <a16:creationId xmlns:a16="http://schemas.microsoft.com/office/drawing/2014/main" id="{8C993EF2-CEEB-1D4F-0441-5E854FFF413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9" name="Rectangle 580">
              <a:extLst>
                <a:ext uri="{FF2B5EF4-FFF2-40B4-BE49-F238E27FC236}">
                  <a16:creationId xmlns:a16="http://schemas.microsoft.com/office/drawing/2014/main" id="{2A24548F-18BF-58D2-B01D-5542738E05B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40" name="Rectangle 581">
              <a:extLst>
                <a:ext uri="{FF2B5EF4-FFF2-40B4-BE49-F238E27FC236}">
                  <a16:creationId xmlns:a16="http://schemas.microsoft.com/office/drawing/2014/main" id="{B4E99950-15B5-FCB6-D766-D937F3B0577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1020" name="Group 582">
            <a:extLst>
              <a:ext uri="{FF2B5EF4-FFF2-40B4-BE49-F238E27FC236}">
                <a16:creationId xmlns:a16="http://schemas.microsoft.com/office/drawing/2014/main" id="{C2E69E4E-78DC-E6E9-E884-36561EDD43E6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1021" name="Rectangle 583">
              <a:extLst>
                <a:ext uri="{FF2B5EF4-FFF2-40B4-BE49-F238E27FC236}">
                  <a16:creationId xmlns:a16="http://schemas.microsoft.com/office/drawing/2014/main" id="{256FD9BE-AFCC-134F-BD49-4DA0ED678B0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22" name="Line 584">
              <a:extLst>
                <a:ext uri="{FF2B5EF4-FFF2-40B4-BE49-F238E27FC236}">
                  <a16:creationId xmlns:a16="http://schemas.microsoft.com/office/drawing/2014/main" id="{C729BEA6-B2DC-860A-76E7-FAAA06F0968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23" name="Line 585">
              <a:extLst>
                <a:ext uri="{FF2B5EF4-FFF2-40B4-BE49-F238E27FC236}">
                  <a16:creationId xmlns:a16="http://schemas.microsoft.com/office/drawing/2014/main" id="{3101ACAA-CD6D-5683-17E1-0E4B9339B22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24" name="Rectangle 586">
              <a:extLst>
                <a:ext uri="{FF2B5EF4-FFF2-40B4-BE49-F238E27FC236}">
                  <a16:creationId xmlns:a16="http://schemas.microsoft.com/office/drawing/2014/main" id="{2D517434-3036-DF48-A35B-1E55453CCC3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25" name="Oval 587">
              <a:extLst>
                <a:ext uri="{FF2B5EF4-FFF2-40B4-BE49-F238E27FC236}">
                  <a16:creationId xmlns:a16="http://schemas.microsoft.com/office/drawing/2014/main" id="{300B8A14-5784-8E08-50C6-EE9F3B533EA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26" name="Oval 588">
              <a:extLst>
                <a:ext uri="{FF2B5EF4-FFF2-40B4-BE49-F238E27FC236}">
                  <a16:creationId xmlns:a16="http://schemas.microsoft.com/office/drawing/2014/main" id="{7A489A83-BF8A-3F34-7CC5-E023FDC606D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27" name="Rectangle 589">
              <a:extLst>
                <a:ext uri="{FF2B5EF4-FFF2-40B4-BE49-F238E27FC236}">
                  <a16:creationId xmlns:a16="http://schemas.microsoft.com/office/drawing/2014/main" id="{A5F4145A-65EB-1D96-8CBF-21E49D782C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28" name="Rectangle 590">
              <a:extLst>
                <a:ext uri="{FF2B5EF4-FFF2-40B4-BE49-F238E27FC236}">
                  <a16:creationId xmlns:a16="http://schemas.microsoft.com/office/drawing/2014/main" id="{E3B802D7-CFEA-D940-1BB6-3F5BF1A411F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29" name="Rectangle 591">
              <a:extLst>
                <a:ext uri="{FF2B5EF4-FFF2-40B4-BE49-F238E27FC236}">
                  <a16:creationId xmlns:a16="http://schemas.microsoft.com/office/drawing/2014/main" id="{CB745CC8-952C-462A-115A-FD28097A606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30" name="Rectangle 592">
              <a:extLst>
                <a:ext uri="{FF2B5EF4-FFF2-40B4-BE49-F238E27FC236}">
                  <a16:creationId xmlns:a16="http://schemas.microsoft.com/office/drawing/2014/main" id="{91BFF367-BC32-E6B5-9E57-B043469F3F9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2</xdr:row>
      <xdr:rowOff>541020</xdr:rowOff>
    </xdr:to>
    <xdr:grpSp>
      <xdr:nvGrpSpPr>
        <xdr:cNvPr id="530527" name="Group 593">
          <a:extLst>
            <a:ext uri="{FF2B5EF4-FFF2-40B4-BE49-F238E27FC236}">
              <a16:creationId xmlns:a16="http://schemas.microsoft.com/office/drawing/2014/main" id="{9647B5CC-75B8-655D-D71B-8D1A6BC4B983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381000"/>
          <a:chOff x="335" y="195"/>
          <a:chExt cx="352" cy="282"/>
        </a:xfrm>
      </xdr:grpSpPr>
      <xdr:grpSp>
        <xdr:nvGrpSpPr>
          <xdr:cNvPr id="530997" name="Group 594">
            <a:extLst>
              <a:ext uri="{FF2B5EF4-FFF2-40B4-BE49-F238E27FC236}">
                <a16:creationId xmlns:a16="http://schemas.microsoft.com/office/drawing/2014/main" id="{EB2598F0-07CB-8C2B-A5FC-766D038BE064}"/>
              </a:ext>
            </a:extLst>
          </xdr:cNvPr>
          <xdr:cNvGrpSpPr>
            <a:grpSpLocks/>
          </xdr:cNvGrpSpPr>
        </xdr:nvGrpSpPr>
        <xdr:grpSpPr bwMode="auto">
          <a:xfrm>
            <a:off x="335" y="195"/>
            <a:ext cx="176" cy="282"/>
            <a:chOff x="333" y="153"/>
            <a:chExt cx="219" cy="333"/>
          </a:xfrm>
        </xdr:grpSpPr>
        <xdr:sp macro="" textlink="">
          <xdr:nvSpPr>
            <xdr:cNvPr id="531009" name="Rectangle 595">
              <a:extLst>
                <a:ext uri="{FF2B5EF4-FFF2-40B4-BE49-F238E27FC236}">
                  <a16:creationId xmlns:a16="http://schemas.microsoft.com/office/drawing/2014/main" id="{3F86944C-4512-3B0F-6ECC-2C37CD87744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0" name="Line 596">
              <a:extLst>
                <a:ext uri="{FF2B5EF4-FFF2-40B4-BE49-F238E27FC236}">
                  <a16:creationId xmlns:a16="http://schemas.microsoft.com/office/drawing/2014/main" id="{5FAE9495-8F90-9A23-6BD8-90626AEC97E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11" name="Line 597">
              <a:extLst>
                <a:ext uri="{FF2B5EF4-FFF2-40B4-BE49-F238E27FC236}">
                  <a16:creationId xmlns:a16="http://schemas.microsoft.com/office/drawing/2014/main" id="{C414EB8F-C388-2076-0297-F277CE778CBC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12" name="Rectangle 598">
              <a:extLst>
                <a:ext uri="{FF2B5EF4-FFF2-40B4-BE49-F238E27FC236}">
                  <a16:creationId xmlns:a16="http://schemas.microsoft.com/office/drawing/2014/main" id="{EC36807B-F259-A2D2-92CC-A785F21343F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3" name="Oval 599">
              <a:extLst>
                <a:ext uri="{FF2B5EF4-FFF2-40B4-BE49-F238E27FC236}">
                  <a16:creationId xmlns:a16="http://schemas.microsoft.com/office/drawing/2014/main" id="{6753C27E-2151-4905-F738-9C216934C79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14" name="Oval 600">
              <a:extLst>
                <a:ext uri="{FF2B5EF4-FFF2-40B4-BE49-F238E27FC236}">
                  <a16:creationId xmlns:a16="http://schemas.microsoft.com/office/drawing/2014/main" id="{B30664D8-8522-9E95-06FC-11C338C8F99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15" name="Rectangle 601">
              <a:extLst>
                <a:ext uri="{FF2B5EF4-FFF2-40B4-BE49-F238E27FC236}">
                  <a16:creationId xmlns:a16="http://schemas.microsoft.com/office/drawing/2014/main" id="{8AD5C4F3-78B5-2F2F-44EA-93B7FF65EF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6" name="Rectangle 602">
              <a:extLst>
                <a:ext uri="{FF2B5EF4-FFF2-40B4-BE49-F238E27FC236}">
                  <a16:creationId xmlns:a16="http://schemas.microsoft.com/office/drawing/2014/main" id="{C5946850-702C-A16B-D925-62EB7EDAA19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7" name="Rectangle 603">
              <a:extLst>
                <a:ext uri="{FF2B5EF4-FFF2-40B4-BE49-F238E27FC236}">
                  <a16:creationId xmlns:a16="http://schemas.microsoft.com/office/drawing/2014/main" id="{6E1345BF-1F66-33E2-3815-CE29F6A03BB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18" name="Rectangle 604">
              <a:extLst>
                <a:ext uri="{FF2B5EF4-FFF2-40B4-BE49-F238E27FC236}">
                  <a16:creationId xmlns:a16="http://schemas.microsoft.com/office/drawing/2014/main" id="{D2A583B0-8E79-4FC4-25A3-B682DFAA8C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30998" name="Group 605">
            <a:extLst>
              <a:ext uri="{FF2B5EF4-FFF2-40B4-BE49-F238E27FC236}">
                <a16:creationId xmlns:a16="http://schemas.microsoft.com/office/drawing/2014/main" id="{C1450CC5-EDDA-6EAB-4534-302F4AAD5369}"/>
              </a:ext>
            </a:extLst>
          </xdr:cNvPr>
          <xdr:cNvGrpSpPr>
            <a:grpSpLocks/>
          </xdr:cNvGrpSpPr>
        </xdr:nvGrpSpPr>
        <xdr:grpSpPr bwMode="auto">
          <a:xfrm flipH="1">
            <a:off x="511" y="195"/>
            <a:ext cx="176" cy="282"/>
            <a:chOff x="333" y="153"/>
            <a:chExt cx="219" cy="333"/>
          </a:xfrm>
        </xdr:grpSpPr>
        <xdr:sp macro="" textlink="">
          <xdr:nvSpPr>
            <xdr:cNvPr id="530999" name="Rectangle 606">
              <a:extLst>
                <a:ext uri="{FF2B5EF4-FFF2-40B4-BE49-F238E27FC236}">
                  <a16:creationId xmlns:a16="http://schemas.microsoft.com/office/drawing/2014/main" id="{347FADC9-4682-44CF-AE64-C24981402D4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0" name="Line 607">
              <a:extLst>
                <a:ext uri="{FF2B5EF4-FFF2-40B4-BE49-F238E27FC236}">
                  <a16:creationId xmlns:a16="http://schemas.microsoft.com/office/drawing/2014/main" id="{23A6E9E3-DC1A-21FD-5C04-5BC4BFF6072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01" name="Line 608">
              <a:extLst>
                <a:ext uri="{FF2B5EF4-FFF2-40B4-BE49-F238E27FC236}">
                  <a16:creationId xmlns:a16="http://schemas.microsoft.com/office/drawing/2014/main" id="{41E6569F-AA8D-6E07-A4BD-86956CB94C8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1002" name="Rectangle 609">
              <a:extLst>
                <a:ext uri="{FF2B5EF4-FFF2-40B4-BE49-F238E27FC236}">
                  <a16:creationId xmlns:a16="http://schemas.microsoft.com/office/drawing/2014/main" id="{A8E983C6-53B9-5502-58F8-7112AEB4D26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3" name="Oval 610">
              <a:extLst>
                <a:ext uri="{FF2B5EF4-FFF2-40B4-BE49-F238E27FC236}">
                  <a16:creationId xmlns:a16="http://schemas.microsoft.com/office/drawing/2014/main" id="{C454BB8A-939C-950F-13A2-347819454B5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04" name="Oval 611">
              <a:extLst>
                <a:ext uri="{FF2B5EF4-FFF2-40B4-BE49-F238E27FC236}">
                  <a16:creationId xmlns:a16="http://schemas.microsoft.com/office/drawing/2014/main" id="{206977FA-AAEE-DBB8-EF81-21745A0171B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1005" name="Rectangle 612">
              <a:extLst>
                <a:ext uri="{FF2B5EF4-FFF2-40B4-BE49-F238E27FC236}">
                  <a16:creationId xmlns:a16="http://schemas.microsoft.com/office/drawing/2014/main" id="{7F6EECA7-5C4A-AFFC-B58D-FB7B7919C5D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6" name="Rectangle 613">
              <a:extLst>
                <a:ext uri="{FF2B5EF4-FFF2-40B4-BE49-F238E27FC236}">
                  <a16:creationId xmlns:a16="http://schemas.microsoft.com/office/drawing/2014/main" id="{C12B1E3D-493E-A732-3500-6ED4DA8CF6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7" name="Rectangle 614">
              <a:extLst>
                <a:ext uri="{FF2B5EF4-FFF2-40B4-BE49-F238E27FC236}">
                  <a16:creationId xmlns:a16="http://schemas.microsoft.com/office/drawing/2014/main" id="{70A9AB55-F720-759B-B9B5-B68748AEFC8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1008" name="Rectangle 615">
              <a:extLst>
                <a:ext uri="{FF2B5EF4-FFF2-40B4-BE49-F238E27FC236}">
                  <a16:creationId xmlns:a16="http://schemas.microsoft.com/office/drawing/2014/main" id="{5E6AE975-4E43-DA78-B771-0DEAA5C5169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28" name="Group 616">
          <a:extLst>
            <a:ext uri="{FF2B5EF4-FFF2-40B4-BE49-F238E27FC236}">
              <a16:creationId xmlns:a16="http://schemas.microsoft.com/office/drawing/2014/main" id="{C8E6AD5D-4271-961F-B427-923BEB19F165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974" name="Rectangle 617">
            <a:extLst>
              <a:ext uri="{FF2B5EF4-FFF2-40B4-BE49-F238E27FC236}">
                <a16:creationId xmlns:a16="http://schemas.microsoft.com/office/drawing/2014/main" id="{D93782D1-6FB5-7A7D-90F0-C698D7FF9BD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75" name="Line 618">
            <a:extLst>
              <a:ext uri="{FF2B5EF4-FFF2-40B4-BE49-F238E27FC236}">
                <a16:creationId xmlns:a16="http://schemas.microsoft.com/office/drawing/2014/main" id="{C76CECD7-4FB2-054A-57A7-1135CF0C9F0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76" name="Line 619">
            <a:extLst>
              <a:ext uri="{FF2B5EF4-FFF2-40B4-BE49-F238E27FC236}">
                <a16:creationId xmlns:a16="http://schemas.microsoft.com/office/drawing/2014/main" id="{ABE21920-7CA3-2201-24F2-2F0794E9A28C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77" name="Rectangle 620">
            <a:extLst>
              <a:ext uri="{FF2B5EF4-FFF2-40B4-BE49-F238E27FC236}">
                <a16:creationId xmlns:a16="http://schemas.microsoft.com/office/drawing/2014/main" id="{4BC3F3D3-6EB5-B0D7-FE4C-32823EF05056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78" name="Oval 621">
            <a:extLst>
              <a:ext uri="{FF2B5EF4-FFF2-40B4-BE49-F238E27FC236}">
                <a16:creationId xmlns:a16="http://schemas.microsoft.com/office/drawing/2014/main" id="{B32715D4-AE74-C9CF-229E-A7968296DB4C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79" name="Oval 622">
            <a:extLst>
              <a:ext uri="{FF2B5EF4-FFF2-40B4-BE49-F238E27FC236}">
                <a16:creationId xmlns:a16="http://schemas.microsoft.com/office/drawing/2014/main" id="{73CF52D5-A360-6224-D246-29125329017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80" name="Rectangle 623">
            <a:extLst>
              <a:ext uri="{FF2B5EF4-FFF2-40B4-BE49-F238E27FC236}">
                <a16:creationId xmlns:a16="http://schemas.microsoft.com/office/drawing/2014/main" id="{082B7EFA-E69B-7A47-215D-CA48D66CA1BD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81" name="Rectangle 624">
            <a:extLst>
              <a:ext uri="{FF2B5EF4-FFF2-40B4-BE49-F238E27FC236}">
                <a16:creationId xmlns:a16="http://schemas.microsoft.com/office/drawing/2014/main" id="{8E31D684-37CF-F998-183E-CA6173A8EF27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82" name="Rectangle 625">
            <a:extLst>
              <a:ext uri="{FF2B5EF4-FFF2-40B4-BE49-F238E27FC236}">
                <a16:creationId xmlns:a16="http://schemas.microsoft.com/office/drawing/2014/main" id="{AC4FDBAD-3DA9-5FE7-FEB6-C81E451B2F1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83" name="Rectangle 626">
            <a:extLst>
              <a:ext uri="{FF2B5EF4-FFF2-40B4-BE49-F238E27FC236}">
                <a16:creationId xmlns:a16="http://schemas.microsoft.com/office/drawing/2014/main" id="{DEB6B80C-C04A-4EF7-9EE3-75CA38430835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984" name="Group 627">
            <a:extLst>
              <a:ext uri="{FF2B5EF4-FFF2-40B4-BE49-F238E27FC236}">
                <a16:creationId xmlns:a16="http://schemas.microsoft.com/office/drawing/2014/main" id="{21F88E9F-81B1-DC09-1110-00A3EC1372D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987" name="Rectangle 628">
              <a:extLst>
                <a:ext uri="{FF2B5EF4-FFF2-40B4-BE49-F238E27FC236}">
                  <a16:creationId xmlns:a16="http://schemas.microsoft.com/office/drawing/2014/main" id="{0EE519A0-703B-9EE3-036D-A37350EC2B8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88" name="Line 629">
              <a:extLst>
                <a:ext uri="{FF2B5EF4-FFF2-40B4-BE49-F238E27FC236}">
                  <a16:creationId xmlns:a16="http://schemas.microsoft.com/office/drawing/2014/main" id="{9F10E8DB-4819-0426-9719-5B232D03CCA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89" name="Line 630">
              <a:extLst>
                <a:ext uri="{FF2B5EF4-FFF2-40B4-BE49-F238E27FC236}">
                  <a16:creationId xmlns:a16="http://schemas.microsoft.com/office/drawing/2014/main" id="{527102AC-7837-8EA0-90A0-1C4AB56A5D02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90" name="Rectangle 631">
              <a:extLst>
                <a:ext uri="{FF2B5EF4-FFF2-40B4-BE49-F238E27FC236}">
                  <a16:creationId xmlns:a16="http://schemas.microsoft.com/office/drawing/2014/main" id="{0C952C30-4849-1391-A93B-EC847052BE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91" name="Oval 632">
              <a:extLst>
                <a:ext uri="{FF2B5EF4-FFF2-40B4-BE49-F238E27FC236}">
                  <a16:creationId xmlns:a16="http://schemas.microsoft.com/office/drawing/2014/main" id="{57FDCDBA-9A06-69E3-D855-95B9DD597A1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92" name="Oval 633">
              <a:extLst>
                <a:ext uri="{FF2B5EF4-FFF2-40B4-BE49-F238E27FC236}">
                  <a16:creationId xmlns:a16="http://schemas.microsoft.com/office/drawing/2014/main" id="{696B19FC-363F-FDF9-277D-1AB3FACF5BA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93" name="Rectangle 634">
              <a:extLst>
                <a:ext uri="{FF2B5EF4-FFF2-40B4-BE49-F238E27FC236}">
                  <a16:creationId xmlns:a16="http://schemas.microsoft.com/office/drawing/2014/main" id="{00F14528-9A4A-C30B-CA1D-47196F6BE05C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94" name="Rectangle 635">
              <a:extLst>
                <a:ext uri="{FF2B5EF4-FFF2-40B4-BE49-F238E27FC236}">
                  <a16:creationId xmlns:a16="http://schemas.microsoft.com/office/drawing/2014/main" id="{108A0A7C-9C2D-0193-25B3-1732360D55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95" name="Rectangle 636">
              <a:extLst>
                <a:ext uri="{FF2B5EF4-FFF2-40B4-BE49-F238E27FC236}">
                  <a16:creationId xmlns:a16="http://schemas.microsoft.com/office/drawing/2014/main" id="{A3735EDD-EC94-499B-B2D6-801CD5847D7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96" name="Rectangle 637">
              <a:extLst>
                <a:ext uri="{FF2B5EF4-FFF2-40B4-BE49-F238E27FC236}">
                  <a16:creationId xmlns:a16="http://schemas.microsoft.com/office/drawing/2014/main" id="{DA320B29-162E-47F0-3842-260D46BAEA4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985" name="Rectangle 638">
            <a:extLst>
              <a:ext uri="{FF2B5EF4-FFF2-40B4-BE49-F238E27FC236}">
                <a16:creationId xmlns:a16="http://schemas.microsoft.com/office/drawing/2014/main" id="{B57BBA9D-3EC7-F1E8-9B21-D3D940C6622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86" name="Rectangle 639">
            <a:extLst>
              <a:ext uri="{FF2B5EF4-FFF2-40B4-BE49-F238E27FC236}">
                <a16:creationId xmlns:a16="http://schemas.microsoft.com/office/drawing/2014/main" id="{1582AAF2-F1A0-DF23-318D-983025BA770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29" name="Group 640">
          <a:extLst>
            <a:ext uri="{FF2B5EF4-FFF2-40B4-BE49-F238E27FC236}">
              <a16:creationId xmlns:a16="http://schemas.microsoft.com/office/drawing/2014/main" id="{EBFCADA2-A574-AE30-A1E8-703569679042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951" name="Rectangle 641">
            <a:extLst>
              <a:ext uri="{FF2B5EF4-FFF2-40B4-BE49-F238E27FC236}">
                <a16:creationId xmlns:a16="http://schemas.microsoft.com/office/drawing/2014/main" id="{F598B28D-B89D-FE4B-F2C0-EAB8CF1B9D5F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52" name="Line 642">
            <a:extLst>
              <a:ext uri="{FF2B5EF4-FFF2-40B4-BE49-F238E27FC236}">
                <a16:creationId xmlns:a16="http://schemas.microsoft.com/office/drawing/2014/main" id="{179413A4-A9F1-A10C-D05A-8C7DBEF51188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53" name="Line 643">
            <a:extLst>
              <a:ext uri="{FF2B5EF4-FFF2-40B4-BE49-F238E27FC236}">
                <a16:creationId xmlns:a16="http://schemas.microsoft.com/office/drawing/2014/main" id="{5572A421-2C37-16DA-8E3B-253D58DDD224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54" name="Rectangle 644">
            <a:extLst>
              <a:ext uri="{FF2B5EF4-FFF2-40B4-BE49-F238E27FC236}">
                <a16:creationId xmlns:a16="http://schemas.microsoft.com/office/drawing/2014/main" id="{C1AF05E4-5B33-60BD-3471-6363066754E4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55" name="Oval 645">
            <a:extLst>
              <a:ext uri="{FF2B5EF4-FFF2-40B4-BE49-F238E27FC236}">
                <a16:creationId xmlns:a16="http://schemas.microsoft.com/office/drawing/2014/main" id="{82F3B297-A042-1BDB-CA5E-6564DA52223B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56" name="Oval 646">
            <a:extLst>
              <a:ext uri="{FF2B5EF4-FFF2-40B4-BE49-F238E27FC236}">
                <a16:creationId xmlns:a16="http://schemas.microsoft.com/office/drawing/2014/main" id="{70FE0819-24D5-F404-5CBB-5B0D9511D8AC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57" name="Rectangle 647">
            <a:extLst>
              <a:ext uri="{FF2B5EF4-FFF2-40B4-BE49-F238E27FC236}">
                <a16:creationId xmlns:a16="http://schemas.microsoft.com/office/drawing/2014/main" id="{20B19B74-2999-DC9C-BA8E-DAA281990D1E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58" name="Rectangle 648">
            <a:extLst>
              <a:ext uri="{FF2B5EF4-FFF2-40B4-BE49-F238E27FC236}">
                <a16:creationId xmlns:a16="http://schemas.microsoft.com/office/drawing/2014/main" id="{453B18B8-F92E-B26A-592A-A73B961CEB32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59" name="Rectangle 649">
            <a:extLst>
              <a:ext uri="{FF2B5EF4-FFF2-40B4-BE49-F238E27FC236}">
                <a16:creationId xmlns:a16="http://schemas.microsoft.com/office/drawing/2014/main" id="{05A146DD-86C1-F977-F841-1EF803328ED2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60" name="Rectangle 650">
            <a:extLst>
              <a:ext uri="{FF2B5EF4-FFF2-40B4-BE49-F238E27FC236}">
                <a16:creationId xmlns:a16="http://schemas.microsoft.com/office/drawing/2014/main" id="{9B648FC0-2F92-994E-40BB-9B722129A0F3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961" name="Group 651">
            <a:extLst>
              <a:ext uri="{FF2B5EF4-FFF2-40B4-BE49-F238E27FC236}">
                <a16:creationId xmlns:a16="http://schemas.microsoft.com/office/drawing/2014/main" id="{518C5C4D-9FC9-EE87-2F70-1E81D265B5B9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964" name="Rectangle 652">
              <a:extLst>
                <a:ext uri="{FF2B5EF4-FFF2-40B4-BE49-F238E27FC236}">
                  <a16:creationId xmlns:a16="http://schemas.microsoft.com/office/drawing/2014/main" id="{AE191E43-C995-C58C-1265-82845C8C8CD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65" name="Line 653">
              <a:extLst>
                <a:ext uri="{FF2B5EF4-FFF2-40B4-BE49-F238E27FC236}">
                  <a16:creationId xmlns:a16="http://schemas.microsoft.com/office/drawing/2014/main" id="{DFBF0AC5-DE6A-5932-2AF1-68B703DF801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66" name="Line 654">
              <a:extLst>
                <a:ext uri="{FF2B5EF4-FFF2-40B4-BE49-F238E27FC236}">
                  <a16:creationId xmlns:a16="http://schemas.microsoft.com/office/drawing/2014/main" id="{9A59D64A-5827-7BC5-EE35-8195CAD0203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67" name="Rectangle 655">
              <a:extLst>
                <a:ext uri="{FF2B5EF4-FFF2-40B4-BE49-F238E27FC236}">
                  <a16:creationId xmlns:a16="http://schemas.microsoft.com/office/drawing/2014/main" id="{624D1EC9-F119-D907-C28C-87549654C0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68" name="Oval 656">
              <a:extLst>
                <a:ext uri="{FF2B5EF4-FFF2-40B4-BE49-F238E27FC236}">
                  <a16:creationId xmlns:a16="http://schemas.microsoft.com/office/drawing/2014/main" id="{082F790F-AF30-96D4-B9D0-F5A58DBA612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69" name="Oval 657">
              <a:extLst>
                <a:ext uri="{FF2B5EF4-FFF2-40B4-BE49-F238E27FC236}">
                  <a16:creationId xmlns:a16="http://schemas.microsoft.com/office/drawing/2014/main" id="{A5BD7438-F4F4-237B-E181-8F87A1A8B8A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70" name="Rectangle 658">
              <a:extLst>
                <a:ext uri="{FF2B5EF4-FFF2-40B4-BE49-F238E27FC236}">
                  <a16:creationId xmlns:a16="http://schemas.microsoft.com/office/drawing/2014/main" id="{4EC6987C-5FC4-CCB3-1339-2F334F40764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71" name="Rectangle 659">
              <a:extLst>
                <a:ext uri="{FF2B5EF4-FFF2-40B4-BE49-F238E27FC236}">
                  <a16:creationId xmlns:a16="http://schemas.microsoft.com/office/drawing/2014/main" id="{4E47842E-3A5F-16F8-7669-16A4F81EBC2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72" name="Rectangle 660">
              <a:extLst>
                <a:ext uri="{FF2B5EF4-FFF2-40B4-BE49-F238E27FC236}">
                  <a16:creationId xmlns:a16="http://schemas.microsoft.com/office/drawing/2014/main" id="{5F7311B8-86FC-4A6A-EEE8-D132A26F3AD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73" name="Rectangle 661">
              <a:extLst>
                <a:ext uri="{FF2B5EF4-FFF2-40B4-BE49-F238E27FC236}">
                  <a16:creationId xmlns:a16="http://schemas.microsoft.com/office/drawing/2014/main" id="{53487716-78D0-732F-B7E9-636279E4C7B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962" name="Rectangle 662">
            <a:extLst>
              <a:ext uri="{FF2B5EF4-FFF2-40B4-BE49-F238E27FC236}">
                <a16:creationId xmlns:a16="http://schemas.microsoft.com/office/drawing/2014/main" id="{C5EB16DD-4531-8843-A122-4B8D60006588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63" name="Rectangle 663">
            <a:extLst>
              <a:ext uri="{FF2B5EF4-FFF2-40B4-BE49-F238E27FC236}">
                <a16:creationId xmlns:a16="http://schemas.microsoft.com/office/drawing/2014/main" id="{B013C722-8926-8A53-ECF3-F87A5DAF33DF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30" name="Group 664">
          <a:extLst>
            <a:ext uri="{FF2B5EF4-FFF2-40B4-BE49-F238E27FC236}">
              <a16:creationId xmlns:a16="http://schemas.microsoft.com/office/drawing/2014/main" id="{333BF47F-0D12-FCFD-07F3-A180FB5FB235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928" name="Rectangle 665">
            <a:extLst>
              <a:ext uri="{FF2B5EF4-FFF2-40B4-BE49-F238E27FC236}">
                <a16:creationId xmlns:a16="http://schemas.microsoft.com/office/drawing/2014/main" id="{9BAD1E1A-2D11-7D6E-0B9D-4F487BE730D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29" name="Line 666">
            <a:extLst>
              <a:ext uri="{FF2B5EF4-FFF2-40B4-BE49-F238E27FC236}">
                <a16:creationId xmlns:a16="http://schemas.microsoft.com/office/drawing/2014/main" id="{3895F60E-5022-CA39-DCF1-7743211212B9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30" name="Line 667">
            <a:extLst>
              <a:ext uri="{FF2B5EF4-FFF2-40B4-BE49-F238E27FC236}">
                <a16:creationId xmlns:a16="http://schemas.microsoft.com/office/drawing/2014/main" id="{C8B7ABEB-4C0D-EA6F-855C-435E4E703E93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31" name="Rectangle 668">
            <a:extLst>
              <a:ext uri="{FF2B5EF4-FFF2-40B4-BE49-F238E27FC236}">
                <a16:creationId xmlns:a16="http://schemas.microsoft.com/office/drawing/2014/main" id="{42B1D919-A3B2-283E-CBE6-13FC83F2B7F4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32" name="Oval 669">
            <a:extLst>
              <a:ext uri="{FF2B5EF4-FFF2-40B4-BE49-F238E27FC236}">
                <a16:creationId xmlns:a16="http://schemas.microsoft.com/office/drawing/2014/main" id="{54BA3D69-6AA9-CBF2-DC14-14188652C687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33" name="Oval 670">
            <a:extLst>
              <a:ext uri="{FF2B5EF4-FFF2-40B4-BE49-F238E27FC236}">
                <a16:creationId xmlns:a16="http://schemas.microsoft.com/office/drawing/2014/main" id="{F3A28C83-34ED-44A2-FE83-0F52C5F1857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34" name="Rectangle 671">
            <a:extLst>
              <a:ext uri="{FF2B5EF4-FFF2-40B4-BE49-F238E27FC236}">
                <a16:creationId xmlns:a16="http://schemas.microsoft.com/office/drawing/2014/main" id="{B7C7D1B3-ACF7-E73C-9BB2-14D8ED1CCCAF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35" name="Rectangle 672">
            <a:extLst>
              <a:ext uri="{FF2B5EF4-FFF2-40B4-BE49-F238E27FC236}">
                <a16:creationId xmlns:a16="http://schemas.microsoft.com/office/drawing/2014/main" id="{350B0FEE-8CDD-CC38-456E-3E630B3F4E2C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36" name="Rectangle 673">
            <a:extLst>
              <a:ext uri="{FF2B5EF4-FFF2-40B4-BE49-F238E27FC236}">
                <a16:creationId xmlns:a16="http://schemas.microsoft.com/office/drawing/2014/main" id="{E076C094-0819-E8DA-47BA-E4FD4EBFA1A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37" name="Rectangle 674">
            <a:extLst>
              <a:ext uri="{FF2B5EF4-FFF2-40B4-BE49-F238E27FC236}">
                <a16:creationId xmlns:a16="http://schemas.microsoft.com/office/drawing/2014/main" id="{E8AF1A14-6393-F7CD-C30B-60E3FEC68830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938" name="Group 675">
            <a:extLst>
              <a:ext uri="{FF2B5EF4-FFF2-40B4-BE49-F238E27FC236}">
                <a16:creationId xmlns:a16="http://schemas.microsoft.com/office/drawing/2014/main" id="{2E5A120C-835A-D807-3053-38AA01B4B0FD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941" name="Rectangle 676">
              <a:extLst>
                <a:ext uri="{FF2B5EF4-FFF2-40B4-BE49-F238E27FC236}">
                  <a16:creationId xmlns:a16="http://schemas.microsoft.com/office/drawing/2014/main" id="{D29CD5D6-DF45-CEA5-7900-89342D98237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42" name="Line 677">
              <a:extLst>
                <a:ext uri="{FF2B5EF4-FFF2-40B4-BE49-F238E27FC236}">
                  <a16:creationId xmlns:a16="http://schemas.microsoft.com/office/drawing/2014/main" id="{396BFC97-3755-D40E-4084-CFCAC4B8AB3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43" name="Line 678">
              <a:extLst>
                <a:ext uri="{FF2B5EF4-FFF2-40B4-BE49-F238E27FC236}">
                  <a16:creationId xmlns:a16="http://schemas.microsoft.com/office/drawing/2014/main" id="{8E3DEEAA-1FED-88D2-D001-768FA8CCB55B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44" name="Rectangle 679">
              <a:extLst>
                <a:ext uri="{FF2B5EF4-FFF2-40B4-BE49-F238E27FC236}">
                  <a16:creationId xmlns:a16="http://schemas.microsoft.com/office/drawing/2014/main" id="{45C5458D-CFDB-64ED-3457-63291FAD02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45" name="Oval 680">
              <a:extLst>
                <a:ext uri="{FF2B5EF4-FFF2-40B4-BE49-F238E27FC236}">
                  <a16:creationId xmlns:a16="http://schemas.microsoft.com/office/drawing/2014/main" id="{EE2FF595-4C0D-E839-D5CE-8CA93AD45AF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46" name="Oval 681">
              <a:extLst>
                <a:ext uri="{FF2B5EF4-FFF2-40B4-BE49-F238E27FC236}">
                  <a16:creationId xmlns:a16="http://schemas.microsoft.com/office/drawing/2014/main" id="{CC3CFEA5-02A3-6EBE-AD4A-09505DEF00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47" name="Rectangle 682">
              <a:extLst>
                <a:ext uri="{FF2B5EF4-FFF2-40B4-BE49-F238E27FC236}">
                  <a16:creationId xmlns:a16="http://schemas.microsoft.com/office/drawing/2014/main" id="{4839B981-6CCD-EB49-07B6-11BAF3D017F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48" name="Rectangle 683">
              <a:extLst>
                <a:ext uri="{FF2B5EF4-FFF2-40B4-BE49-F238E27FC236}">
                  <a16:creationId xmlns:a16="http://schemas.microsoft.com/office/drawing/2014/main" id="{2A084E11-B432-D657-491D-88B888F646B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49" name="Rectangle 684">
              <a:extLst>
                <a:ext uri="{FF2B5EF4-FFF2-40B4-BE49-F238E27FC236}">
                  <a16:creationId xmlns:a16="http://schemas.microsoft.com/office/drawing/2014/main" id="{6B80B2DA-92E7-C8AA-F0A2-62E4EB9BF7D7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50" name="Rectangle 685">
              <a:extLst>
                <a:ext uri="{FF2B5EF4-FFF2-40B4-BE49-F238E27FC236}">
                  <a16:creationId xmlns:a16="http://schemas.microsoft.com/office/drawing/2014/main" id="{C63F56F1-E757-1031-FA01-65F3E27427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939" name="Rectangle 686">
            <a:extLst>
              <a:ext uri="{FF2B5EF4-FFF2-40B4-BE49-F238E27FC236}">
                <a16:creationId xmlns:a16="http://schemas.microsoft.com/office/drawing/2014/main" id="{3796575B-435E-98FD-F401-3D214522DA5B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40" name="Rectangle 687">
            <a:extLst>
              <a:ext uri="{FF2B5EF4-FFF2-40B4-BE49-F238E27FC236}">
                <a16:creationId xmlns:a16="http://schemas.microsoft.com/office/drawing/2014/main" id="{63D22234-4B8B-866D-FF8D-3579F2DB69FD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31" name="Group 688">
          <a:extLst>
            <a:ext uri="{FF2B5EF4-FFF2-40B4-BE49-F238E27FC236}">
              <a16:creationId xmlns:a16="http://schemas.microsoft.com/office/drawing/2014/main" id="{C023C4DE-55E9-39CE-AF77-A440F1342611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905" name="Rectangle 689">
            <a:extLst>
              <a:ext uri="{FF2B5EF4-FFF2-40B4-BE49-F238E27FC236}">
                <a16:creationId xmlns:a16="http://schemas.microsoft.com/office/drawing/2014/main" id="{3DDF8BD6-C9B4-1012-2DDF-73AB7F7FD383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06" name="Line 690">
            <a:extLst>
              <a:ext uri="{FF2B5EF4-FFF2-40B4-BE49-F238E27FC236}">
                <a16:creationId xmlns:a16="http://schemas.microsoft.com/office/drawing/2014/main" id="{5331728C-AC76-95E5-539B-8CB9E43498F4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07" name="Line 691">
            <a:extLst>
              <a:ext uri="{FF2B5EF4-FFF2-40B4-BE49-F238E27FC236}">
                <a16:creationId xmlns:a16="http://schemas.microsoft.com/office/drawing/2014/main" id="{389EEFC6-9648-14B8-31A1-534F910F0B5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908" name="Rectangle 692">
            <a:extLst>
              <a:ext uri="{FF2B5EF4-FFF2-40B4-BE49-F238E27FC236}">
                <a16:creationId xmlns:a16="http://schemas.microsoft.com/office/drawing/2014/main" id="{708E94CA-400F-BF4F-37CE-FE30C440A9F0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09" name="Oval 693">
            <a:extLst>
              <a:ext uri="{FF2B5EF4-FFF2-40B4-BE49-F238E27FC236}">
                <a16:creationId xmlns:a16="http://schemas.microsoft.com/office/drawing/2014/main" id="{C5E8D39F-DB2B-A761-76CB-760972F18619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10" name="Oval 694">
            <a:extLst>
              <a:ext uri="{FF2B5EF4-FFF2-40B4-BE49-F238E27FC236}">
                <a16:creationId xmlns:a16="http://schemas.microsoft.com/office/drawing/2014/main" id="{E0B03D1D-3DEB-300C-6B1B-1A286FDC44D1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911" name="Rectangle 695">
            <a:extLst>
              <a:ext uri="{FF2B5EF4-FFF2-40B4-BE49-F238E27FC236}">
                <a16:creationId xmlns:a16="http://schemas.microsoft.com/office/drawing/2014/main" id="{F99A6015-A482-BD60-7D37-B648F27D33EB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12" name="Rectangle 696">
            <a:extLst>
              <a:ext uri="{FF2B5EF4-FFF2-40B4-BE49-F238E27FC236}">
                <a16:creationId xmlns:a16="http://schemas.microsoft.com/office/drawing/2014/main" id="{C6DC12E3-E4FE-7D2B-9028-9C52BC3EDC81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13" name="Rectangle 697">
            <a:extLst>
              <a:ext uri="{FF2B5EF4-FFF2-40B4-BE49-F238E27FC236}">
                <a16:creationId xmlns:a16="http://schemas.microsoft.com/office/drawing/2014/main" id="{FD9863C2-88AB-7D93-F9E1-4D298346AD18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14" name="Rectangle 698">
            <a:extLst>
              <a:ext uri="{FF2B5EF4-FFF2-40B4-BE49-F238E27FC236}">
                <a16:creationId xmlns:a16="http://schemas.microsoft.com/office/drawing/2014/main" id="{C29B9986-9794-83E8-6902-A0A39E9ED358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915" name="Group 699">
            <a:extLst>
              <a:ext uri="{FF2B5EF4-FFF2-40B4-BE49-F238E27FC236}">
                <a16:creationId xmlns:a16="http://schemas.microsoft.com/office/drawing/2014/main" id="{D139B7F2-2F79-8C7E-EC15-4B1A4740A491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918" name="Rectangle 700">
              <a:extLst>
                <a:ext uri="{FF2B5EF4-FFF2-40B4-BE49-F238E27FC236}">
                  <a16:creationId xmlns:a16="http://schemas.microsoft.com/office/drawing/2014/main" id="{BFAD1275-43E7-C19D-77AA-AFD3F93E51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19" name="Line 701">
              <a:extLst>
                <a:ext uri="{FF2B5EF4-FFF2-40B4-BE49-F238E27FC236}">
                  <a16:creationId xmlns:a16="http://schemas.microsoft.com/office/drawing/2014/main" id="{A6BEA2BE-EA71-27B3-B862-CDB683BE80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20" name="Line 702">
              <a:extLst>
                <a:ext uri="{FF2B5EF4-FFF2-40B4-BE49-F238E27FC236}">
                  <a16:creationId xmlns:a16="http://schemas.microsoft.com/office/drawing/2014/main" id="{FBD82610-D78F-ED59-D272-3C11DBBB153D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921" name="Rectangle 703">
              <a:extLst>
                <a:ext uri="{FF2B5EF4-FFF2-40B4-BE49-F238E27FC236}">
                  <a16:creationId xmlns:a16="http://schemas.microsoft.com/office/drawing/2014/main" id="{3741E8C7-C87B-C66B-E648-22EEA5D59DE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22" name="Oval 704">
              <a:extLst>
                <a:ext uri="{FF2B5EF4-FFF2-40B4-BE49-F238E27FC236}">
                  <a16:creationId xmlns:a16="http://schemas.microsoft.com/office/drawing/2014/main" id="{646637FD-4E6F-E276-C424-D445E68245E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23" name="Oval 705">
              <a:extLst>
                <a:ext uri="{FF2B5EF4-FFF2-40B4-BE49-F238E27FC236}">
                  <a16:creationId xmlns:a16="http://schemas.microsoft.com/office/drawing/2014/main" id="{D4AAA8BD-F454-1D77-E0B4-AB96172EA72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24" name="Rectangle 706">
              <a:extLst>
                <a:ext uri="{FF2B5EF4-FFF2-40B4-BE49-F238E27FC236}">
                  <a16:creationId xmlns:a16="http://schemas.microsoft.com/office/drawing/2014/main" id="{00D1AC24-AF7D-2B49-D77C-BB2D1C9E61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25" name="Rectangle 707">
              <a:extLst>
                <a:ext uri="{FF2B5EF4-FFF2-40B4-BE49-F238E27FC236}">
                  <a16:creationId xmlns:a16="http://schemas.microsoft.com/office/drawing/2014/main" id="{C7019731-9FF8-8397-B889-8C6F76C3D15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26" name="Rectangle 708">
              <a:extLst>
                <a:ext uri="{FF2B5EF4-FFF2-40B4-BE49-F238E27FC236}">
                  <a16:creationId xmlns:a16="http://schemas.microsoft.com/office/drawing/2014/main" id="{FA921F15-35CB-BB2B-E98D-04286F0C7B8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27" name="Rectangle 709">
              <a:extLst>
                <a:ext uri="{FF2B5EF4-FFF2-40B4-BE49-F238E27FC236}">
                  <a16:creationId xmlns:a16="http://schemas.microsoft.com/office/drawing/2014/main" id="{1DBEDB4A-E612-7927-507F-520265ABAA0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916" name="Rectangle 710">
            <a:extLst>
              <a:ext uri="{FF2B5EF4-FFF2-40B4-BE49-F238E27FC236}">
                <a16:creationId xmlns:a16="http://schemas.microsoft.com/office/drawing/2014/main" id="{7CD67B00-9310-92C5-D135-006FA5943F0C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917" name="Rectangle 711">
            <a:extLst>
              <a:ext uri="{FF2B5EF4-FFF2-40B4-BE49-F238E27FC236}">
                <a16:creationId xmlns:a16="http://schemas.microsoft.com/office/drawing/2014/main" id="{B21FF5CF-8952-607F-D582-A81A0987A52A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160020</xdr:rowOff>
    </xdr:from>
    <xdr:to>
      <xdr:col>7</xdr:col>
      <xdr:colOff>0</xdr:colOff>
      <xdr:row>3</xdr:row>
      <xdr:rowOff>0</xdr:rowOff>
    </xdr:to>
    <xdr:grpSp>
      <xdr:nvGrpSpPr>
        <xdr:cNvPr id="530532" name="Group 712">
          <a:extLst>
            <a:ext uri="{FF2B5EF4-FFF2-40B4-BE49-F238E27FC236}">
              <a16:creationId xmlns:a16="http://schemas.microsoft.com/office/drawing/2014/main" id="{2651A24C-1BD2-7B32-3391-C533277473B7}"/>
            </a:ext>
          </a:extLst>
        </xdr:cNvPr>
        <xdr:cNvGrpSpPr>
          <a:grpSpLocks/>
        </xdr:cNvGrpSpPr>
      </xdr:nvGrpSpPr>
      <xdr:grpSpPr bwMode="auto">
        <a:xfrm>
          <a:off x="5524500" y="1257300"/>
          <a:ext cx="0" cy="411480"/>
          <a:chOff x="220" y="176"/>
          <a:chExt cx="556" cy="247"/>
        </a:xfrm>
      </xdr:grpSpPr>
      <xdr:sp macro="" textlink="">
        <xdr:nvSpPr>
          <xdr:cNvPr id="530882" name="Rectangle 713">
            <a:extLst>
              <a:ext uri="{FF2B5EF4-FFF2-40B4-BE49-F238E27FC236}">
                <a16:creationId xmlns:a16="http://schemas.microsoft.com/office/drawing/2014/main" id="{BC7D4D2E-F198-EB19-DE38-782BB8D55C85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83" name="Line 714">
            <a:extLst>
              <a:ext uri="{FF2B5EF4-FFF2-40B4-BE49-F238E27FC236}">
                <a16:creationId xmlns:a16="http://schemas.microsoft.com/office/drawing/2014/main" id="{E274B974-0070-41F4-7296-B074937A17E3}"/>
              </a:ext>
            </a:extLst>
          </xdr:cNvPr>
          <xdr:cNvSpPr>
            <a:spLocks noChangeShapeType="1"/>
          </xdr:cNvSpPr>
        </xdr:nvSpPr>
        <xdr:spPr bwMode="auto">
          <a:xfrm>
            <a:off x="360" y="176"/>
            <a:ext cx="137" cy="118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884" name="Line 715">
            <a:extLst>
              <a:ext uri="{FF2B5EF4-FFF2-40B4-BE49-F238E27FC236}">
                <a16:creationId xmlns:a16="http://schemas.microsoft.com/office/drawing/2014/main" id="{0ECF9A1B-8C64-8128-1CB3-BF89665BDFD8}"/>
              </a:ext>
            </a:extLst>
          </xdr:cNvPr>
          <xdr:cNvSpPr>
            <a:spLocks noChangeShapeType="1"/>
          </xdr:cNvSpPr>
        </xdr:nvSpPr>
        <xdr:spPr bwMode="auto">
          <a:xfrm flipH="1">
            <a:off x="360" y="295"/>
            <a:ext cx="136" cy="117"/>
          </a:xfrm>
          <a:prstGeom prst="line">
            <a:avLst/>
          </a:prstGeom>
          <a:noFill/>
          <a:ln w="9525">
            <a:solidFill>
              <a:srgbClr val="000000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0885" name="Rectangle 716">
            <a:extLst>
              <a:ext uri="{FF2B5EF4-FFF2-40B4-BE49-F238E27FC236}">
                <a16:creationId xmlns:a16="http://schemas.microsoft.com/office/drawing/2014/main" id="{C000A25C-1936-8218-EFF3-87A7481547E7}"/>
              </a:ext>
            </a:extLst>
          </xdr:cNvPr>
          <xdr:cNvSpPr>
            <a:spLocks noChangeArrowheads="1"/>
          </xdr:cNvSpPr>
        </xdr:nvSpPr>
        <xdr:spPr bwMode="auto">
          <a:xfrm>
            <a:off x="470" y="278"/>
            <a:ext cx="15" cy="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86" name="Oval 717">
            <a:extLst>
              <a:ext uri="{FF2B5EF4-FFF2-40B4-BE49-F238E27FC236}">
                <a16:creationId xmlns:a16="http://schemas.microsoft.com/office/drawing/2014/main" id="{0FBF0311-AFE2-52AD-B01A-671A827D12EF}"/>
              </a:ext>
            </a:extLst>
          </xdr:cNvPr>
          <xdr:cNvSpPr>
            <a:spLocks noChangeArrowheads="1"/>
          </xdr:cNvSpPr>
        </xdr:nvSpPr>
        <xdr:spPr bwMode="auto">
          <a:xfrm>
            <a:off x="475" y="300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87" name="Oval 718">
            <a:extLst>
              <a:ext uri="{FF2B5EF4-FFF2-40B4-BE49-F238E27FC236}">
                <a16:creationId xmlns:a16="http://schemas.microsoft.com/office/drawing/2014/main" id="{C10DF2AC-C73E-B1B6-6085-E6D8EEEB3669}"/>
              </a:ext>
            </a:extLst>
          </xdr:cNvPr>
          <xdr:cNvSpPr>
            <a:spLocks noChangeArrowheads="1"/>
          </xdr:cNvSpPr>
        </xdr:nvSpPr>
        <xdr:spPr bwMode="auto">
          <a:xfrm>
            <a:off x="475" y="286"/>
            <a:ext cx="5" cy="6"/>
          </a:xfrm>
          <a:prstGeom prst="ellipse">
            <a:avLst/>
          </a:prstGeom>
          <a:solidFill>
            <a:srgbClr val="00000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88" name="Rectangle 719">
            <a:extLst>
              <a:ext uri="{FF2B5EF4-FFF2-40B4-BE49-F238E27FC236}">
                <a16:creationId xmlns:a16="http://schemas.microsoft.com/office/drawing/2014/main" id="{C4C298DB-97D0-59C1-7F51-4A3B024295BA}"/>
              </a:ext>
            </a:extLst>
          </xdr:cNvPr>
          <xdr:cNvSpPr>
            <a:spLocks noChangeArrowheads="1"/>
          </xdr:cNvSpPr>
        </xdr:nvSpPr>
        <xdr:spPr bwMode="auto">
          <a:xfrm>
            <a:off x="493" y="287"/>
            <a:ext cx="5" cy="14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89" name="Rectangle 720">
            <a:extLst>
              <a:ext uri="{FF2B5EF4-FFF2-40B4-BE49-F238E27FC236}">
                <a16:creationId xmlns:a16="http://schemas.microsoft.com/office/drawing/2014/main" id="{24B96D2B-8B1C-9722-6821-BCCD4F39B3F8}"/>
              </a:ext>
            </a:extLst>
          </xdr:cNvPr>
          <xdr:cNvSpPr>
            <a:spLocks noChangeArrowheads="1"/>
          </xdr:cNvSpPr>
        </xdr:nvSpPr>
        <xdr:spPr bwMode="auto">
          <a:xfrm>
            <a:off x="361" y="404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90" name="Rectangle 721">
            <a:extLst>
              <a:ext uri="{FF2B5EF4-FFF2-40B4-BE49-F238E27FC236}">
                <a16:creationId xmlns:a16="http://schemas.microsoft.com/office/drawing/2014/main" id="{7614050E-DF70-FADF-3BBC-66C14C60DEA1}"/>
              </a:ext>
            </a:extLst>
          </xdr:cNvPr>
          <xdr:cNvSpPr>
            <a:spLocks noChangeArrowheads="1"/>
          </xdr:cNvSpPr>
        </xdr:nvSpPr>
        <xdr:spPr bwMode="auto">
          <a:xfrm>
            <a:off x="360" y="176"/>
            <a:ext cx="20" cy="7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91" name="Rectangle 722">
            <a:extLst>
              <a:ext uri="{FF2B5EF4-FFF2-40B4-BE49-F238E27FC236}">
                <a16:creationId xmlns:a16="http://schemas.microsoft.com/office/drawing/2014/main" id="{4365B408-EA3E-1F0D-CC17-84034486B621}"/>
              </a:ext>
            </a:extLst>
          </xdr:cNvPr>
          <xdr:cNvSpPr>
            <a:spLocks noChangeArrowheads="1"/>
          </xdr:cNvSpPr>
        </xdr:nvSpPr>
        <xdr:spPr bwMode="auto">
          <a:xfrm>
            <a:off x="360" y="414"/>
            <a:ext cx="8" cy="9"/>
          </a:xfrm>
          <a:prstGeom prst="rect">
            <a:avLst/>
          </a:prstGeom>
          <a:gradFill rotWithShape="0">
            <a:gsLst>
              <a:gs pos="0">
                <a:srgbClr val="DCEBF5"/>
              </a:gs>
              <a:gs pos="8000">
                <a:srgbClr val="83A7C3"/>
              </a:gs>
              <a:gs pos="13000">
                <a:srgbClr val="768FB9"/>
              </a:gs>
              <a:gs pos="21001">
                <a:srgbClr val="83A7C3"/>
              </a:gs>
              <a:gs pos="52000">
                <a:srgbClr val="FFFFFF"/>
              </a:gs>
              <a:gs pos="56000">
                <a:srgbClr val="9C6563"/>
              </a:gs>
              <a:gs pos="58000">
                <a:srgbClr val="80302D"/>
              </a:gs>
              <a:gs pos="71001">
                <a:srgbClr val="C0524E"/>
              </a:gs>
              <a:gs pos="94000">
                <a:srgbClr val="EBDAD4"/>
              </a:gs>
              <a:gs pos="100000">
                <a:srgbClr val="55261C"/>
              </a:gs>
            </a:gsLst>
            <a:lin ang="5400000" scaled="1"/>
          </a:gra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30892" name="Group 723">
            <a:extLst>
              <a:ext uri="{FF2B5EF4-FFF2-40B4-BE49-F238E27FC236}">
                <a16:creationId xmlns:a16="http://schemas.microsoft.com/office/drawing/2014/main" id="{25D57140-EAE0-7100-36A2-984A25482093}"/>
              </a:ext>
            </a:extLst>
          </xdr:cNvPr>
          <xdr:cNvGrpSpPr>
            <a:grpSpLocks/>
          </xdr:cNvGrpSpPr>
        </xdr:nvGrpSpPr>
        <xdr:grpSpPr bwMode="auto">
          <a:xfrm flipH="1">
            <a:off x="498" y="176"/>
            <a:ext cx="138" cy="247"/>
            <a:chOff x="333" y="153"/>
            <a:chExt cx="219" cy="333"/>
          </a:xfrm>
        </xdr:grpSpPr>
        <xdr:sp macro="" textlink="">
          <xdr:nvSpPr>
            <xdr:cNvPr id="530895" name="Rectangle 724">
              <a:extLst>
                <a:ext uri="{FF2B5EF4-FFF2-40B4-BE49-F238E27FC236}">
                  <a16:creationId xmlns:a16="http://schemas.microsoft.com/office/drawing/2014/main" id="{5A135C9C-BEDB-B940-06FF-75511FA6AB0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218" cy="31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896" name="Line 725">
              <a:extLst>
                <a:ext uri="{FF2B5EF4-FFF2-40B4-BE49-F238E27FC236}">
                  <a16:creationId xmlns:a16="http://schemas.microsoft.com/office/drawing/2014/main" id="{D99F971D-B8F7-436E-5276-5759C78C806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33" y="153"/>
              <a:ext cx="218" cy="15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897" name="Line 726">
              <a:extLst>
                <a:ext uri="{FF2B5EF4-FFF2-40B4-BE49-F238E27FC236}">
                  <a16:creationId xmlns:a16="http://schemas.microsoft.com/office/drawing/2014/main" id="{BB89F2C9-14C8-2C50-9398-65B916142803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333" y="314"/>
              <a:ext cx="216" cy="157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sys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0898" name="Rectangle 727">
              <a:extLst>
                <a:ext uri="{FF2B5EF4-FFF2-40B4-BE49-F238E27FC236}">
                  <a16:creationId xmlns:a16="http://schemas.microsoft.com/office/drawing/2014/main" id="{EA34DC58-A486-B46B-82E2-2A42B7385C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8" y="291"/>
              <a:ext cx="23" cy="4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899" name="Oval 728">
              <a:extLst>
                <a:ext uri="{FF2B5EF4-FFF2-40B4-BE49-F238E27FC236}">
                  <a16:creationId xmlns:a16="http://schemas.microsoft.com/office/drawing/2014/main" id="{CCC88F9E-DE73-1A30-0235-B9E8834987A9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20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00" name="Oval 729">
              <a:extLst>
                <a:ext uri="{FF2B5EF4-FFF2-40B4-BE49-F238E27FC236}">
                  <a16:creationId xmlns:a16="http://schemas.microsoft.com/office/drawing/2014/main" id="{16A912C5-C764-FFA6-5F31-B3033D09FE4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15" y="301"/>
              <a:ext cx="8" cy="8"/>
            </a:xfrm>
            <a:prstGeom prst="ellipse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901" name="Rectangle 730">
              <a:extLst>
                <a:ext uri="{FF2B5EF4-FFF2-40B4-BE49-F238E27FC236}">
                  <a16:creationId xmlns:a16="http://schemas.microsoft.com/office/drawing/2014/main" id="{B531BE74-2A5D-639E-B7D4-1F4AD61D259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44" y="302"/>
              <a:ext cx="8" cy="2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02" name="Rectangle 731">
              <a:extLst>
                <a:ext uri="{FF2B5EF4-FFF2-40B4-BE49-F238E27FC236}">
                  <a16:creationId xmlns:a16="http://schemas.microsoft.com/office/drawing/2014/main" id="{12FF20C1-2061-B16F-6021-15D75F47E79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4" y="460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03" name="Rectangle 732">
              <a:extLst>
                <a:ext uri="{FF2B5EF4-FFF2-40B4-BE49-F238E27FC236}">
                  <a16:creationId xmlns:a16="http://schemas.microsoft.com/office/drawing/2014/main" id="{D4EA81CC-0F82-C54D-7683-C1F049990DD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153"/>
              <a:ext cx="32" cy="10"/>
            </a:xfrm>
            <a:prstGeom prst="rect">
              <a:avLst/>
            </a:prstGeom>
            <a:solidFill>
              <a:srgbClr val="00000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904" name="Rectangle 733">
              <a:extLst>
                <a:ext uri="{FF2B5EF4-FFF2-40B4-BE49-F238E27FC236}">
                  <a16:creationId xmlns:a16="http://schemas.microsoft.com/office/drawing/2014/main" id="{F775D4BF-8E18-3018-2A33-AEB4F25479C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3" y="474"/>
              <a:ext cx="12" cy="12"/>
            </a:xfrm>
            <a:prstGeom prst="rect">
              <a:avLst/>
            </a:prstGeom>
            <a:gradFill rotWithShape="0">
              <a:gsLst>
                <a:gs pos="0">
                  <a:srgbClr val="DCEBF5"/>
                </a:gs>
                <a:gs pos="8000">
                  <a:srgbClr val="83A7C3"/>
                </a:gs>
                <a:gs pos="13000">
                  <a:srgbClr val="768FB9"/>
                </a:gs>
                <a:gs pos="21001">
                  <a:srgbClr val="83A7C3"/>
                </a:gs>
                <a:gs pos="52000">
                  <a:srgbClr val="FFFFFF"/>
                </a:gs>
                <a:gs pos="56000">
                  <a:srgbClr val="9C6563"/>
                </a:gs>
                <a:gs pos="58000">
                  <a:srgbClr val="80302D"/>
                </a:gs>
                <a:gs pos="71001">
                  <a:srgbClr val="C0524E"/>
                </a:gs>
                <a:gs pos="94000">
                  <a:srgbClr val="EBDAD4"/>
                </a:gs>
                <a:gs pos="100000">
                  <a:srgbClr val="55261C"/>
                </a:gs>
              </a:gsLst>
              <a:lin ang="5400000" scaled="1"/>
            </a:gra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sp macro="" textlink="">
        <xdr:nvSpPr>
          <xdr:cNvPr id="530893" name="Rectangle 734">
            <a:extLst>
              <a:ext uri="{FF2B5EF4-FFF2-40B4-BE49-F238E27FC236}">
                <a16:creationId xmlns:a16="http://schemas.microsoft.com/office/drawing/2014/main" id="{934CBAE5-87E8-F473-873F-DD805279BB26}"/>
              </a:ext>
            </a:extLst>
          </xdr:cNvPr>
          <xdr:cNvSpPr>
            <a:spLocks noChangeArrowheads="1"/>
          </xdr:cNvSpPr>
        </xdr:nvSpPr>
        <xdr:spPr bwMode="auto">
          <a:xfrm>
            <a:off x="220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94" name="Rectangle 735">
            <a:extLst>
              <a:ext uri="{FF2B5EF4-FFF2-40B4-BE49-F238E27FC236}">
                <a16:creationId xmlns:a16="http://schemas.microsoft.com/office/drawing/2014/main" id="{27E94563-1C6F-2F00-DFA1-6831327A5682}"/>
              </a:ext>
            </a:extLst>
          </xdr:cNvPr>
          <xdr:cNvSpPr>
            <a:spLocks noChangeArrowheads="1"/>
          </xdr:cNvSpPr>
        </xdr:nvSpPr>
        <xdr:spPr bwMode="auto">
          <a:xfrm>
            <a:off x="639" y="176"/>
            <a:ext cx="137" cy="23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33" name="Group 784">
          <a:extLst>
            <a:ext uri="{FF2B5EF4-FFF2-40B4-BE49-F238E27FC236}">
              <a16:creationId xmlns:a16="http://schemas.microsoft.com/office/drawing/2014/main" id="{80D27C15-8E9D-4012-3BA9-C1CA9980DF6A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868" name="Rectangle 785">
            <a:extLst>
              <a:ext uri="{FF2B5EF4-FFF2-40B4-BE49-F238E27FC236}">
                <a16:creationId xmlns:a16="http://schemas.microsoft.com/office/drawing/2014/main" id="{06289132-F8D7-7A73-05EA-11A6729825B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9" name="Rectangle 786">
            <a:extLst>
              <a:ext uri="{FF2B5EF4-FFF2-40B4-BE49-F238E27FC236}">
                <a16:creationId xmlns:a16="http://schemas.microsoft.com/office/drawing/2014/main" id="{DAAFAE62-182F-5A6D-492D-E9AE73A92D39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0" name="Rectangle 787">
            <a:extLst>
              <a:ext uri="{FF2B5EF4-FFF2-40B4-BE49-F238E27FC236}">
                <a16:creationId xmlns:a16="http://schemas.microsoft.com/office/drawing/2014/main" id="{436A7608-1A38-25AA-AE33-646DF0077A0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1" name="Rectangle 788">
            <a:extLst>
              <a:ext uri="{FF2B5EF4-FFF2-40B4-BE49-F238E27FC236}">
                <a16:creationId xmlns:a16="http://schemas.microsoft.com/office/drawing/2014/main" id="{CE52B390-E4C5-BB13-46C0-B3B6F6CAC268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2" name="Rectangle 789">
            <a:extLst>
              <a:ext uri="{FF2B5EF4-FFF2-40B4-BE49-F238E27FC236}">
                <a16:creationId xmlns:a16="http://schemas.microsoft.com/office/drawing/2014/main" id="{F73A0001-60D3-19FA-3E95-218280A8EA85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3" name="Rectangle 790">
            <a:extLst>
              <a:ext uri="{FF2B5EF4-FFF2-40B4-BE49-F238E27FC236}">
                <a16:creationId xmlns:a16="http://schemas.microsoft.com/office/drawing/2014/main" id="{86527846-DE8F-C351-0ED9-A3A25D76A299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4" name="Rectangle 791">
            <a:extLst>
              <a:ext uri="{FF2B5EF4-FFF2-40B4-BE49-F238E27FC236}">
                <a16:creationId xmlns:a16="http://schemas.microsoft.com/office/drawing/2014/main" id="{F127BCF3-0782-6680-A0A4-A5F52D0F7275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5" name="Rectangle 792">
            <a:extLst>
              <a:ext uri="{FF2B5EF4-FFF2-40B4-BE49-F238E27FC236}">
                <a16:creationId xmlns:a16="http://schemas.microsoft.com/office/drawing/2014/main" id="{2DED5A2F-D05B-8305-3D16-BB1F2B47D5E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76" name="Oval 793">
            <a:extLst>
              <a:ext uri="{FF2B5EF4-FFF2-40B4-BE49-F238E27FC236}">
                <a16:creationId xmlns:a16="http://schemas.microsoft.com/office/drawing/2014/main" id="{0D049AC2-2163-5240-09B1-A2CDC5261D6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77" name="Oval 794">
            <a:extLst>
              <a:ext uri="{FF2B5EF4-FFF2-40B4-BE49-F238E27FC236}">
                <a16:creationId xmlns:a16="http://schemas.microsoft.com/office/drawing/2014/main" id="{7BB78D2D-5D2A-07CF-4A0F-F9C034B77FE2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78" name="Oval 795">
            <a:extLst>
              <a:ext uri="{FF2B5EF4-FFF2-40B4-BE49-F238E27FC236}">
                <a16:creationId xmlns:a16="http://schemas.microsoft.com/office/drawing/2014/main" id="{1A3F306A-0C5E-B95E-1B3D-C605A5D4FD5E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79" name="Oval 796">
            <a:extLst>
              <a:ext uri="{FF2B5EF4-FFF2-40B4-BE49-F238E27FC236}">
                <a16:creationId xmlns:a16="http://schemas.microsoft.com/office/drawing/2014/main" id="{AB7A8BA4-B377-8360-140F-3069571784A7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80" name="AutoShape 797">
            <a:extLst>
              <a:ext uri="{FF2B5EF4-FFF2-40B4-BE49-F238E27FC236}">
                <a16:creationId xmlns:a16="http://schemas.microsoft.com/office/drawing/2014/main" id="{ACCFF3F2-19BE-9A22-5A80-63B9FDE8BDA1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81" name="AutoShape 798">
            <a:extLst>
              <a:ext uri="{FF2B5EF4-FFF2-40B4-BE49-F238E27FC236}">
                <a16:creationId xmlns:a16="http://schemas.microsoft.com/office/drawing/2014/main" id="{12F58731-172C-CC13-E8D4-1FAB3EF8829E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34" name="Group 799">
          <a:extLst>
            <a:ext uri="{FF2B5EF4-FFF2-40B4-BE49-F238E27FC236}">
              <a16:creationId xmlns:a16="http://schemas.microsoft.com/office/drawing/2014/main" id="{0B8A156C-6771-ECE4-1195-E966DDFF7391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854" name="Rectangle 800">
            <a:extLst>
              <a:ext uri="{FF2B5EF4-FFF2-40B4-BE49-F238E27FC236}">
                <a16:creationId xmlns:a16="http://schemas.microsoft.com/office/drawing/2014/main" id="{EBD3ABFE-CCF1-FE84-9763-4EC9EC066819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5" name="Rectangle 801">
            <a:extLst>
              <a:ext uri="{FF2B5EF4-FFF2-40B4-BE49-F238E27FC236}">
                <a16:creationId xmlns:a16="http://schemas.microsoft.com/office/drawing/2014/main" id="{D5011C5E-0CA2-E5FC-1F29-C76EE95D36DB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6" name="Rectangle 802">
            <a:extLst>
              <a:ext uri="{FF2B5EF4-FFF2-40B4-BE49-F238E27FC236}">
                <a16:creationId xmlns:a16="http://schemas.microsoft.com/office/drawing/2014/main" id="{962C8BF5-86AA-BC67-63CE-4A72DDA5DA38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7" name="Rectangle 803">
            <a:extLst>
              <a:ext uri="{FF2B5EF4-FFF2-40B4-BE49-F238E27FC236}">
                <a16:creationId xmlns:a16="http://schemas.microsoft.com/office/drawing/2014/main" id="{95BE911A-DCDB-5327-C7D6-B9B5D61562D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8" name="Rectangle 804">
            <a:extLst>
              <a:ext uri="{FF2B5EF4-FFF2-40B4-BE49-F238E27FC236}">
                <a16:creationId xmlns:a16="http://schemas.microsoft.com/office/drawing/2014/main" id="{88B6DA28-BD73-5228-3E36-52DC8516776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9" name="Rectangle 805">
            <a:extLst>
              <a:ext uri="{FF2B5EF4-FFF2-40B4-BE49-F238E27FC236}">
                <a16:creationId xmlns:a16="http://schemas.microsoft.com/office/drawing/2014/main" id="{7BD62201-B87A-5AD5-66C0-59FE06C5E9F7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0" name="Rectangle 806">
            <a:extLst>
              <a:ext uri="{FF2B5EF4-FFF2-40B4-BE49-F238E27FC236}">
                <a16:creationId xmlns:a16="http://schemas.microsoft.com/office/drawing/2014/main" id="{2A93F3E7-490E-374F-7E0A-DDD71B6A106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1" name="Rectangle 807">
            <a:extLst>
              <a:ext uri="{FF2B5EF4-FFF2-40B4-BE49-F238E27FC236}">
                <a16:creationId xmlns:a16="http://schemas.microsoft.com/office/drawing/2014/main" id="{FC59155B-4421-2B2C-DCC6-198B36153122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2" name="Oval 808">
            <a:extLst>
              <a:ext uri="{FF2B5EF4-FFF2-40B4-BE49-F238E27FC236}">
                <a16:creationId xmlns:a16="http://schemas.microsoft.com/office/drawing/2014/main" id="{02521A53-8073-DCC8-9AC7-249098213A89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63" name="Oval 809">
            <a:extLst>
              <a:ext uri="{FF2B5EF4-FFF2-40B4-BE49-F238E27FC236}">
                <a16:creationId xmlns:a16="http://schemas.microsoft.com/office/drawing/2014/main" id="{33E7DB07-1C85-0DF4-952D-95032B1590E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64" name="Oval 810">
            <a:extLst>
              <a:ext uri="{FF2B5EF4-FFF2-40B4-BE49-F238E27FC236}">
                <a16:creationId xmlns:a16="http://schemas.microsoft.com/office/drawing/2014/main" id="{FCC6622E-A58B-50D2-0133-9EF8BA8862C7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65" name="Oval 811">
            <a:extLst>
              <a:ext uri="{FF2B5EF4-FFF2-40B4-BE49-F238E27FC236}">
                <a16:creationId xmlns:a16="http://schemas.microsoft.com/office/drawing/2014/main" id="{3A426847-3DEA-3BC0-0B71-A7D256AF70B3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66" name="AutoShape 812">
            <a:extLst>
              <a:ext uri="{FF2B5EF4-FFF2-40B4-BE49-F238E27FC236}">
                <a16:creationId xmlns:a16="http://schemas.microsoft.com/office/drawing/2014/main" id="{4BFDF2B0-F33F-3796-C9FC-12C33D3F886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67" name="AutoShape 813">
            <a:extLst>
              <a:ext uri="{FF2B5EF4-FFF2-40B4-BE49-F238E27FC236}">
                <a16:creationId xmlns:a16="http://schemas.microsoft.com/office/drawing/2014/main" id="{CAC761DE-0531-BB15-C1D7-D7DD9CB8600A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35" name="Group 814">
          <a:extLst>
            <a:ext uri="{FF2B5EF4-FFF2-40B4-BE49-F238E27FC236}">
              <a16:creationId xmlns:a16="http://schemas.microsoft.com/office/drawing/2014/main" id="{AFEFFC44-329C-166D-A258-AB5DF8F6A139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46" name="Rectangle 815">
            <a:extLst>
              <a:ext uri="{FF2B5EF4-FFF2-40B4-BE49-F238E27FC236}">
                <a16:creationId xmlns:a16="http://schemas.microsoft.com/office/drawing/2014/main" id="{63319648-A7E5-2FF0-FEE5-E1BBA8FB92C7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7" name="Rectangle 816">
            <a:extLst>
              <a:ext uri="{FF2B5EF4-FFF2-40B4-BE49-F238E27FC236}">
                <a16:creationId xmlns:a16="http://schemas.microsoft.com/office/drawing/2014/main" id="{11D0DC3F-E888-D5CA-52A9-4E1E2259BB0D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8" name="Rectangle 817">
            <a:extLst>
              <a:ext uri="{FF2B5EF4-FFF2-40B4-BE49-F238E27FC236}">
                <a16:creationId xmlns:a16="http://schemas.microsoft.com/office/drawing/2014/main" id="{F8160FFE-4B65-6DCF-AB32-6BA7F7FCCF3E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9" name="Rectangle 818">
            <a:extLst>
              <a:ext uri="{FF2B5EF4-FFF2-40B4-BE49-F238E27FC236}">
                <a16:creationId xmlns:a16="http://schemas.microsoft.com/office/drawing/2014/main" id="{2888EDDF-448F-217B-F4B6-B17F8129A3B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0" name="Rectangle 819">
            <a:extLst>
              <a:ext uri="{FF2B5EF4-FFF2-40B4-BE49-F238E27FC236}">
                <a16:creationId xmlns:a16="http://schemas.microsoft.com/office/drawing/2014/main" id="{AAFF6C3E-8DBD-8046-9BAB-38BEEB6F8237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51" name="Oval 820">
            <a:extLst>
              <a:ext uri="{FF2B5EF4-FFF2-40B4-BE49-F238E27FC236}">
                <a16:creationId xmlns:a16="http://schemas.microsoft.com/office/drawing/2014/main" id="{364D4927-A9E5-2DAF-48C4-51CE3B8D494E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52" name="Oval 821">
            <a:extLst>
              <a:ext uri="{FF2B5EF4-FFF2-40B4-BE49-F238E27FC236}">
                <a16:creationId xmlns:a16="http://schemas.microsoft.com/office/drawing/2014/main" id="{2371269E-C9D5-2D44-334A-87BC92292A80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53" name="AutoShape 822">
            <a:extLst>
              <a:ext uri="{FF2B5EF4-FFF2-40B4-BE49-F238E27FC236}">
                <a16:creationId xmlns:a16="http://schemas.microsoft.com/office/drawing/2014/main" id="{748A2C70-C183-FF87-AD92-0BD9B8AEFA6A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36" name="Group 823">
          <a:extLst>
            <a:ext uri="{FF2B5EF4-FFF2-40B4-BE49-F238E27FC236}">
              <a16:creationId xmlns:a16="http://schemas.microsoft.com/office/drawing/2014/main" id="{4F95B35E-F36F-99AE-0622-4E7600E19EC9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38" name="Rectangle 824">
            <a:extLst>
              <a:ext uri="{FF2B5EF4-FFF2-40B4-BE49-F238E27FC236}">
                <a16:creationId xmlns:a16="http://schemas.microsoft.com/office/drawing/2014/main" id="{A8048146-942F-66F5-67C8-0FC4F69F4954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9" name="Rectangle 825">
            <a:extLst>
              <a:ext uri="{FF2B5EF4-FFF2-40B4-BE49-F238E27FC236}">
                <a16:creationId xmlns:a16="http://schemas.microsoft.com/office/drawing/2014/main" id="{0C9BF8D1-D7ED-51DC-ED74-544E231B2B65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0" name="Rectangle 826">
            <a:extLst>
              <a:ext uri="{FF2B5EF4-FFF2-40B4-BE49-F238E27FC236}">
                <a16:creationId xmlns:a16="http://schemas.microsoft.com/office/drawing/2014/main" id="{5EC1F4B1-4339-29BF-2E70-1D4714744863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1" name="Rectangle 827">
            <a:extLst>
              <a:ext uri="{FF2B5EF4-FFF2-40B4-BE49-F238E27FC236}">
                <a16:creationId xmlns:a16="http://schemas.microsoft.com/office/drawing/2014/main" id="{30491469-0201-ED41-3A22-95F6B11890E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2" name="Rectangle 828">
            <a:extLst>
              <a:ext uri="{FF2B5EF4-FFF2-40B4-BE49-F238E27FC236}">
                <a16:creationId xmlns:a16="http://schemas.microsoft.com/office/drawing/2014/main" id="{AA6E95E1-0027-F42C-0031-2203F37DDC8E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43" name="Oval 829">
            <a:extLst>
              <a:ext uri="{FF2B5EF4-FFF2-40B4-BE49-F238E27FC236}">
                <a16:creationId xmlns:a16="http://schemas.microsoft.com/office/drawing/2014/main" id="{CE049664-A6F8-5C27-BBAB-F1BC032822F9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44" name="Oval 830">
            <a:extLst>
              <a:ext uri="{FF2B5EF4-FFF2-40B4-BE49-F238E27FC236}">
                <a16:creationId xmlns:a16="http://schemas.microsoft.com/office/drawing/2014/main" id="{894C6E33-1CCE-6697-F949-ACC1DD21480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45" name="AutoShape 831">
            <a:extLst>
              <a:ext uri="{FF2B5EF4-FFF2-40B4-BE49-F238E27FC236}">
                <a16:creationId xmlns:a16="http://schemas.microsoft.com/office/drawing/2014/main" id="{72157AD2-E8E2-D5D4-912F-56A5EA9A8A50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37" name="Group 832">
          <a:extLst>
            <a:ext uri="{FF2B5EF4-FFF2-40B4-BE49-F238E27FC236}">
              <a16:creationId xmlns:a16="http://schemas.microsoft.com/office/drawing/2014/main" id="{567B23BF-BEAC-98E4-241C-B0038FF6F120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30" name="Rectangle 833">
            <a:extLst>
              <a:ext uri="{FF2B5EF4-FFF2-40B4-BE49-F238E27FC236}">
                <a16:creationId xmlns:a16="http://schemas.microsoft.com/office/drawing/2014/main" id="{FD92E91A-8408-3E00-2821-C263CE6C05D5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1" name="Rectangle 834">
            <a:extLst>
              <a:ext uri="{FF2B5EF4-FFF2-40B4-BE49-F238E27FC236}">
                <a16:creationId xmlns:a16="http://schemas.microsoft.com/office/drawing/2014/main" id="{79557BBC-6384-6E2E-DB0B-89BB56FD94FB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2" name="Rectangle 835">
            <a:extLst>
              <a:ext uri="{FF2B5EF4-FFF2-40B4-BE49-F238E27FC236}">
                <a16:creationId xmlns:a16="http://schemas.microsoft.com/office/drawing/2014/main" id="{DD3908CC-EE65-E407-0E57-8FE4E2B4CA4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3" name="Rectangle 836">
            <a:extLst>
              <a:ext uri="{FF2B5EF4-FFF2-40B4-BE49-F238E27FC236}">
                <a16:creationId xmlns:a16="http://schemas.microsoft.com/office/drawing/2014/main" id="{4FAEFD99-090E-8A9C-868E-22ECA5736BE5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4" name="Rectangle 837">
            <a:extLst>
              <a:ext uri="{FF2B5EF4-FFF2-40B4-BE49-F238E27FC236}">
                <a16:creationId xmlns:a16="http://schemas.microsoft.com/office/drawing/2014/main" id="{54179B4F-8199-E96E-3489-C22EA9F4DAE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35" name="Oval 838">
            <a:extLst>
              <a:ext uri="{FF2B5EF4-FFF2-40B4-BE49-F238E27FC236}">
                <a16:creationId xmlns:a16="http://schemas.microsoft.com/office/drawing/2014/main" id="{8243CB57-125A-7A52-4FED-C1809267499A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36" name="Oval 839">
            <a:extLst>
              <a:ext uri="{FF2B5EF4-FFF2-40B4-BE49-F238E27FC236}">
                <a16:creationId xmlns:a16="http://schemas.microsoft.com/office/drawing/2014/main" id="{AF7A84ED-E854-6814-6E18-E4A4D2BAA2D6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37" name="AutoShape 840">
            <a:extLst>
              <a:ext uri="{FF2B5EF4-FFF2-40B4-BE49-F238E27FC236}">
                <a16:creationId xmlns:a16="http://schemas.microsoft.com/office/drawing/2014/main" id="{B7F8A5E8-3CCC-038B-6640-0D13CBD13C68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38" name="Group 841">
          <a:extLst>
            <a:ext uri="{FF2B5EF4-FFF2-40B4-BE49-F238E27FC236}">
              <a16:creationId xmlns:a16="http://schemas.microsoft.com/office/drawing/2014/main" id="{CEECAA0F-DAFF-F896-B3CC-E0AC1782199F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816" name="Rectangle 842">
            <a:extLst>
              <a:ext uri="{FF2B5EF4-FFF2-40B4-BE49-F238E27FC236}">
                <a16:creationId xmlns:a16="http://schemas.microsoft.com/office/drawing/2014/main" id="{A66D0EBB-FDDA-43CB-9BAE-934C10AAC58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7" name="Rectangle 843">
            <a:extLst>
              <a:ext uri="{FF2B5EF4-FFF2-40B4-BE49-F238E27FC236}">
                <a16:creationId xmlns:a16="http://schemas.microsoft.com/office/drawing/2014/main" id="{02DD2196-5EA7-7BD7-BA0D-05EC4676B71A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8" name="Rectangle 844">
            <a:extLst>
              <a:ext uri="{FF2B5EF4-FFF2-40B4-BE49-F238E27FC236}">
                <a16:creationId xmlns:a16="http://schemas.microsoft.com/office/drawing/2014/main" id="{23B9391A-1BEA-44DB-1B61-680B56FA2092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9" name="Rectangle 845">
            <a:extLst>
              <a:ext uri="{FF2B5EF4-FFF2-40B4-BE49-F238E27FC236}">
                <a16:creationId xmlns:a16="http://schemas.microsoft.com/office/drawing/2014/main" id="{39CA36BB-2788-FFEF-0C4B-FAC8A006A4A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0" name="Rectangle 846">
            <a:extLst>
              <a:ext uri="{FF2B5EF4-FFF2-40B4-BE49-F238E27FC236}">
                <a16:creationId xmlns:a16="http://schemas.microsoft.com/office/drawing/2014/main" id="{63203500-9D59-5B0C-D32C-343D7731668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1" name="Rectangle 847">
            <a:extLst>
              <a:ext uri="{FF2B5EF4-FFF2-40B4-BE49-F238E27FC236}">
                <a16:creationId xmlns:a16="http://schemas.microsoft.com/office/drawing/2014/main" id="{967CCC25-0918-8891-64A5-6BA4A8B2514A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2" name="Rectangle 848">
            <a:extLst>
              <a:ext uri="{FF2B5EF4-FFF2-40B4-BE49-F238E27FC236}">
                <a16:creationId xmlns:a16="http://schemas.microsoft.com/office/drawing/2014/main" id="{F99C59B3-FB06-9885-3A46-0E59F62E6096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3" name="Rectangle 849">
            <a:extLst>
              <a:ext uri="{FF2B5EF4-FFF2-40B4-BE49-F238E27FC236}">
                <a16:creationId xmlns:a16="http://schemas.microsoft.com/office/drawing/2014/main" id="{1F06C886-9867-1686-C0BE-607602598AF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4" name="Oval 850">
            <a:extLst>
              <a:ext uri="{FF2B5EF4-FFF2-40B4-BE49-F238E27FC236}">
                <a16:creationId xmlns:a16="http://schemas.microsoft.com/office/drawing/2014/main" id="{44EBC169-C6A6-CAE4-68C6-4738BC5F1BF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25" name="Oval 851">
            <a:extLst>
              <a:ext uri="{FF2B5EF4-FFF2-40B4-BE49-F238E27FC236}">
                <a16:creationId xmlns:a16="http://schemas.microsoft.com/office/drawing/2014/main" id="{6D0F503B-0467-F68D-4A97-00056084E6E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26" name="Oval 852">
            <a:extLst>
              <a:ext uri="{FF2B5EF4-FFF2-40B4-BE49-F238E27FC236}">
                <a16:creationId xmlns:a16="http://schemas.microsoft.com/office/drawing/2014/main" id="{A8CFB572-3B88-9F12-17E5-9FF20B34ADA3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27" name="Oval 853">
            <a:extLst>
              <a:ext uri="{FF2B5EF4-FFF2-40B4-BE49-F238E27FC236}">
                <a16:creationId xmlns:a16="http://schemas.microsoft.com/office/drawing/2014/main" id="{E08B1C9E-6383-8680-2516-12D3739F67FB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28" name="AutoShape 854">
            <a:extLst>
              <a:ext uri="{FF2B5EF4-FFF2-40B4-BE49-F238E27FC236}">
                <a16:creationId xmlns:a16="http://schemas.microsoft.com/office/drawing/2014/main" id="{19D107E6-561E-8C53-D3FF-444089394D8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29" name="AutoShape 855">
            <a:extLst>
              <a:ext uri="{FF2B5EF4-FFF2-40B4-BE49-F238E27FC236}">
                <a16:creationId xmlns:a16="http://schemas.microsoft.com/office/drawing/2014/main" id="{B70C8F1F-3EE3-752E-001E-4484C1CE49E1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39" name="Group 856">
          <a:extLst>
            <a:ext uri="{FF2B5EF4-FFF2-40B4-BE49-F238E27FC236}">
              <a16:creationId xmlns:a16="http://schemas.microsoft.com/office/drawing/2014/main" id="{9C9C1590-D5DB-B080-4AEF-3D7C0F098407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08" name="Rectangle 857">
            <a:extLst>
              <a:ext uri="{FF2B5EF4-FFF2-40B4-BE49-F238E27FC236}">
                <a16:creationId xmlns:a16="http://schemas.microsoft.com/office/drawing/2014/main" id="{04239D82-9715-3E87-BDF1-4E64B4C706B9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9" name="Rectangle 858">
            <a:extLst>
              <a:ext uri="{FF2B5EF4-FFF2-40B4-BE49-F238E27FC236}">
                <a16:creationId xmlns:a16="http://schemas.microsoft.com/office/drawing/2014/main" id="{BEEDC605-1A16-2A53-1982-B2F831E7083E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0" name="Rectangle 859">
            <a:extLst>
              <a:ext uri="{FF2B5EF4-FFF2-40B4-BE49-F238E27FC236}">
                <a16:creationId xmlns:a16="http://schemas.microsoft.com/office/drawing/2014/main" id="{CECFAF1E-CE4E-F870-8637-F3899AB2E2B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1" name="Rectangle 860">
            <a:extLst>
              <a:ext uri="{FF2B5EF4-FFF2-40B4-BE49-F238E27FC236}">
                <a16:creationId xmlns:a16="http://schemas.microsoft.com/office/drawing/2014/main" id="{D49B35D1-3B11-7060-41FC-189F81A6D0A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2" name="Rectangle 861">
            <a:extLst>
              <a:ext uri="{FF2B5EF4-FFF2-40B4-BE49-F238E27FC236}">
                <a16:creationId xmlns:a16="http://schemas.microsoft.com/office/drawing/2014/main" id="{2B39EC57-5D73-AF5F-8296-2633E1445B55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13" name="Oval 862">
            <a:extLst>
              <a:ext uri="{FF2B5EF4-FFF2-40B4-BE49-F238E27FC236}">
                <a16:creationId xmlns:a16="http://schemas.microsoft.com/office/drawing/2014/main" id="{5720841D-D257-03C4-D599-E0DFD6343912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14" name="Oval 863">
            <a:extLst>
              <a:ext uri="{FF2B5EF4-FFF2-40B4-BE49-F238E27FC236}">
                <a16:creationId xmlns:a16="http://schemas.microsoft.com/office/drawing/2014/main" id="{7252B9FC-FF09-8DA5-3011-9AE791817DE5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15" name="AutoShape 864">
            <a:extLst>
              <a:ext uri="{FF2B5EF4-FFF2-40B4-BE49-F238E27FC236}">
                <a16:creationId xmlns:a16="http://schemas.microsoft.com/office/drawing/2014/main" id="{BC08B485-C0D0-86C6-BD87-DBB53CDEECE2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40" name="Group 865">
          <a:extLst>
            <a:ext uri="{FF2B5EF4-FFF2-40B4-BE49-F238E27FC236}">
              <a16:creationId xmlns:a16="http://schemas.microsoft.com/office/drawing/2014/main" id="{F14A6C34-2F78-F67A-7857-2395B7330EE5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800" name="Rectangle 866">
            <a:extLst>
              <a:ext uri="{FF2B5EF4-FFF2-40B4-BE49-F238E27FC236}">
                <a16:creationId xmlns:a16="http://schemas.microsoft.com/office/drawing/2014/main" id="{A7461E36-3C2E-6DF9-028A-29D759EDFE81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1" name="Rectangle 867">
            <a:extLst>
              <a:ext uri="{FF2B5EF4-FFF2-40B4-BE49-F238E27FC236}">
                <a16:creationId xmlns:a16="http://schemas.microsoft.com/office/drawing/2014/main" id="{5241502B-A431-E661-312F-F9844B43C0FD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2" name="Rectangle 868">
            <a:extLst>
              <a:ext uri="{FF2B5EF4-FFF2-40B4-BE49-F238E27FC236}">
                <a16:creationId xmlns:a16="http://schemas.microsoft.com/office/drawing/2014/main" id="{D4BA9918-82B3-E726-04B1-DB8A656441E4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3" name="Rectangle 869">
            <a:extLst>
              <a:ext uri="{FF2B5EF4-FFF2-40B4-BE49-F238E27FC236}">
                <a16:creationId xmlns:a16="http://schemas.microsoft.com/office/drawing/2014/main" id="{6E5229D5-4B73-DE06-A8BE-0638AB17302A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4" name="Rectangle 870">
            <a:extLst>
              <a:ext uri="{FF2B5EF4-FFF2-40B4-BE49-F238E27FC236}">
                <a16:creationId xmlns:a16="http://schemas.microsoft.com/office/drawing/2014/main" id="{85B61F1E-6C5C-74DE-BF9C-1E1B0609DC94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805" name="Oval 871">
            <a:extLst>
              <a:ext uri="{FF2B5EF4-FFF2-40B4-BE49-F238E27FC236}">
                <a16:creationId xmlns:a16="http://schemas.microsoft.com/office/drawing/2014/main" id="{A683E2E1-C77D-B28C-A348-009BBDCF8BA5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06" name="Oval 872">
            <a:extLst>
              <a:ext uri="{FF2B5EF4-FFF2-40B4-BE49-F238E27FC236}">
                <a16:creationId xmlns:a16="http://schemas.microsoft.com/office/drawing/2014/main" id="{EA0D15A1-1C8E-6D5F-BA9A-87A8EC59DCE1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807" name="AutoShape 873">
            <a:extLst>
              <a:ext uri="{FF2B5EF4-FFF2-40B4-BE49-F238E27FC236}">
                <a16:creationId xmlns:a16="http://schemas.microsoft.com/office/drawing/2014/main" id="{A71D5A14-2BC3-E4EF-A248-B7F269CC4942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41" name="Group 874">
          <a:extLst>
            <a:ext uri="{FF2B5EF4-FFF2-40B4-BE49-F238E27FC236}">
              <a16:creationId xmlns:a16="http://schemas.microsoft.com/office/drawing/2014/main" id="{8F05552D-3744-721B-EFF6-527B1B165BF4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792" name="Rectangle 875">
            <a:extLst>
              <a:ext uri="{FF2B5EF4-FFF2-40B4-BE49-F238E27FC236}">
                <a16:creationId xmlns:a16="http://schemas.microsoft.com/office/drawing/2014/main" id="{6756988A-9CD6-CBBF-A275-529674A395F5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3" name="Rectangle 876">
            <a:extLst>
              <a:ext uri="{FF2B5EF4-FFF2-40B4-BE49-F238E27FC236}">
                <a16:creationId xmlns:a16="http://schemas.microsoft.com/office/drawing/2014/main" id="{846CE1E4-C68F-593B-A53C-7BA5432A9369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4" name="Rectangle 877">
            <a:extLst>
              <a:ext uri="{FF2B5EF4-FFF2-40B4-BE49-F238E27FC236}">
                <a16:creationId xmlns:a16="http://schemas.microsoft.com/office/drawing/2014/main" id="{4C4A92F5-6241-292C-039F-179C84CC1DD6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5" name="Rectangle 878">
            <a:extLst>
              <a:ext uri="{FF2B5EF4-FFF2-40B4-BE49-F238E27FC236}">
                <a16:creationId xmlns:a16="http://schemas.microsoft.com/office/drawing/2014/main" id="{04B6925E-D777-E258-DABB-B9E563D0EA61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6" name="Rectangle 879">
            <a:extLst>
              <a:ext uri="{FF2B5EF4-FFF2-40B4-BE49-F238E27FC236}">
                <a16:creationId xmlns:a16="http://schemas.microsoft.com/office/drawing/2014/main" id="{1BD59F91-E4AF-50B9-0F1D-4549B2202D0A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97" name="Oval 880">
            <a:extLst>
              <a:ext uri="{FF2B5EF4-FFF2-40B4-BE49-F238E27FC236}">
                <a16:creationId xmlns:a16="http://schemas.microsoft.com/office/drawing/2014/main" id="{9F27F19D-C34A-CA80-F40E-228629F3CD82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98" name="Oval 881">
            <a:extLst>
              <a:ext uri="{FF2B5EF4-FFF2-40B4-BE49-F238E27FC236}">
                <a16:creationId xmlns:a16="http://schemas.microsoft.com/office/drawing/2014/main" id="{41206D64-1E56-CF6A-BBC3-8C84D74CCB73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99" name="AutoShape 882">
            <a:extLst>
              <a:ext uri="{FF2B5EF4-FFF2-40B4-BE49-F238E27FC236}">
                <a16:creationId xmlns:a16="http://schemas.microsoft.com/office/drawing/2014/main" id="{500F6655-51E1-6E2E-4F10-6F6FE8B1FB38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42" name="Group 883">
          <a:extLst>
            <a:ext uri="{FF2B5EF4-FFF2-40B4-BE49-F238E27FC236}">
              <a16:creationId xmlns:a16="http://schemas.microsoft.com/office/drawing/2014/main" id="{D4168466-7D2B-E57E-13C0-0FD09B4C2A75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784" name="Rectangle 884">
            <a:extLst>
              <a:ext uri="{FF2B5EF4-FFF2-40B4-BE49-F238E27FC236}">
                <a16:creationId xmlns:a16="http://schemas.microsoft.com/office/drawing/2014/main" id="{7C8C706E-CBEF-71BB-9FA8-9E7C24027A6B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5" name="Rectangle 885">
            <a:extLst>
              <a:ext uri="{FF2B5EF4-FFF2-40B4-BE49-F238E27FC236}">
                <a16:creationId xmlns:a16="http://schemas.microsoft.com/office/drawing/2014/main" id="{7E0854F7-7D0A-A451-5732-FBE548AE673B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6" name="Rectangle 886">
            <a:extLst>
              <a:ext uri="{FF2B5EF4-FFF2-40B4-BE49-F238E27FC236}">
                <a16:creationId xmlns:a16="http://schemas.microsoft.com/office/drawing/2014/main" id="{6A4D2523-50A0-5D4F-3942-A73F210E2B5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7" name="Rectangle 887">
            <a:extLst>
              <a:ext uri="{FF2B5EF4-FFF2-40B4-BE49-F238E27FC236}">
                <a16:creationId xmlns:a16="http://schemas.microsoft.com/office/drawing/2014/main" id="{AB4805EB-52DE-426E-65F0-78593EBC78DC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8" name="Rectangle 888">
            <a:extLst>
              <a:ext uri="{FF2B5EF4-FFF2-40B4-BE49-F238E27FC236}">
                <a16:creationId xmlns:a16="http://schemas.microsoft.com/office/drawing/2014/main" id="{9BDA13DF-AE29-BDB4-1459-EAFF0C7B84F1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9" name="Oval 889">
            <a:extLst>
              <a:ext uri="{FF2B5EF4-FFF2-40B4-BE49-F238E27FC236}">
                <a16:creationId xmlns:a16="http://schemas.microsoft.com/office/drawing/2014/main" id="{FD06EBBD-E039-AB38-8775-A0A7B0C4114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90" name="Oval 890">
            <a:extLst>
              <a:ext uri="{FF2B5EF4-FFF2-40B4-BE49-F238E27FC236}">
                <a16:creationId xmlns:a16="http://schemas.microsoft.com/office/drawing/2014/main" id="{A25811E0-DC01-38D0-9899-47233372CF36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91" name="AutoShape 891">
            <a:extLst>
              <a:ext uri="{FF2B5EF4-FFF2-40B4-BE49-F238E27FC236}">
                <a16:creationId xmlns:a16="http://schemas.microsoft.com/office/drawing/2014/main" id="{ACB72F0C-F855-7D98-C79E-2A2D3B319AAD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43" name="Group 892">
          <a:extLst>
            <a:ext uri="{FF2B5EF4-FFF2-40B4-BE49-F238E27FC236}">
              <a16:creationId xmlns:a16="http://schemas.microsoft.com/office/drawing/2014/main" id="{DDDBDA76-B29A-9970-59AF-903D9F88B73C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776" name="Rectangle 893">
            <a:extLst>
              <a:ext uri="{FF2B5EF4-FFF2-40B4-BE49-F238E27FC236}">
                <a16:creationId xmlns:a16="http://schemas.microsoft.com/office/drawing/2014/main" id="{84BF15D2-0714-7484-C5B3-E4519D3FD833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7" name="Rectangle 894">
            <a:extLst>
              <a:ext uri="{FF2B5EF4-FFF2-40B4-BE49-F238E27FC236}">
                <a16:creationId xmlns:a16="http://schemas.microsoft.com/office/drawing/2014/main" id="{4065ACF9-1C24-E6A7-9D71-9E2C643B695C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8" name="Rectangle 895">
            <a:extLst>
              <a:ext uri="{FF2B5EF4-FFF2-40B4-BE49-F238E27FC236}">
                <a16:creationId xmlns:a16="http://schemas.microsoft.com/office/drawing/2014/main" id="{D2B7089F-4E00-D7B2-D464-9AB664BFF143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9" name="Rectangle 896">
            <a:extLst>
              <a:ext uri="{FF2B5EF4-FFF2-40B4-BE49-F238E27FC236}">
                <a16:creationId xmlns:a16="http://schemas.microsoft.com/office/drawing/2014/main" id="{CBAC4E1E-06DF-6476-3CBB-F1D0C37A05FF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0" name="Rectangle 897">
            <a:extLst>
              <a:ext uri="{FF2B5EF4-FFF2-40B4-BE49-F238E27FC236}">
                <a16:creationId xmlns:a16="http://schemas.microsoft.com/office/drawing/2014/main" id="{5A3CE7C2-F3AE-1C25-875C-681E5D6B0B7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81" name="Oval 898">
            <a:extLst>
              <a:ext uri="{FF2B5EF4-FFF2-40B4-BE49-F238E27FC236}">
                <a16:creationId xmlns:a16="http://schemas.microsoft.com/office/drawing/2014/main" id="{4260AC08-663A-20F1-BCE0-25C52EF21EB4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82" name="Oval 899">
            <a:extLst>
              <a:ext uri="{FF2B5EF4-FFF2-40B4-BE49-F238E27FC236}">
                <a16:creationId xmlns:a16="http://schemas.microsoft.com/office/drawing/2014/main" id="{4C80B2CC-3C45-4DA6-36F6-8CAC3B14C8A6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83" name="AutoShape 900">
            <a:extLst>
              <a:ext uri="{FF2B5EF4-FFF2-40B4-BE49-F238E27FC236}">
                <a16:creationId xmlns:a16="http://schemas.microsoft.com/office/drawing/2014/main" id="{EBE53C1F-4B3A-4703-2FE9-9B7F809A0BAF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4" name="Group 901">
          <a:extLst>
            <a:ext uri="{FF2B5EF4-FFF2-40B4-BE49-F238E27FC236}">
              <a16:creationId xmlns:a16="http://schemas.microsoft.com/office/drawing/2014/main" id="{7BA64A71-A87B-BAC6-0E34-B8243CF7DEFF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62" name="Rectangle 902">
            <a:extLst>
              <a:ext uri="{FF2B5EF4-FFF2-40B4-BE49-F238E27FC236}">
                <a16:creationId xmlns:a16="http://schemas.microsoft.com/office/drawing/2014/main" id="{6282461E-5FB0-DB96-4680-8C3A742C5C80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3" name="Rectangle 903">
            <a:extLst>
              <a:ext uri="{FF2B5EF4-FFF2-40B4-BE49-F238E27FC236}">
                <a16:creationId xmlns:a16="http://schemas.microsoft.com/office/drawing/2014/main" id="{C5869ED5-C916-052D-8753-A3AAB5E31E1E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4" name="Rectangle 904">
            <a:extLst>
              <a:ext uri="{FF2B5EF4-FFF2-40B4-BE49-F238E27FC236}">
                <a16:creationId xmlns:a16="http://schemas.microsoft.com/office/drawing/2014/main" id="{44C1D39F-345F-582A-9127-32B3AF00B4C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5" name="Rectangle 905">
            <a:extLst>
              <a:ext uri="{FF2B5EF4-FFF2-40B4-BE49-F238E27FC236}">
                <a16:creationId xmlns:a16="http://schemas.microsoft.com/office/drawing/2014/main" id="{4D764BB1-0A50-7E26-5F42-9BC1FBBCD60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6" name="Rectangle 906">
            <a:extLst>
              <a:ext uri="{FF2B5EF4-FFF2-40B4-BE49-F238E27FC236}">
                <a16:creationId xmlns:a16="http://schemas.microsoft.com/office/drawing/2014/main" id="{C9201471-AECD-2D16-6FB2-C7D416CCEF84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7" name="Rectangle 907">
            <a:extLst>
              <a:ext uri="{FF2B5EF4-FFF2-40B4-BE49-F238E27FC236}">
                <a16:creationId xmlns:a16="http://schemas.microsoft.com/office/drawing/2014/main" id="{D87B9C1F-228A-5927-2A1A-45D8BAE6F894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8" name="Rectangle 908">
            <a:extLst>
              <a:ext uri="{FF2B5EF4-FFF2-40B4-BE49-F238E27FC236}">
                <a16:creationId xmlns:a16="http://schemas.microsoft.com/office/drawing/2014/main" id="{4781FAD4-9BF0-4979-5E15-5F1F1089088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9" name="Rectangle 909">
            <a:extLst>
              <a:ext uri="{FF2B5EF4-FFF2-40B4-BE49-F238E27FC236}">
                <a16:creationId xmlns:a16="http://schemas.microsoft.com/office/drawing/2014/main" id="{309829CC-9105-155E-442F-A0B28552A0CF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0" name="Oval 910">
            <a:extLst>
              <a:ext uri="{FF2B5EF4-FFF2-40B4-BE49-F238E27FC236}">
                <a16:creationId xmlns:a16="http://schemas.microsoft.com/office/drawing/2014/main" id="{5F2488D2-D65C-8C97-BFFE-1803F4978A0C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71" name="Oval 911">
            <a:extLst>
              <a:ext uri="{FF2B5EF4-FFF2-40B4-BE49-F238E27FC236}">
                <a16:creationId xmlns:a16="http://schemas.microsoft.com/office/drawing/2014/main" id="{CD443A72-1267-7BD5-6054-67254D6FD3C8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72" name="Oval 912">
            <a:extLst>
              <a:ext uri="{FF2B5EF4-FFF2-40B4-BE49-F238E27FC236}">
                <a16:creationId xmlns:a16="http://schemas.microsoft.com/office/drawing/2014/main" id="{CAFF2331-E344-0CDB-462F-51387F529516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73" name="Oval 913">
            <a:extLst>
              <a:ext uri="{FF2B5EF4-FFF2-40B4-BE49-F238E27FC236}">
                <a16:creationId xmlns:a16="http://schemas.microsoft.com/office/drawing/2014/main" id="{BE43702E-0781-00D1-CC9A-FFF4A8BF6A03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74" name="AutoShape 914">
            <a:extLst>
              <a:ext uri="{FF2B5EF4-FFF2-40B4-BE49-F238E27FC236}">
                <a16:creationId xmlns:a16="http://schemas.microsoft.com/office/drawing/2014/main" id="{AD9DD299-D759-578A-B1F8-71532280DC7F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75" name="AutoShape 915">
            <a:extLst>
              <a:ext uri="{FF2B5EF4-FFF2-40B4-BE49-F238E27FC236}">
                <a16:creationId xmlns:a16="http://schemas.microsoft.com/office/drawing/2014/main" id="{63AA3B32-065C-DFB1-DE73-8C5302FB2E17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5" name="Group 916">
          <a:extLst>
            <a:ext uri="{FF2B5EF4-FFF2-40B4-BE49-F238E27FC236}">
              <a16:creationId xmlns:a16="http://schemas.microsoft.com/office/drawing/2014/main" id="{D281A69F-E23F-6D8C-B822-BA32926D4FF9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48" name="Rectangle 917">
            <a:extLst>
              <a:ext uri="{FF2B5EF4-FFF2-40B4-BE49-F238E27FC236}">
                <a16:creationId xmlns:a16="http://schemas.microsoft.com/office/drawing/2014/main" id="{9FE6C1C8-6A8A-5CA5-05D9-7A54EF74F907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9" name="Rectangle 918">
            <a:extLst>
              <a:ext uri="{FF2B5EF4-FFF2-40B4-BE49-F238E27FC236}">
                <a16:creationId xmlns:a16="http://schemas.microsoft.com/office/drawing/2014/main" id="{7D9EF923-47F2-5BA8-4D6C-902BF6C01C00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0" name="Rectangle 919">
            <a:extLst>
              <a:ext uri="{FF2B5EF4-FFF2-40B4-BE49-F238E27FC236}">
                <a16:creationId xmlns:a16="http://schemas.microsoft.com/office/drawing/2014/main" id="{28710BC3-37E9-5D0A-D5FF-E06DFD2F989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1" name="Rectangle 920">
            <a:extLst>
              <a:ext uri="{FF2B5EF4-FFF2-40B4-BE49-F238E27FC236}">
                <a16:creationId xmlns:a16="http://schemas.microsoft.com/office/drawing/2014/main" id="{581D1A50-3DAE-3936-8F64-84A48A8A9E7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2" name="Rectangle 921">
            <a:extLst>
              <a:ext uri="{FF2B5EF4-FFF2-40B4-BE49-F238E27FC236}">
                <a16:creationId xmlns:a16="http://schemas.microsoft.com/office/drawing/2014/main" id="{B7704D34-2EDA-704E-0E8D-D7130FC0CF92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3" name="Rectangle 922">
            <a:extLst>
              <a:ext uri="{FF2B5EF4-FFF2-40B4-BE49-F238E27FC236}">
                <a16:creationId xmlns:a16="http://schemas.microsoft.com/office/drawing/2014/main" id="{1AC471A9-081A-2202-65EF-711C39AC7E05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4" name="Rectangle 923">
            <a:extLst>
              <a:ext uri="{FF2B5EF4-FFF2-40B4-BE49-F238E27FC236}">
                <a16:creationId xmlns:a16="http://schemas.microsoft.com/office/drawing/2014/main" id="{926CDECF-3A3C-E6DA-44F3-085F715543C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5" name="Rectangle 924">
            <a:extLst>
              <a:ext uri="{FF2B5EF4-FFF2-40B4-BE49-F238E27FC236}">
                <a16:creationId xmlns:a16="http://schemas.microsoft.com/office/drawing/2014/main" id="{4E486BE2-DE71-49AD-0735-1C48BE1C9FED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56" name="Oval 925">
            <a:extLst>
              <a:ext uri="{FF2B5EF4-FFF2-40B4-BE49-F238E27FC236}">
                <a16:creationId xmlns:a16="http://schemas.microsoft.com/office/drawing/2014/main" id="{F867B49E-DAAE-AB7C-DC8C-1F6C2280AC0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57" name="Oval 926">
            <a:extLst>
              <a:ext uri="{FF2B5EF4-FFF2-40B4-BE49-F238E27FC236}">
                <a16:creationId xmlns:a16="http://schemas.microsoft.com/office/drawing/2014/main" id="{CE2A5C87-114A-A6B5-77DA-5D81C51BAE03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58" name="Oval 927">
            <a:extLst>
              <a:ext uri="{FF2B5EF4-FFF2-40B4-BE49-F238E27FC236}">
                <a16:creationId xmlns:a16="http://schemas.microsoft.com/office/drawing/2014/main" id="{1CCB732B-D32F-CCBF-57BE-C5565402C8BA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59" name="Oval 928">
            <a:extLst>
              <a:ext uri="{FF2B5EF4-FFF2-40B4-BE49-F238E27FC236}">
                <a16:creationId xmlns:a16="http://schemas.microsoft.com/office/drawing/2014/main" id="{58DE1361-8323-152E-CB8C-607A26BA8778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60" name="AutoShape 929">
            <a:extLst>
              <a:ext uri="{FF2B5EF4-FFF2-40B4-BE49-F238E27FC236}">
                <a16:creationId xmlns:a16="http://schemas.microsoft.com/office/drawing/2014/main" id="{FFBD62A7-535C-F068-453E-F6F3869B34FB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61" name="AutoShape 930">
            <a:extLst>
              <a:ext uri="{FF2B5EF4-FFF2-40B4-BE49-F238E27FC236}">
                <a16:creationId xmlns:a16="http://schemas.microsoft.com/office/drawing/2014/main" id="{DFAA58D5-DEC5-795C-33DD-B170822529B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6" name="Group 931">
          <a:extLst>
            <a:ext uri="{FF2B5EF4-FFF2-40B4-BE49-F238E27FC236}">
              <a16:creationId xmlns:a16="http://schemas.microsoft.com/office/drawing/2014/main" id="{4F92C065-D75D-048C-89C4-1DBDC0AA7508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34" name="Rectangle 932">
            <a:extLst>
              <a:ext uri="{FF2B5EF4-FFF2-40B4-BE49-F238E27FC236}">
                <a16:creationId xmlns:a16="http://schemas.microsoft.com/office/drawing/2014/main" id="{E3DC15EE-0FF0-5DDC-FA65-1A5CF532818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5" name="Rectangle 933">
            <a:extLst>
              <a:ext uri="{FF2B5EF4-FFF2-40B4-BE49-F238E27FC236}">
                <a16:creationId xmlns:a16="http://schemas.microsoft.com/office/drawing/2014/main" id="{5785C6D3-F6DD-B191-5279-9980349E9779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6" name="Rectangle 934">
            <a:extLst>
              <a:ext uri="{FF2B5EF4-FFF2-40B4-BE49-F238E27FC236}">
                <a16:creationId xmlns:a16="http://schemas.microsoft.com/office/drawing/2014/main" id="{5278774B-9CCF-EF53-127B-C3638EB4C57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7" name="Rectangle 935">
            <a:extLst>
              <a:ext uri="{FF2B5EF4-FFF2-40B4-BE49-F238E27FC236}">
                <a16:creationId xmlns:a16="http://schemas.microsoft.com/office/drawing/2014/main" id="{39C2DEF2-6095-AB83-5F06-1BF2E044912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8" name="Rectangle 936">
            <a:extLst>
              <a:ext uri="{FF2B5EF4-FFF2-40B4-BE49-F238E27FC236}">
                <a16:creationId xmlns:a16="http://schemas.microsoft.com/office/drawing/2014/main" id="{588BC3A2-8944-AA93-FC0F-2085C7CDADB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9" name="Rectangle 937">
            <a:extLst>
              <a:ext uri="{FF2B5EF4-FFF2-40B4-BE49-F238E27FC236}">
                <a16:creationId xmlns:a16="http://schemas.microsoft.com/office/drawing/2014/main" id="{B14C1745-0D5A-CC01-E3CE-ECFC0BCFBBF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0" name="Rectangle 938">
            <a:extLst>
              <a:ext uri="{FF2B5EF4-FFF2-40B4-BE49-F238E27FC236}">
                <a16:creationId xmlns:a16="http://schemas.microsoft.com/office/drawing/2014/main" id="{4A072FE6-6B60-7EA3-1D7D-F0717016968F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1" name="Rectangle 939">
            <a:extLst>
              <a:ext uri="{FF2B5EF4-FFF2-40B4-BE49-F238E27FC236}">
                <a16:creationId xmlns:a16="http://schemas.microsoft.com/office/drawing/2014/main" id="{C5CAA9CA-ECE5-E4A5-0CF6-C47842FAB543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2" name="Oval 940">
            <a:extLst>
              <a:ext uri="{FF2B5EF4-FFF2-40B4-BE49-F238E27FC236}">
                <a16:creationId xmlns:a16="http://schemas.microsoft.com/office/drawing/2014/main" id="{C30787BF-80C9-7E53-530E-4F597DD11989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43" name="Oval 941">
            <a:extLst>
              <a:ext uri="{FF2B5EF4-FFF2-40B4-BE49-F238E27FC236}">
                <a16:creationId xmlns:a16="http://schemas.microsoft.com/office/drawing/2014/main" id="{84ACC3B9-005E-1329-A001-65A794C8625F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44" name="Oval 942">
            <a:extLst>
              <a:ext uri="{FF2B5EF4-FFF2-40B4-BE49-F238E27FC236}">
                <a16:creationId xmlns:a16="http://schemas.microsoft.com/office/drawing/2014/main" id="{5FB1D8B3-C90F-11BA-BAD5-3DFAF38B7CF3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45" name="Oval 943">
            <a:extLst>
              <a:ext uri="{FF2B5EF4-FFF2-40B4-BE49-F238E27FC236}">
                <a16:creationId xmlns:a16="http://schemas.microsoft.com/office/drawing/2014/main" id="{5DA79533-F373-CFF1-ED83-9E6237E9348E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46" name="AutoShape 944">
            <a:extLst>
              <a:ext uri="{FF2B5EF4-FFF2-40B4-BE49-F238E27FC236}">
                <a16:creationId xmlns:a16="http://schemas.microsoft.com/office/drawing/2014/main" id="{76A9CE9A-EDE3-1FE2-4774-875A05DFA10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47" name="AutoShape 945">
            <a:extLst>
              <a:ext uri="{FF2B5EF4-FFF2-40B4-BE49-F238E27FC236}">
                <a16:creationId xmlns:a16="http://schemas.microsoft.com/office/drawing/2014/main" id="{7A8CAA47-313B-C493-C433-441861E1E386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7" name="Group 946">
          <a:extLst>
            <a:ext uri="{FF2B5EF4-FFF2-40B4-BE49-F238E27FC236}">
              <a16:creationId xmlns:a16="http://schemas.microsoft.com/office/drawing/2014/main" id="{A198F236-5F29-CEE3-76EE-88B5FC964BA3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20" name="Rectangle 947">
            <a:extLst>
              <a:ext uri="{FF2B5EF4-FFF2-40B4-BE49-F238E27FC236}">
                <a16:creationId xmlns:a16="http://schemas.microsoft.com/office/drawing/2014/main" id="{CE71B7EE-4512-C16C-A3ED-B64FA91EE44C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1" name="Rectangle 948">
            <a:extLst>
              <a:ext uri="{FF2B5EF4-FFF2-40B4-BE49-F238E27FC236}">
                <a16:creationId xmlns:a16="http://schemas.microsoft.com/office/drawing/2014/main" id="{4015F42C-E6B8-F4EC-9603-74015D0DCDC4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2" name="Rectangle 949">
            <a:extLst>
              <a:ext uri="{FF2B5EF4-FFF2-40B4-BE49-F238E27FC236}">
                <a16:creationId xmlns:a16="http://schemas.microsoft.com/office/drawing/2014/main" id="{5C0029B2-ECE7-25BB-D887-9A28D50F7D7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3" name="Rectangle 950">
            <a:extLst>
              <a:ext uri="{FF2B5EF4-FFF2-40B4-BE49-F238E27FC236}">
                <a16:creationId xmlns:a16="http://schemas.microsoft.com/office/drawing/2014/main" id="{E54BA4B8-F9B1-1156-C340-AB201AE9282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4" name="Rectangle 951">
            <a:extLst>
              <a:ext uri="{FF2B5EF4-FFF2-40B4-BE49-F238E27FC236}">
                <a16:creationId xmlns:a16="http://schemas.microsoft.com/office/drawing/2014/main" id="{A9C903E7-FAEE-7AF2-7C60-AAFF6CF2B61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5" name="Rectangle 952">
            <a:extLst>
              <a:ext uri="{FF2B5EF4-FFF2-40B4-BE49-F238E27FC236}">
                <a16:creationId xmlns:a16="http://schemas.microsoft.com/office/drawing/2014/main" id="{B10A785D-2448-C61C-B40A-ABF71A38C51F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6" name="Rectangle 953">
            <a:extLst>
              <a:ext uri="{FF2B5EF4-FFF2-40B4-BE49-F238E27FC236}">
                <a16:creationId xmlns:a16="http://schemas.microsoft.com/office/drawing/2014/main" id="{AABEF992-0BBD-0D3D-3307-06995CF4CB9D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7" name="Rectangle 954">
            <a:extLst>
              <a:ext uri="{FF2B5EF4-FFF2-40B4-BE49-F238E27FC236}">
                <a16:creationId xmlns:a16="http://schemas.microsoft.com/office/drawing/2014/main" id="{1D58EA01-14E5-0C80-86A0-36C2A39D84E4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28" name="Oval 955">
            <a:extLst>
              <a:ext uri="{FF2B5EF4-FFF2-40B4-BE49-F238E27FC236}">
                <a16:creationId xmlns:a16="http://schemas.microsoft.com/office/drawing/2014/main" id="{AF0008CD-A3E3-5298-38A4-037F7EFAF7F2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29" name="Oval 956">
            <a:extLst>
              <a:ext uri="{FF2B5EF4-FFF2-40B4-BE49-F238E27FC236}">
                <a16:creationId xmlns:a16="http://schemas.microsoft.com/office/drawing/2014/main" id="{7E8BC011-8C22-4844-B2F4-C3BF1FF305E9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30" name="Oval 957">
            <a:extLst>
              <a:ext uri="{FF2B5EF4-FFF2-40B4-BE49-F238E27FC236}">
                <a16:creationId xmlns:a16="http://schemas.microsoft.com/office/drawing/2014/main" id="{D928E629-4A80-24FA-C8D1-86B0AA973677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31" name="Oval 958">
            <a:extLst>
              <a:ext uri="{FF2B5EF4-FFF2-40B4-BE49-F238E27FC236}">
                <a16:creationId xmlns:a16="http://schemas.microsoft.com/office/drawing/2014/main" id="{00B869FF-5E97-5AB9-ECA8-0140B3BEF922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32" name="AutoShape 959">
            <a:extLst>
              <a:ext uri="{FF2B5EF4-FFF2-40B4-BE49-F238E27FC236}">
                <a16:creationId xmlns:a16="http://schemas.microsoft.com/office/drawing/2014/main" id="{02D26F6F-1456-1E79-EEF9-906EA334BF45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33" name="AutoShape 960">
            <a:extLst>
              <a:ext uri="{FF2B5EF4-FFF2-40B4-BE49-F238E27FC236}">
                <a16:creationId xmlns:a16="http://schemas.microsoft.com/office/drawing/2014/main" id="{CD06AD87-D488-D751-D879-6D7DB3F63027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8" name="Group 961">
          <a:extLst>
            <a:ext uri="{FF2B5EF4-FFF2-40B4-BE49-F238E27FC236}">
              <a16:creationId xmlns:a16="http://schemas.microsoft.com/office/drawing/2014/main" id="{46E09D3C-EF89-E608-E131-36BCCD51589F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706" name="Rectangle 962">
            <a:extLst>
              <a:ext uri="{FF2B5EF4-FFF2-40B4-BE49-F238E27FC236}">
                <a16:creationId xmlns:a16="http://schemas.microsoft.com/office/drawing/2014/main" id="{FF5B7564-5E4A-D08A-1382-36B7B3EAD228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7" name="Rectangle 963">
            <a:extLst>
              <a:ext uri="{FF2B5EF4-FFF2-40B4-BE49-F238E27FC236}">
                <a16:creationId xmlns:a16="http://schemas.microsoft.com/office/drawing/2014/main" id="{CF13CE26-680D-038B-E9A8-464B8A98330F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8" name="Rectangle 964">
            <a:extLst>
              <a:ext uri="{FF2B5EF4-FFF2-40B4-BE49-F238E27FC236}">
                <a16:creationId xmlns:a16="http://schemas.microsoft.com/office/drawing/2014/main" id="{3CDDC51A-8249-2568-6704-483C0F2485CF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9" name="Rectangle 965">
            <a:extLst>
              <a:ext uri="{FF2B5EF4-FFF2-40B4-BE49-F238E27FC236}">
                <a16:creationId xmlns:a16="http://schemas.microsoft.com/office/drawing/2014/main" id="{2AECE804-F683-B7B2-4CCB-DC2D0FAD41BE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0" name="Rectangle 966">
            <a:extLst>
              <a:ext uri="{FF2B5EF4-FFF2-40B4-BE49-F238E27FC236}">
                <a16:creationId xmlns:a16="http://schemas.microsoft.com/office/drawing/2014/main" id="{0E983A7F-3130-2000-EB0A-D24E2BEA63F6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1" name="Rectangle 967">
            <a:extLst>
              <a:ext uri="{FF2B5EF4-FFF2-40B4-BE49-F238E27FC236}">
                <a16:creationId xmlns:a16="http://schemas.microsoft.com/office/drawing/2014/main" id="{4969499E-D15B-527B-C83E-F491C2B90FEA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2" name="Rectangle 968">
            <a:extLst>
              <a:ext uri="{FF2B5EF4-FFF2-40B4-BE49-F238E27FC236}">
                <a16:creationId xmlns:a16="http://schemas.microsoft.com/office/drawing/2014/main" id="{B280269A-1825-B669-C5D2-7D699C69A43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3" name="Rectangle 969">
            <a:extLst>
              <a:ext uri="{FF2B5EF4-FFF2-40B4-BE49-F238E27FC236}">
                <a16:creationId xmlns:a16="http://schemas.microsoft.com/office/drawing/2014/main" id="{DA8BEC58-BA49-A573-1D0F-5E70E8D6B525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4" name="Oval 970">
            <a:extLst>
              <a:ext uri="{FF2B5EF4-FFF2-40B4-BE49-F238E27FC236}">
                <a16:creationId xmlns:a16="http://schemas.microsoft.com/office/drawing/2014/main" id="{A22C6B4E-97D3-E899-680B-F4F3A9ADCC96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15" name="Oval 971">
            <a:extLst>
              <a:ext uri="{FF2B5EF4-FFF2-40B4-BE49-F238E27FC236}">
                <a16:creationId xmlns:a16="http://schemas.microsoft.com/office/drawing/2014/main" id="{AF54FC12-3444-76EE-7610-3F79CF396AB6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16" name="Oval 972">
            <a:extLst>
              <a:ext uri="{FF2B5EF4-FFF2-40B4-BE49-F238E27FC236}">
                <a16:creationId xmlns:a16="http://schemas.microsoft.com/office/drawing/2014/main" id="{E520EE4F-65D6-5D86-79BC-F27E130FD15C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17" name="Oval 973">
            <a:extLst>
              <a:ext uri="{FF2B5EF4-FFF2-40B4-BE49-F238E27FC236}">
                <a16:creationId xmlns:a16="http://schemas.microsoft.com/office/drawing/2014/main" id="{167F65D6-701D-1372-63CE-8899102BBDAE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18" name="AutoShape 974">
            <a:extLst>
              <a:ext uri="{FF2B5EF4-FFF2-40B4-BE49-F238E27FC236}">
                <a16:creationId xmlns:a16="http://schemas.microsoft.com/office/drawing/2014/main" id="{94B9CD76-43DF-682C-1E75-ED4596348C4E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19" name="AutoShape 975">
            <a:extLst>
              <a:ext uri="{FF2B5EF4-FFF2-40B4-BE49-F238E27FC236}">
                <a16:creationId xmlns:a16="http://schemas.microsoft.com/office/drawing/2014/main" id="{A214D365-4D53-BF43-B033-7A68BCB3B078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49" name="Group 976">
          <a:extLst>
            <a:ext uri="{FF2B5EF4-FFF2-40B4-BE49-F238E27FC236}">
              <a16:creationId xmlns:a16="http://schemas.microsoft.com/office/drawing/2014/main" id="{0630F3E5-0512-93B3-6410-56497B605AE8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92" name="Rectangle 977">
            <a:extLst>
              <a:ext uri="{FF2B5EF4-FFF2-40B4-BE49-F238E27FC236}">
                <a16:creationId xmlns:a16="http://schemas.microsoft.com/office/drawing/2014/main" id="{ED014502-A309-1BFF-5BD0-BD12D72D790E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3" name="Rectangle 978">
            <a:extLst>
              <a:ext uri="{FF2B5EF4-FFF2-40B4-BE49-F238E27FC236}">
                <a16:creationId xmlns:a16="http://schemas.microsoft.com/office/drawing/2014/main" id="{0BEA7F12-DA79-291F-865B-6024CC4ABF58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4" name="Rectangle 979">
            <a:extLst>
              <a:ext uri="{FF2B5EF4-FFF2-40B4-BE49-F238E27FC236}">
                <a16:creationId xmlns:a16="http://schemas.microsoft.com/office/drawing/2014/main" id="{922BC2D2-195C-7559-C390-BC401737C8C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5" name="Rectangle 980">
            <a:extLst>
              <a:ext uri="{FF2B5EF4-FFF2-40B4-BE49-F238E27FC236}">
                <a16:creationId xmlns:a16="http://schemas.microsoft.com/office/drawing/2014/main" id="{72FB59F2-4122-EE23-0BFF-0845DC3A5CBF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6" name="Rectangle 981">
            <a:extLst>
              <a:ext uri="{FF2B5EF4-FFF2-40B4-BE49-F238E27FC236}">
                <a16:creationId xmlns:a16="http://schemas.microsoft.com/office/drawing/2014/main" id="{94A44C99-7CD1-61CF-DCF2-C354B136D48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7" name="Rectangle 982">
            <a:extLst>
              <a:ext uri="{FF2B5EF4-FFF2-40B4-BE49-F238E27FC236}">
                <a16:creationId xmlns:a16="http://schemas.microsoft.com/office/drawing/2014/main" id="{2EFB138B-90DF-F2C5-AD58-B4DF85CB1F6A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8" name="Rectangle 983">
            <a:extLst>
              <a:ext uri="{FF2B5EF4-FFF2-40B4-BE49-F238E27FC236}">
                <a16:creationId xmlns:a16="http://schemas.microsoft.com/office/drawing/2014/main" id="{8AAE1EBE-0334-B394-9575-F0F1A9A430B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9" name="Rectangle 984">
            <a:extLst>
              <a:ext uri="{FF2B5EF4-FFF2-40B4-BE49-F238E27FC236}">
                <a16:creationId xmlns:a16="http://schemas.microsoft.com/office/drawing/2014/main" id="{56D0BF05-C07C-D931-F04F-627BB3D7A03B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0" name="Oval 985">
            <a:extLst>
              <a:ext uri="{FF2B5EF4-FFF2-40B4-BE49-F238E27FC236}">
                <a16:creationId xmlns:a16="http://schemas.microsoft.com/office/drawing/2014/main" id="{53C48898-CF4A-365F-392B-42826966776E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01" name="Oval 986">
            <a:extLst>
              <a:ext uri="{FF2B5EF4-FFF2-40B4-BE49-F238E27FC236}">
                <a16:creationId xmlns:a16="http://schemas.microsoft.com/office/drawing/2014/main" id="{44A65491-642A-CCCA-2A56-913625DE8F2C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02" name="Oval 987">
            <a:extLst>
              <a:ext uri="{FF2B5EF4-FFF2-40B4-BE49-F238E27FC236}">
                <a16:creationId xmlns:a16="http://schemas.microsoft.com/office/drawing/2014/main" id="{73B7467C-B898-CC6E-3BFA-B9828BAEDE59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03" name="Oval 988">
            <a:extLst>
              <a:ext uri="{FF2B5EF4-FFF2-40B4-BE49-F238E27FC236}">
                <a16:creationId xmlns:a16="http://schemas.microsoft.com/office/drawing/2014/main" id="{DB988D4A-1044-821C-A2F0-6E2A3307C47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704" name="AutoShape 989">
            <a:extLst>
              <a:ext uri="{FF2B5EF4-FFF2-40B4-BE49-F238E27FC236}">
                <a16:creationId xmlns:a16="http://schemas.microsoft.com/office/drawing/2014/main" id="{A25A9EAD-AA8C-3EFF-6667-05AFBA836B0E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705" name="AutoShape 990">
            <a:extLst>
              <a:ext uri="{FF2B5EF4-FFF2-40B4-BE49-F238E27FC236}">
                <a16:creationId xmlns:a16="http://schemas.microsoft.com/office/drawing/2014/main" id="{40D05FE4-A99C-2474-4848-0E5E19242A95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50" name="Group 991">
          <a:extLst>
            <a:ext uri="{FF2B5EF4-FFF2-40B4-BE49-F238E27FC236}">
              <a16:creationId xmlns:a16="http://schemas.microsoft.com/office/drawing/2014/main" id="{1368914B-699B-9E04-7372-8BF7C3FB1C66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78" name="Rectangle 992">
            <a:extLst>
              <a:ext uri="{FF2B5EF4-FFF2-40B4-BE49-F238E27FC236}">
                <a16:creationId xmlns:a16="http://schemas.microsoft.com/office/drawing/2014/main" id="{660CBC47-4022-59EA-76E4-340B01B93AF5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9" name="Rectangle 993">
            <a:extLst>
              <a:ext uri="{FF2B5EF4-FFF2-40B4-BE49-F238E27FC236}">
                <a16:creationId xmlns:a16="http://schemas.microsoft.com/office/drawing/2014/main" id="{653E140C-CDF1-D38D-D830-4603E29F15C1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0" name="Rectangle 994">
            <a:extLst>
              <a:ext uri="{FF2B5EF4-FFF2-40B4-BE49-F238E27FC236}">
                <a16:creationId xmlns:a16="http://schemas.microsoft.com/office/drawing/2014/main" id="{5BDCC504-22A2-A7A2-868E-A28788EA01ED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1" name="Rectangle 995">
            <a:extLst>
              <a:ext uri="{FF2B5EF4-FFF2-40B4-BE49-F238E27FC236}">
                <a16:creationId xmlns:a16="http://schemas.microsoft.com/office/drawing/2014/main" id="{B7C89A18-1C24-38D0-AC4D-279E71ECCEE5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2" name="Rectangle 996">
            <a:extLst>
              <a:ext uri="{FF2B5EF4-FFF2-40B4-BE49-F238E27FC236}">
                <a16:creationId xmlns:a16="http://schemas.microsoft.com/office/drawing/2014/main" id="{78249395-D6C3-E8AA-1D45-8F768ED43FAC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3" name="Rectangle 997">
            <a:extLst>
              <a:ext uri="{FF2B5EF4-FFF2-40B4-BE49-F238E27FC236}">
                <a16:creationId xmlns:a16="http://schemas.microsoft.com/office/drawing/2014/main" id="{708D00E4-7E15-CA54-B7C3-B283572B093B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4" name="Rectangle 998">
            <a:extLst>
              <a:ext uri="{FF2B5EF4-FFF2-40B4-BE49-F238E27FC236}">
                <a16:creationId xmlns:a16="http://schemas.microsoft.com/office/drawing/2014/main" id="{188F59B5-701F-E08E-3137-F6DD3340B6D8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5" name="Rectangle 999">
            <a:extLst>
              <a:ext uri="{FF2B5EF4-FFF2-40B4-BE49-F238E27FC236}">
                <a16:creationId xmlns:a16="http://schemas.microsoft.com/office/drawing/2014/main" id="{7100B8B6-8CF2-7D74-0CD1-E1A8E5DAB41C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86" name="Oval 1000">
            <a:extLst>
              <a:ext uri="{FF2B5EF4-FFF2-40B4-BE49-F238E27FC236}">
                <a16:creationId xmlns:a16="http://schemas.microsoft.com/office/drawing/2014/main" id="{37155202-8B22-4001-D3C7-27AC1C5743B3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87" name="Oval 1001">
            <a:extLst>
              <a:ext uri="{FF2B5EF4-FFF2-40B4-BE49-F238E27FC236}">
                <a16:creationId xmlns:a16="http://schemas.microsoft.com/office/drawing/2014/main" id="{63FA9404-16D4-A9CC-62AA-4C960C791667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88" name="Oval 1002">
            <a:extLst>
              <a:ext uri="{FF2B5EF4-FFF2-40B4-BE49-F238E27FC236}">
                <a16:creationId xmlns:a16="http://schemas.microsoft.com/office/drawing/2014/main" id="{4D4B50A6-5B5A-9459-CCA5-249F21AB5630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89" name="Oval 1003">
            <a:extLst>
              <a:ext uri="{FF2B5EF4-FFF2-40B4-BE49-F238E27FC236}">
                <a16:creationId xmlns:a16="http://schemas.microsoft.com/office/drawing/2014/main" id="{47D66427-8997-FA29-6759-34940029ACEE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90" name="AutoShape 1004">
            <a:extLst>
              <a:ext uri="{FF2B5EF4-FFF2-40B4-BE49-F238E27FC236}">
                <a16:creationId xmlns:a16="http://schemas.microsoft.com/office/drawing/2014/main" id="{8FF73313-1965-47AC-F8D5-EC1980749590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91" name="AutoShape 1005">
            <a:extLst>
              <a:ext uri="{FF2B5EF4-FFF2-40B4-BE49-F238E27FC236}">
                <a16:creationId xmlns:a16="http://schemas.microsoft.com/office/drawing/2014/main" id="{A93D98D5-C2C0-5840-9A6B-0638A939824C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51" name="Group 1006">
          <a:extLst>
            <a:ext uri="{FF2B5EF4-FFF2-40B4-BE49-F238E27FC236}">
              <a16:creationId xmlns:a16="http://schemas.microsoft.com/office/drawing/2014/main" id="{0846017D-2720-348F-798A-A57CF3636A74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64" name="Rectangle 1007">
            <a:extLst>
              <a:ext uri="{FF2B5EF4-FFF2-40B4-BE49-F238E27FC236}">
                <a16:creationId xmlns:a16="http://schemas.microsoft.com/office/drawing/2014/main" id="{E3A2F9A8-9187-2F22-C99B-AED6D6F2213A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5" name="Rectangle 1008">
            <a:extLst>
              <a:ext uri="{FF2B5EF4-FFF2-40B4-BE49-F238E27FC236}">
                <a16:creationId xmlns:a16="http://schemas.microsoft.com/office/drawing/2014/main" id="{5E50D3E9-F3E3-64BA-B944-B5E09415300F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6" name="Rectangle 1009">
            <a:extLst>
              <a:ext uri="{FF2B5EF4-FFF2-40B4-BE49-F238E27FC236}">
                <a16:creationId xmlns:a16="http://schemas.microsoft.com/office/drawing/2014/main" id="{8A7D09A4-8E32-98A3-FE4F-E4F1B8CBFE55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7" name="Rectangle 1010">
            <a:extLst>
              <a:ext uri="{FF2B5EF4-FFF2-40B4-BE49-F238E27FC236}">
                <a16:creationId xmlns:a16="http://schemas.microsoft.com/office/drawing/2014/main" id="{EA386AC3-E291-39A6-7245-3E69EE2B46C6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8" name="Rectangle 1011">
            <a:extLst>
              <a:ext uri="{FF2B5EF4-FFF2-40B4-BE49-F238E27FC236}">
                <a16:creationId xmlns:a16="http://schemas.microsoft.com/office/drawing/2014/main" id="{FC89905B-3CBF-EF86-4133-1B098F1BDAC1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9" name="Rectangle 1012">
            <a:extLst>
              <a:ext uri="{FF2B5EF4-FFF2-40B4-BE49-F238E27FC236}">
                <a16:creationId xmlns:a16="http://schemas.microsoft.com/office/drawing/2014/main" id="{F69FABED-60AD-98DB-546D-ACD292E4DA79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0" name="Rectangle 1013">
            <a:extLst>
              <a:ext uri="{FF2B5EF4-FFF2-40B4-BE49-F238E27FC236}">
                <a16:creationId xmlns:a16="http://schemas.microsoft.com/office/drawing/2014/main" id="{8260CACC-6C81-4DF9-1AC9-7EC08F72EE1E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1" name="Rectangle 1014">
            <a:extLst>
              <a:ext uri="{FF2B5EF4-FFF2-40B4-BE49-F238E27FC236}">
                <a16:creationId xmlns:a16="http://schemas.microsoft.com/office/drawing/2014/main" id="{2FF7AEAD-7481-6B09-4042-BA9412C95BBD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2" name="Oval 1015">
            <a:extLst>
              <a:ext uri="{FF2B5EF4-FFF2-40B4-BE49-F238E27FC236}">
                <a16:creationId xmlns:a16="http://schemas.microsoft.com/office/drawing/2014/main" id="{699B70E5-C421-B448-984F-57158E188D36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73" name="Oval 1016">
            <a:extLst>
              <a:ext uri="{FF2B5EF4-FFF2-40B4-BE49-F238E27FC236}">
                <a16:creationId xmlns:a16="http://schemas.microsoft.com/office/drawing/2014/main" id="{ABD68DFD-9BB1-9E8C-4E04-897C8DC925F0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74" name="Oval 1017">
            <a:extLst>
              <a:ext uri="{FF2B5EF4-FFF2-40B4-BE49-F238E27FC236}">
                <a16:creationId xmlns:a16="http://schemas.microsoft.com/office/drawing/2014/main" id="{86A31FEF-E965-9A80-C8A7-990B0D73A0E5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75" name="Oval 1018">
            <a:extLst>
              <a:ext uri="{FF2B5EF4-FFF2-40B4-BE49-F238E27FC236}">
                <a16:creationId xmlns:a16="http://schemas.microsoft.com/office/drawing/2014/main" id="{AA114093-67AD-75CA-AF74-ED8A0AE04D78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76" name="AutoShape 1019">
            <a:extLst>
              <a:ext uri="{FF2B5EF4-FFF2-40B4-BE49-F238E27FC236}">
                <a16:creationId xmlns:a16="http://schemas.microsoft.com/office/drawing/2014/main" id="{ACD6B75E-8A62-0FE0-3C8F-EFFA1B91931D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77" name="AutoShape 1020">
            <a:extLst>
              <a:ext uri="{FF2B5EF4-FFF2-40B4-BE49-F238E27FC236}">
                <a16:creationId xmlns:a16="http://schemas.microsoft.com/office/drawing/2014/main" id="{6364F164-DBE0-F82E-B660-BAF4C1A5938B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52" name="Group 1021">
          <a:extLst>
            <a:ext uri="{FF2B5EF4-FFF2-40B4-BE49-F238E27FC236}">
              <a16:creationId xmlns:a16="http://schemas.microsoft.com/office/drawing/2014/main" id="{D0CFD8B3-A7D2-7B40-F5C0-BEC8002D4E88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50" name="Rectangle 1022">
            <a:extLst>
              <a:ext uri="{FF2B5EF4-FFF2-40B4-BE49-F238E27FC236}">
                <a16:creationId xmlns:a16="http://schemas.microsoft.com/office/drawing/2014/main" id="{3216F9FD-01BA-BC38-80B2-20877BFBFA96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1" name="Rectangle 1023">
            <a:extLst>
              <a:ext uri="{FF2B5EF4-FFF2-40B4-BE49-F238E27FC236}">
                <a16:creationId xmlns:a16="http://schemas.microsoft.com/office/drawing/2014/main" id="{9389BB75-43F3-584C-4A90-02A2A36D1575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2" name="Rectangle 1024">
            <a:extLst>
              <a:ext uri="{FF2B5EF4-FFF2-40B4-BE49-F238E27FC236}">
                <a16:creationId xmlns:a16="http://schemas.microsoft.com/office/drawing/2014/main" id="{D23C394E-2962-C5D6-A90D-BD3D38FEA6F2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3" name="Rectangle 1025">
            <a:extLst>
              <a:ext uri="{FF2B5EF4-FFF2-40B4-BE49-F238E27FC236}">
                <a16:creationId xmlns:a16="http://schemas.microsoft.com/office/drawing/2014/main" id="{7C7A9F84-7D63-5A22-D132-13D39F7C0EE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4" name="Rectangle 1026">
            <a:extLst>
              <a:ext uri="{FF2B5EF4-FFF2-40B4-BE49-F238E27FC236}">
                <a16:creationId xmlns:a16="http://schemas.microsoft.com/office/drawing/2014/main" id="{B040A885-135A-3660-24F9-D22B8775C62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5" name="Rectangle 1027">
            <a:extLst>
              <a:ext uri="{FF2B5EF4-FFF2-40B4-BE49-F238E27FC236}">
                <a16:creationId xmlns:a16="http://schemas.microsoft.com/office/drawing/2014/main" id="{5E4D54D9-743B-408D-9899-1000380C8698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6" name="Rectangle 1028">
            <a:extLst>
              <a:ext uri="{FF2B5EF4-FFF2-40B4-BE49-F238E27FC236}">
                <a16:creationId xmlns:a16="http://schemas.microsoft.com/office/drawing/2014/main" id="{74CBEE9B-E5BC-12CB-1D5A-C3F8068A8A2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7" name="Rectangle 1029">
            <a:extLst>
              <a:ext uri="{FF2B5EF4-FFF2-40B4-BE49-F238E27FC236}">
                <a16:creationId xmlns:a16="http://schemas.microsoft.com/office/drawing/2014/main" id="{1BDBD58D-2E5B-FA11-F016-4880991ED6D9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58" name="Oval 1030">
            <a:extLst>
              <a:ext uri="{FF2B5EF4-FFF2-40B4-BE49-F238E27FC236}">
                <a16:creationId xmlns:a16="http://schemas.microsoft.com/office/drawing/2014/main" id="{721A39CD-7FEC-45F9-1632-FB9C85ABFF90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59" name="Oval 1031">
            <a:extLst>
              <a:ext uri="{FF2B5EF4-FFF2-40B4-BE49-F238E27FC236}">
                <a16:creationId xmlns:a16="http://schemas.microsoft.com/office/drawing/2014/main" id="{A0B86548-D9FF-A353-9617-4319EC5EF0B1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60" name="Oval 1032">
            <a:extLst>
              <a:ext uri="{FF2B5EF4-FFF2-40B4-BE49-F238E27FC236}">
                <a16:creationId xmlns:a16="http://schemas.microsoft.com/office/drawing/2014/main" id="{2F339294-6C93-B4A3-5BC2-6E4EAC944AAB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61" name="Oval 1033">
            <a:extLst>
              <a:ext uri="{FF2B5EF4-FFF2-40B4-BE49-F238E27FC236}">
                <a16:creationId xmlns:a16="http://schemas.microsoft.com/office/drawing/2014/main" id="{BAE57B7B-2808-3333-DD4F-BD79ADB606DD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62" name="AutoShape 1034">
            <a:extLst>
              <a:ext uri="{FF2B5EF4-FFF2-40B4-BE49-F238E27FC236}">
                <a16:creationId xmlns:a16="http://schemas.microsoft.com/office/drawing/2014/main" id="{23E0369D-4AF9-AB9A-185A-EE2F6E9526C4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63" name="AutoShape 1035">
            <a:extLst>
              <a:ext uri="{FF2B5EF4-FFF2-40B4-BE49-F238E27FC236}">
                <a16:creationId xmlns:a16="http://schemas.microsoft.com/office/drawing/2014/main" id="{ABA46FA4-2289-CB1B-1CD5-CF80071FB7C3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68580</xdr:rowOff>
    </xdr:from>
    <xdr:to>
      <xdr:col>7</xdr:col>
      <xdr:colOff>0</xdr:colOff>
      <xdr:row>2</xdr:row>
      <xdr:rowOff>441960</xdr:rowOff>
    </xdr:to>
    <xdr:grpSp>
      <xdr:nvGrpSpPr>
        <xdr:cNvPr id="530553" name="Group 1036">
          <a:extLst>
            <a:ext uri="{FF2B5EF4-FFF2-40B4-BE49-F238E27FC236}">
              <a16:creationId xmlns:a16="http://schemas.microsoft.com/office/drawing/2014/main" id="{B70161F0-EC15-4FD1-E04F-A2A9AFF3424B}"/>
            </a:ext>
          </a:extLst>
        </xdr:cNvPr>
        <xdr:cNvGrpSpPr>
          <a:grpSpLocks/>
        </xdr:cNvGrpSpPr>
      </xdr:nvGrpSpPr>
      <xdr:grpSpPr bwMode="auto">
        <a:xfrm>
          <a:off x="5524500" y="1165860"/>
          <a:ext cx="0" cy="373380"/>
          <a:chOff x="624" y="37"/>
          <a:chExt cx="552" cy="248"/>
        </a:xfrm>
      </xdr:grpSpPr>
      <xdr:sp macro="" textlink="">
        <xdr:nvSpPr>
          <xdr:cNvPr id="530636" name="Rectangle 1037">
            <a:extLst>
              <a:ext uri="{FF2B5EF4-FFF2-40B4-BE49-F238E27FC236}">
                <a16:creationId xmlns:a16="http://schemas.microsoft.com/office/drawing/2014/main" id="{5208C426-B543-D917-2C89-B82C087C0B86}"/>
              </a:ext>
            </a:extLst>
          </xdr:cNvPr>
          <xdr:cNvSpPr>
            <a:spLocks noChangeArrowheads="1"/>
          </xdr:cNvSpPr>
        </xdr:nvSpPr>
        <xdr:spPr bwMode="auto">
          <a:xfrm>
            <a:off x="763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7" name="Rectangle 1038">
            <a:extLst>
              <a:ext uri="{FF2B5EF4-FFF2-40B4-BE49-F238E27FC236}">
                <a16:creationId xmlns:a16="http://schemas.microsoft.com/office/drawing/2014/main" id="{75899B7B-5BC6-8A07-3AB2-DD440E75DFD4}"/>
              </a:ext>
            </a:extLst>
          </xdr:cNvPr>
          <xdr:cNvSpPr>
            <a:spLocks noChangeArrowheads="1"/>
          </xdr:cNvSpPr>
        </xdr:nvSpPr>
        <xdr:spPr bwMode="auto">
          <a:xfrm>
            <a:off x="882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8" name="Rectangle 1039">
            <a:extLst>
              <a:ext uri="{FF2B5EF4-FFF2-40B4-BE49-F238E27FC236}">
                <a16:creationId xmlns:a16="http://schemas.microsoft.com/office/drawing/2014/main" id="{70BD96E0-F96F-690F-0394-DDBF53DE94D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1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9" name="Rectangle 1040">
            <a:extLst>
              <a:ext uri="{FF2B5EF4-FFF2-40B4-BE49-F238E27FC236}">
                <a16:creationId xmlns:a16="http://schemas.microsoft.com/office/drawing/2014/main" id="{69392BD9-FC47-A8FC-ECCD-625BA0B823A3}"/>
              </a:ext>
            </a:extLst>
          </xdr:cNvPr>
          <xdr:cNvSpPr>
            <a:spLocks noChangeArrowheads="1"/>
          </xdr:cNvSpPr>
        </xdr:nvSpPr>
        <xdr:spPr bwMode="auto">
          <a:xfrm flipH="1">
            <a:off x="908" y="271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0" name="Rectangle 1041">
            <a:extLst>
              <a:ext uri="{FF2B5EF4-FFF2-40B4-BE49-F238E27FC236}">
                <a16:creationId xmlns:a16="http://schemas.microsoft.com/office/drawing/2014/main" id="{9FFC96B8-6E9F-46E4-1574-B2A89B361293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1" name="Rectangle 1042">
            <a:extLst>
              <a:ext uri="{FF2B5EF4-FFF2-40B4-BE49-F238E27FC236}">
                <a16:creationId xmlns:a16="http://schemas.microsoft.com/office/drawing/2014/main" id="{ACD2ABE4-E3C6-55CC-4E89-F48AC2A47371}"/>
              </a:ext>
            </a:extLst>
          </xdr:cNvPr>
          <xdr:cNvSpPr>
            <a:spLocks noChangeArrowheads="1"/>
          </xdr:cNvSpPr>
        </xdr:nvSpPr>
        <xdr:spPr bwMode="auto">
          <a:xfrm>
            <a:off x="1040" y="37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2" name="Rectangle 1043">
            <a:extLst>
              <a:ext uri="{FF2B5EF4-FFF2-40B4-BE49-F238E27FC236}">
                <a16:creationId xmlns:a16="http://schemas.microsoft.com/office/drawing/2014/main" id="{00958B0E-5327-8E7B-4CC5-0EA3B0207EE9}"/>
              </a:ext>
            </a:extLst>
          </xdr:cNvPr>
          <xdr:cNvSpPr>
            <a:spLocks noChangeArrowheads="1"/>
          </xdr:cNvSpPr>
        </xdr:nvSpPr>
        <xdr:spPr bwMode="auto">
          <a:xfrm>
            <a:off x="624" y="37"/>
            <a:ext cx="552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3" name="Rectangle 1044">
            <a:extLst>
              <a:ext uri="{FF2B5EF4-FFF2-40B4-BE49-F238E27FC236}">
                <a16:creationId xmlns:a16="http://schemas.microsoft.com/office/drawing/2014/main" id="{2D859A91-A521-478C-5B08-ABC9BBA4B8E1}"/>
              </a:ext>
            </a:extLst>
          </xdr:cNvPr>
          <xdr:cNvSpPr>
            <a:spLocks noChangeArrowheads="1"/>
          </xdr:cNvSpPr>
        </xdr:nvSpPr>
        <xdr:spPr bwMode="auto">
          <a:xfrm>
            <a:off x="624" y="281"/>
            <a:ext cx="552" cy="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4" name="Oval 1045">
            <a:extLst>
              <a:ext uri="{FF2B5EF4-FFF2-40B4-BE49-F238E27FC236}">
                <a16:creationId xmlns:a16="http://schemas.microsoft.com/office/drawing/2014/main" id="{CCE6C6AD-AD2C-DF25-F832-F72A58302A4A}"/>
              </a:ext>
            </a:extLst>
          </xdr:cNvPr>
          <xdr:cNvSpPr>
            <a:spLocks noChangeArrowheads="1"/>
          </xdr:cNvSpPr>
        </xdr:nvSpPr>
        <xdr:spPr bwMode="auto">
          <a:xfrm>
            <a:off x="924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45" name="Oval 1046">
            <a:extLst>
              <a:ext uri="{FF2B5EF4-FFF2-40B4-BE49-F238E27FC236}">
                <a16:creationId xmlns:a16="http://schemas.microsoft.com/office/drawing/2014/main" id="{8EAD291D-071B-E89A-1C3D-2C8D4CF5D975}"/>
              </a:ext>
            </a:extLst>
          </xdr:cNvPr>
          <xdr:cNvSpPr>
            <a:spLocks noChangeArrowheads="1"/>
          </xdr:cNvSpPr>
        </xdr:nvSpPr>
        <xdr:spPr bwMode="auto">
          <a:xfrm>
            <a:off x="869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46" name="Oval 1047">
            <a:extLst>
              <a:ext uri="{FF2B5EF4-FFF2-40B4-BE49-F238E27FC236}">
                <a16:creationId xmlns:a16="http://schemas.microsoft.com/office/drawing/2014/main" id="{11E5B9D2-6CEF-352A-149C-EE031A7057DD}"/>
              </a:ext>
            </a:extLst>
          </xdr:cNvPr>
          <xdr:cNvSpPr>
            <a:spLocks noChangeArrowheads="1"/>
          </xdr:cNvSpPr>
        </xdr:nvSpPr>
        <xdr:spPr bwMode="auto">
          <a:xfrm>
            <a:off x="785" y="41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47" name="Oval 1048">
            <a:extLst>
              <a:ext uri="{FF2B5EF4-FFF2-40B4-BE49-F238E27FC236}">
                <a16:creationId xmlns:a16="http://schemas.microsoft.com/office/drawing/2014/main" id="{A3226890-B03D-E399-57C6-9362B7774E02}"/>
              </a:ext>
            </a:extLst>
          </xdr:cNvPr>
          <xdr:cNvSpPr>
            <a:spLocks noChangeArrowheads="1"/>
          </xdr:cNvSpPr>
        </xdr:nvSpPr>
        <xdr:spPr bwMode="auto">
          <a:xfrm>
            <a:off x="1006" y="42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48" name="AutoShape 1049">
            <a:extLst>
              <a:ext uri="{FF2B5EF4-FFF2-40B4-BE49-F238E27FC236}">
                <a16:creationId xmlns:a16="http://schemas.microsoft.com/office/drawing/2014/main" id="{B4CFC216-DB10-B570-4509-4A9360CB008A}"/>
              </a:ext>
            </a:extLst>
          </xdr:cNvPr>
          <xdr:cNvSpPr>
            <a:spLocks noChangeArrowheads="1"/>
          </xdr:cNvSpPr>
        </xdr:nvSpPr>
        <xdr:spPr bwMode="auto">
          <a:xfrm>
            <a:off x="811" y="153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49" name="AutoShape 1050">
            <a:extLst>
              <a:ext uri="{FF2B5EF4-FFF2-40B4-BE49-F238E27FC236}">
                <a16:creationId xmlns:a16="http://schemas.microsoft.com/office/drawing/2014/main" id="{1DC2569A-4E76-5C91-089E-06D560E97E70}"/>
              </a:ext>
            </a:extLst>
          </xdr:cNvPr>
          <xdr:cNvSpPr>
            <a:spLocks noChangeArrowheads="1"/>
          </xdr:cNvSpPr>
        </xdr:nvSpPr>
        <xdr:spPr bwMode="auto">
          <a:xfrm>
            <a:off x="919" y="153"/>
            <a:ext cx="78" cy="25"/>
          </a:xfrm>
          <a:prstGeom prst="rightArrow">
            <a:avLst>
              <a:gd name="adj1" fmla="val 50000"/>
              <a:gd name="adj2" fmla="val 78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54" name="Group 1051">
          <a:extLst>
            <a:ext uri="{FF2B5EF4-FFF2-40B4-BE49-F238E27FC236}">
              <a16:creationId xmlns:a16="http://schemas.microsoft.com/office/drawing/2014/main" id="{36BA41E0-1D7A-7A2E-96BE-EDD1D213572C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628" name="Rectangle 1052">
            <a:extLst>
              <a:ext uri="{FF2B5EF4-FFF2-40B4-BE49-F238E27FC236}">
                <a16:creationId xmlns:a16="http://schemas.microsoft.com/office/drawing/2014/main" id="{6A3A8313-5A96-E527-7CC1-008FEE91CF9D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9" name="Rectangle 1053">
            <a:extLst>
              <a:ext uri="{FF2B5EF4-FFF2-40B4-BE49-F238E27FC236}">
                <a16:creationId xmlns:a16="http://schemas.microsoft.com/office/drawing/2014/main" id="{51394896-2A8A-029E-E0A2-B72EA6CBF815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0" name="Rectangle 1054">
            <a:extLst>
              <a:ext uri="{FF2B5EF4-FFF2-40B4-BE49-F238E27FC236}">
                <a16:creationId xmlns:a16="http://schemas.microsoft.com/office/drawing/2014/main" id="{10638E1D-2D1C-043B-E278-BA88ED31035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1" name="Rectangle 1055">
            <a:extLst>
              <a:ext uri="{FF2B5EF4-FFF2-40B4-BE49-F238E27FC236}">
                <a16:creationId xmlns:a16="http://schemas.microsoft.com/office/drawing/2014/main" id="{7ACE5425-2AB2-9E88-2BFF-B4D361CE14FA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2" name="Rectangle 1056">
            <a:extLst>
              <a:ext uri="{FF2B5EF4-FFF2-40B4-BE49-F238E27FC236}">
                <a16:creationId xmlns:a16="http://schemas.microsoft.com/office/drawing/2014/main" id="{896E76B1-1539-D1A7-AC1C-F1F88B60125E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33" name="Oval 1057">
            <a:extLst>
              <a:ext uri="{FF2B5EF4-FFF2-40B4-BE49-F238E27FC236}">
                <a16:creationId xmlns:a16="http://schemas.microsoft.com/office/drawing/2014/main" id="{C9FDEBA9-EAE2-01B2-F9A3-3B3F5F42642D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34" name="Oval 1058">
            <a:extLst>
              <a:ext uri="{FF2B5EF4-FFF2-40B4-BE49-F238E27FC236}">
                <a16:creationId xmlns:a16="http://schemas.microsoft.com/office/drawing/2014/main" id="{6496151D-FA84-6FB3-AEB5-50C500CA0E41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35" name="AutoShape 1059">
            <a:extLst>
              <a:ext uri="{FF2B5EF4-FFF2-40B4-BE49-F238E27FC236}">
                <a16:creationId xmlns:a16="http://schemas.microsoft.com/office/drawing/2014/main" id="{6FC7B3CE-3E24-FF93-0781-FB62F00DB823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55" name="Group 1060">
          <a:extLst>
            <a:ext uri="{FF2B5EF4-FFF2-40B4-BE49-F238E27FC236}">
              <a16:creationId xmlns:a16="http://schemas.microsoft.com/office/drawing/2014/main" id="{BCB605F0-D658-F056-D714-8E3F3A0EBB82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620" name="Rectangle 1061">
            <a:extLst>
              <a:ext uri="{FF2B5EF4-FFF2-40B4-BE49-F238E27FC236}">
                <a16:creationId xmlns:a16="http://schemas.microsoft.com/office/drawing/2014/main" id="{543D4B81-8353-BBCA-B35A-2C106AABE87F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1" name="Rectangle 1062">
            <a:extLst>
              <a:ext uri="{FF2B5EF4-FFF2-40B4-BE49-F238E27FC236}">
                <a16:creationId xmlns:a16="http://schemas.microsoft.com/office/drawing/2014/main" id="{6AABB768-B35B-9379-30F1-3C3FF00D2790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2" name="Rectangle 1063">
            <a:extLst>
              <a:ext uri="{FF2B5EF4-FFF2-40B4-BE49-F238E27FC236}">
                <a16:creationId xmlns:a16="http://schemas.microsoft.com/office/drawing/2014/main" id="{CE409D16-2BC4-A26A-85F9-F675F7AE5C0D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3" name="Rectangle 1064">
            <a:extLst>
              <a:ext uri="{FF2B5EF4-FFF2-40B4-BE49-F238E27FC236}">
                <a16:creationId xmlns:a16="http://schemas.microsoft.com/office/drawing/2014/main" id="{1E0D62B1-AA8C-06FC-E578-09D0DBCAA5A7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4" name="Rectangle 1065">
            <a:extLst>
              <a:ext uri="{FF2B5EF4-FFF2-40B4-BE49-F238E27FC236}">
                <a16:creationId xmlns:a16="http://schemas.microsoft.com/office/drawing/2014/main" id="{23572339-BB3B-4CB5-97EE-E7C1C60CA782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25" name="Oval 1066">
            <a:extLst>
              <a:ext uri="{FF2B5EF4-FFF2-40B4-BE49-F238E27FC236}">
                <a16:creationId xmlns:a16="http://schemas.microsoft.com/office/drawing/2014/main" id="{5575FF1F-26C8-CE4B-F488-2A8AE3482B73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26" name="Oval 1067">
            <a:extLst>
              <a:ext uri="{FF2B5EF4-FFF2-40B4-BE49-F238E27FC236}">
                <a16:creationId xmlns:a16="http://schemas.microsoft.com/office/drawing/2014/main" id="{832E9881-E5C7-96C7-BA31-69556EB1A643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27" name="AutoShape 1068">
            <a:extLst>
              <a:ext uri="{FF2B5EF4-FFF2-40B4-BE49-F238E27FC236}">
                <a16:creationId xmlns:a16="http://schemas.microsoft.com/office/drawing/2014/main" id="{087B1AAD-6598-11CA-4408-1DF4D7CDB479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0</xdr:colOff>
      <xdr:row>2</xdr:row>
      <xdr:rowOff>45720</xdr:rowOff>
    </xdr:from>
    <xdr:to>
      <xdr:col>7</xdr:col>
      <xdr:colOff>0</xdr:colOff>
      <xdr:row>2</xdr:row>
      <xdr:rowOff>426720</xdr:rowOff>
    </xdr:to>
    <xdr:grpSp>
      <xdr:nvGrpSpPr>
        <xdr:cNvPr id="530556" name="Group 1069">
          <a:extLst>
            <a:ext uri="{FF2B5EF4-FFF2-40B4-BE49-F238E27FC236}">
              <a16:creationId xmlns:a16="http://schemas.microsoft.com/office/drawing/2014/main" id="{892A67A4-E83A-B229-F292-66138B5A47AF}"/>
            </a:ext>
          </a:extLst>
        </xdr:cNvPr>
        <xdr:cNvGrpSpPr>
          <a:grpSpLocks/>
        </xdr:cNvGrpSpPr>
      </xdr:nvGrpSpPr>
      <xdr:grpSpPr bwMode="auto">
        <a:xfrm>
          <a:off x="5524500" y="1143000"/>
          <a:ext cx="0" cy="381000"/>
          <a:chOff x="675" y="362"/>
          <a:chExt cx="278" cy="249"/>
        </a:xfrm>
      </xdr:grpSpPr>
      <xdr:sp macro="" textlink="">
        <xdr:nvSpPr>
          <xdr:cNvPr id="530612" name="Rectangle 1070">
            <a:extLst>
              <a:ext uri="{FF2B5EF4-FFF2-40B4-BE49-F238E27FC236}">
                <a16:creationId xmlns:a16="http://schemas.microsoft.com/office/drawing/2014/main" id="{E8D454C3-1B2F-766D-A962-C7AEBC44D3D1}"/>
              </a:ext>
            </a:extLst>
          </xdr:cNvPr>
          <xdr:cNvSpPr>
            <a:spLocks noChangeArrowheads="1"/>
          </xdr:cNvSpPr>
        </xdr:nvSpPr>
        <xdr:spPr bwMode="auto">
          <a:xfrm>
            <a:off x="813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3" name="Rectangle 1071">
            <a:extLst>
              <a:ext uri="{FF2B5EF4-FFF2-40B4-BE49-F238E27FC236}">
                <a16:creationId xmlns:a16="http://schemas.microsoft.com/office/drawing/2014/main" id="{B60871B4-8DA6-BA2E-A4D6-86F5A3CAE008}"/>
              </a:ext>
            </a:extLst>
          </xdr:cNvPr>
          <xdr:cNvSpPr>
            <a:spLocks noChangeArrowheads="1"/>
          </xdr:cNvSpPr>
        </xdr:nvSpPr>
        <xdr:spPr bwMode="auto">
          <a:xfrm>
            <a:off x="933" y="596"/>
            <a:ext cx="10" cy="8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4" name="Rectangle 1072">
            <a:extLst>
              <a:ext uri="{FF2B5EF4-FFF2-40B4-BE49-F238E27FC236}">
                <a16:creationId xmlns:a16="http://schemas.microsoft.com/office/drawing/2014/main" id="{F6C853C1-A842-0248-B245-215651C0E87B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136" cy="24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5" name="Rectangle 1073">
            <a:extLst>
              <a:ext uri="{FF2B5EF4-FFF2-40B4-BE49-F238E27FC236}">
                <a16:creationId xmlns:a16="http://schemas.microsoft.com/office/drawing/2014/main" id="{592E4CA2-C7BD-C7A2-006C-3A1CBC49AC79}"/>
              </a:ext>
            </a:extLst>
          </xdr:cNvPr>
          <xdr:cNvSpPr>
            <a:spLocks noChangeArrowheads="1"/>
          </xdr:cNvSpPr>
        </xdr:nvSpPr>
        <xdr:spPr bwMode="auto">
          <a:xfrm>
            <a:off x="675" y="362"/>
            <a:ext cx="278" cy="1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6" name="Rectangle 1074">
            <a:extLst>
              <a:ext uri="{FF2B5EF4-FFF2-40B4-BE49-F238E27FC236}">
                <a16:creationId xmlns:a16="http://schemas.microsoft.com/office/drawing/2014/main" id="{33205F57-90A5-F592-6005-05548B6F8543}"/>
              </a:ext>
            </a:extLst>
          </xdr:cNvPr>
          <xdr:cNvSpPr>
            <a:spLocks noChangeArrowheads="1"/>
          </xdr:cNvSpPr>
        </xdr:nvSpPr>
        <xdr:spPr bwMode="auto">
          <a:xfrm>
            <a:off x="675" y="605"/>
            <a:ext cx="274" cy="6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7" name="Oval 1075">
            <a:extLst>
              <a:ext uri="{FF2B5EF4-FFF2-40B4-BE49-F238E27FC236}">
                <a16:creationId xmlns:a16="http://schemas.microsoft.com/office/drawing/2014/main" id="{0A047345-8669-EC68-6337-A38CA807022C}"/>
              </a:ext>
            </a:extLst>
          </xdr:cNvPr>
          <xdr:cNvSpPr>
            <a:spLocks noChangeArrowheads="1"/>
          </xdr:cNvSpPr>
        </xdr:nvSpPr>
        <xdr:spPr bwMode="auto">
          <a:xfrm>
            <a:off x="919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18" name="Oval 1076">
            <a:extLst>
              <a:ext uri="{FF2B5EF4-FFF2-40B4-BE49-F238E27FC236}">
                <a16:creationId xmlns:a16="http://schemas.microsoft.com/office/drawing/2014/main" id="{02182974-B26B-A17D-A9BF-B8AA1F178FA2}"/>
              </a:ext>
            </a:extLst>
          </xdr:cNvPr>
          <xdr:cNvSpPr>
            <a:spLocks noChangeArrowheads="1"/>
          </xdr:cNvSpPr>
        </xdr:nvSpPr>
        <xdr:spPr bwMode="auto">
          <a:xfrm>
            <a:off x="835" y="366"/>
            <a:ext cx="8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0619" name="AutoShape 1077">
            <a:extLst>
              <a:ext uri="{FF2B5EF4-FFF2-40B4-BE49-F238E27FC236}">
                <a16:creationId xmlns:a16="http://schemas.microsoft.com/office/drawing/2014/main" id="{DE1B4B2F-3E21-2609-BAF7-60B441C237ED}"/>
              </a:ext>
            </a:extLst>
          </xdr:cNvPr>
          <xdr:cNvSpPr>
            <a:spLocks noChangeArrowheads="1"/>
          </xdr:cNvSpPr>
        </xdr:nvSpPr>
        <xdr:spPr bwMode="auto">
          <a:xfrm>
            <a:off x="861" y="478"/>
            <a:ext cx="72" cy="25"/>
          </a:xfrm>
          <a:prstGeom prst="leftArrow">
            <a:avLst>
              <a:gd name="adj1" fmla="val 50000"/>
              <a:gd name="adj2" fmla="val 72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5</xdr:col>
      <xdr:colOff>175260</xdr:colOff>
      <xdr:row>2</xdr:row>
      <xdr:rowOff>137160</xdr:rowOff>
    </xdr:from>
    <xdr:to>
      <xdr:col>6</xdr:col>
      <xdr:colOff>502920</xdr:colOff>
      <xdr:row>3</xdr:row>
      <xdr:rowOff>76200</xdr:rowOff>
    </xdr:to>
    <xdr:grpSp>
      <xdr:nvGrpSpPr>
        <xdr:cNvPr id="530557" name="Group 1090">
          <a:extLst>
            <a:ext uri="{FF2B5EF4-FFF2-40B4-BE49-F238E27FC236}">
              <a16:creationId xmlns:a16="http://schemas.microsoft.com/office/drawing/2014/main" id="{133C83AC-D6E4-6838-73B9-8B300AD5CA1D}"/>
            </a:ext>
          </a:extLst>
        </xdr:cNvPr>
        <xdr:cNvGrpSpPr>
          <a:grpSpLocks/>
        </xdr:cNvGrpSpPr>
      </xdr:nvGrpSpPr>
      <xdr:grpSpPr bwMode="auto">
        <a:xfrm>
          <a:off x="4198620" y="1234440"/>
          <a:ext cx="1150620" cy="510540"/>
          <a:chOff x="727" y="291"/>
          <a:chExt cx="534" cy="327"/>
        </a:xfrm>
      </xdr:grpSpPr>
      <xdr:sp macro="" textlink="">
        <xdr:nvSpPr>
          <xdr:cNvPr id="530604" name="Rectangle 737">
            <a:extLst>
              <a:ext uri="{FF2B5EF4-FFF2-40B4-BE49-F238E27FC236}">
                <a16:creationId xmlns:a16="http://schemas.microsoft.com/office/drawing/2014/main" id="{46558145-2DDB-D060-5F81-7DEAF4B56344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5" name="Rectangle 739">
            <a:extLst>
              <a:ext uri="{FF2B5EF4-FFF2-40B4-BE49-F238E27FC236}">
                <a16:creationId xmlns:a16="http://schemas.microsoft.com/office/drawing/2014/main" id="{985D4BEF-4252-7EFB-72D8-9ADD404D520A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6" name="Rectangle 741">
            <a:extLst>
              <a:ext uri="{FF2B5EF4-FFF2-40B4-BE49-F238E27FC236}">
                <a16:creationId xmlns:a16="http://schemas.microsoft.com/office/drawing/2014/main" id="{591A1E8F-7711-53DF-1A41-C5D01B197E47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7" name="Rectangle 742">
            <a:extLst>
              <a:ext uri="{FF2B5EF4-FFF2-40B4-BE49-F238E27FC236}">
                <a16:creationId xmlns:a16="http://schemas.microsoft.com/office/drawing/2014/main" id="{A3981DF4-6B52-F58E-49BC-7AE7B20B764B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8" name="Rectangle 744">
            <a:extLst>
              <a:ext uri="{FF2B5EF4-FFF2-40B4-BE49-F238E27FC236}">
                <a16:creationId xmlns:a16="http://schemas.microsoft.com/office/drawing/2014/main" id="{3F93E6DB-A6DB-FDBD-35B6-E2269376EC61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9" name="Rectangle 1087">
            <a:extLst>
              <a:ext uri="{FF2B5EF4-FFF2-40B4-BE49-F238E27FC236}">
                <a16:creationId xmlns:a16="http://schemas.microsoft.com/office/drawing/2014/main" id="{20A8471D-D12B-D4EB-6619-F553B0A227CF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0" name="Rectangle 1088">
            <a:extLst>
              <a:ext uri="{FF2B5EF4-FFF2-40B4-BE49-F238E27FC236}">
                <a16:creationId xmlns:a16="http://schemas.microsoft.com/office/drawing/2014/main" id="{2665D432-FC79-D8CA-5249-3F316B004835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11" name="Rectangle 1089">
            <a:extLst>
              <a:ext uri="{FF2B5EF4-FFF2-40B4-BE49-F238E27FC236}">
                <a16:creationId xmlns:a16="http://schemas.microsoft.com/office/drawing/2014/main" id="{3EE3DFD7-E790-82F0-781F-DC1113289487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3</xdr:col>
      <xdr:colOff>114300</xdr:colOff>
      <xdr:row>1</xdr:row>
      <xdr:rowOff>198120</xdr:rowOff>
    </xdr:from>
    <xdr:to>
      <xdr:col>3</xdr:col>
      <xdr:colOff>609600</xdr:colOff>
      <xdr:row>2</xdr:row>
      <xdr:rowOff>312420</xdr:rowOff>
    </xdr:to>
    <xdr:grpSp>
      <xdr:nvGrpSpPr>
        <xdr:cNvPr id="530558" name="Group 1091">
          <a:extLst>
            <a:ext uri="{FF2B5EF4-FFF2-40B4-BE49-F238E27FC236}">
              <a16:creationId xmlns:a16="http://schemas.microsoft.com/office/drawing/2014/main" id="{495EFAC1-9F88-0A8E-941E-384223593CAF}"/>
            </a:ext>
          </a:extLst>
        </xdr:cNvPr>
        <xdr:cNvGrpSpPr>
          <a:grpSpLocks/>
        </xdr:cNvGrpSpPr>
      </xdr:nvGrpSpPr>
      <xdr:grpSpPr bwMode="auto">
        <a:xfrm>
          <a:off x="3185160" y="1059180"/>
          <a:ext cx="495300" cy="350520"/>
          <a:chOff x="727" y="291"/>
          <a:chExt cx="534" cy="327"/>
        </a:xfrm>
      </xdr:grpSpPr>
      <xdr:sp macro="" textlink="">
        <xdr:nvSpPr>
          <xdr:cNvPr id="530596" name="Rectangle 1092">
            <a:extLst>
              <a:ext uri="{FF2B5EF4-FFF2-40B4-BE49-F238E27FC236}">
                <a16:creationId xmlns:a16="http://schemas.microsoft.com/office/drawing/2014/main" id="{A2BFD8F9-9E14-EA94-BA64-6667977E256D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7" name="Rectangle 1093">
            <a:extLst>
              <a:ext uri="{FF2B5EF4-FFF2-40B4-BE49-F238E27FC236}">
                <a16:creationId xmlns:a16="http://schemas.microsoft.com/office/drawing/2014/main" id="{34DD5364-E2DB-B4D5-6922-33249C9C019C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8" name="Rectangle 1094">
            <a:extLst>
              <a:ext uri="{FF2B5EF4-FFF2-40B4-BE49-F238E27FC236}">
                <a16:creationId xmlns:a16="http://schemas.microsoft.com/office/drawing/2014/main" id="{5D981892-C8C0-435C-8738-DB07418683BA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9" name="Rectangle 1095">
            <a:extLst>
              <a:ext uri="{FF2B5EF4-FFF2-40B4-BE49-F238E27FC236}">
                <a16:creationId xmlns:a16="http://schemas.microsoft.com/office/drawing/2014/main" id="{218C21E2-6176-DB81-E7AA-286756CB2BAD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0" name="Rectangle 1096">
            <a:extLst>
              <a:ext uri="{FF2B5EF4-FFF2-40B4-BE49-F238E27FC236}">
                <a16:creationId xmlns:a16="http://schemas.microsoft.com/office/drawing/2014/main" id="{286C7DE4-5F11-C0F9-CC94-86D5519C43CB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1" name="Rectangle 1097">
            <a:extLst>
              <a:ext uri="{FF2B5EF4-FFF2-40B4-BE49-F238E27FC236}">
                <a16:creationId xmlns:a16="http://schemas.microsoft.com/office/drawing/2014/main" id="{CA304419-442A-92DE-6ECD-37F4FB8840E3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2" name="Rectangle 1098">
            <a:extLst>
              <a:ext uri="{FF2B5EF4-FFF2-40B4-BE49-F238E27FC236}">
                <a16:creationId xmlns:a16="http://schemas.microsoft.com/office/drawing/2014/main" id="{92F9CDE2-9BAF-A30B-21B3-844AC5F18B72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603" name="Rectangle 1099">
            <a:extLst>
              <a:ext uri="{FF2B5EF4-FFF2-40B4-BE49-F238E27FC236}">
                <a16:creationId xmlns:a16="http://schemas.microsoft.com/office/drawing/2014/main" id="{CBFC9A54-5166-7224-22E5-F4DC1B2B7E43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114300</xdr:colOff>
      <xdr:row>2</xdr:row>
      <xdr:rowOff>45720</xdr:rowOff>
    </xdr:from>
    <xdr:to>
      <xdr:col>7</xdr:col>
      <xdr:colOff>601980</xdr:colOff>
      <xdr:row>2</xdr:row>
      <xdr:rowOff>396240</xdr:rowOff>
    </xdr:to>
    <xdr:grpSp>
      <xdr:nvGrpSpPr>
        <xdr:cNvPr id="530559" name="Group 1109">
          <a:extLst>
            <a:ext uri="{FF2B5EF4-FFF2-40B4-BE49-F238E27FC236}">
              <a16:creationId xmlns:a16="http://schemas.microsoft.com/office/drawing/2014/main" id="{FE1F557A-7234-B43F-C2E2-38589D9C5264}"/>
            </a:ext>
          </a:extLst>
        </xdr:cNvPr>
        <xdr:cNvGrpSpPr>
          <a:grpSpLocks/>
        </xdr:cNvGrpSpPr>
      </xdr:nvGrpSpPr>
      <xdr:grpSpPr bwMode="auto">
        <a:xfrm>
          <a:off x="5638800" y="1143000"/>
          <a:ext cx="487680" cy="350520"/>
          <a:chOff x="727" y="291"/>
          <a:chExt cx="534" cy="327"/>
        </a:xfrm>
      </xdr:grpSpPr>
      <xdr:sp macro="" textlink="">
        <xdr:nvSpPr>
          <xdr:cNvPr id="530588" name="Rectangle 1110">
            <a:extLst>
              <a:ext uri="{FF2B5EF4-FFF2-40B4-BE49-F238E27FC236}">
                <a16:creationId xmlns:a16="http://schemas.microsoft.com/office/drawing/2014/main" id="{645885F3-DDBD-9F38-B4FC-B401863D67D3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9" name="Rectangle 1111">
            <a:extLst>
              <a:ext uri="{FF2B5EF4-FFF2-40B4-BE49-F238E27FC236}">
                <a16:creationId xmlns:a16="http://schemas.microsoft.com/office/drawing/2014/main" id="{5E2339F7-A4DE-5CC5-7D02-0AA030A3CF99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0" name="Rectangle 1112">
            <a:extLst>
              <a:ext uri="{FF2B5EF4-FFF2-40B4-BE49-F238E27FC236}">
                <a16:creationId xmlns:a16="http://schemas.microsoft.com/office/drawing/2014/main" id="{FDC1E20E-DF04-FF15-5DC7-6441C1D9AC2C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1" name="Rectangle 1113">
            <a:extLst>
              <a:ext uri="{FF2B5EF4-FFF2-40B4-BE49-F238E27FC236}">
                <a16:creationId xmlns:a16="http://schemas.microsoft.com/office/drawing/2014/main" id="{7BCB4A08-26CC-97C5-3733-4230C65B3C9E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2" name="Rectangle 1114">
            <a:extLst>
              <a:ext uri="{FF2B5EF4-FFF2-40B4-BE49-F238E27FC236}">
                <a16:creationId xmlns:a16="http://schemas.microsoft.com/office/drawing/2014/main" id="{648F0F45-186A-C49C-647E-3F1E37F8FCF6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3" name="Rectangle 1115">
            <a:extLst>
              <a:ext uri="{FF2B5EF4-FFF2-40B4-BE49-F238E27FC236}">
                <a16:creationId xmlns:a16="http://schemas.microsoft.com/office/drawing/2014/main" id="{E253844D-8474-DDED-B74D-8CF6D973AAB8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4" name="Rectangle 1116">
            <a:extLst>
              <a:ext uri="{FF2B5EF4-FFF2-40B4-BE49-F238E27FC236}">
                <a16:creationId xmlns:a16="http://schemas.microsoft.com/office/drawing/2014/main" id="{1B9C65E5-64FA-2F99-48EF-480ECABF7818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95" name="Rectangle 1117">
            <a:extLst>
              <a:ext uri="{FF2B5EF4-FFF2-40B4-BE49-F238E27FC236}">
                <a16:creationId xmlns:a16="http://schemas.microsoft.com/office/drawing/2014/main" id="{87529DE4-38B3-C196-1005-7BCBFB40220B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7</xdr:col>
      <xdr:colOff>114300</xdr:colOff>
      <xdr:row>2</xdr:row>
      <xdr:rowOff>45720</xdr:rowOff>
    </xdr:from>
    <xdr:to>
      <xdr:col>7</xdr:col>
      <xdr:colOff>601980</xdr:colOff>
      <xdr:row>2</xdr:row>
      <xdr:rowOff>396240</xdr:rowOff>
    </xdr:to>
    <xdr:grpSp>
      <xdr:nvGrpSpPr>
        <xdr:cNvPr id="530560" name="Group 1136">
          <a:extLst>
            <a:ext uri="{FF2B5EF4-FFF2-40B4-BE49-F238E27FC236}">
              <a16:creationId xmlns:a16="http://schemas.microsoft.com/office/drawing/2014/main" id="{2F4FE598-9645-B95E-02B6-A14347BD4329}"/>
            </a:ext>
          </a:extLst>
        </xdr:cNvPr>
        <xdr:cNvGrpSpPr>
          <a:grpSpLocks/>
        </xdr:cNvGrpSpPr>
      </xdr:nvGrpSpPr>
      <xdr:grpSpPr bwMode="auto">
        <a:xfrm>
          <a:off x="5638800" y="1143000"/>
          <a:ext cx="487680" cy="350520"/>
          <a:chOff x="727" y="291"/>
          <a:chExt cx="534" cy="327"/>
        </a:xfrm>
      </xdr:grpSpPr>
      <xdr:sp macro="" textlink="">
        <xdr:nvSpPr>
          <xdr:cNvPr id="530580" name="Rectangle 1137">
            <a:extLst>
              <a:ext uri="{FF2B5EF4-FFF2-40B4-BE49-F238E27FC236}">
                <a16:creationId xmlns:a16="http://schemas.microsoft.com/office/drawing/2014/main" id="{4BC1A6D0-D0E5-170A-1417-70C9B31ED6A3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1" name="Rectangle 1138">
            <a:extLst>
              <a:ext uri="{FF2B5EF4-FFF2-40B4-BE49-F238E27FC236}">
                <a16:creationId xmlns:a16="http://schemas.microsoft.com/office/drawing/2014/main" id="{94C0E10B-BD46-1479-9B84-5C7206E93110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2" name="Rectangle 1139">
            <a:extLst>
              <a:ext uri="{FF2B5EF4-FFF2-40B4-BE49-F238E27FC236}">
                <a16:creationId xmlns:a16="http://schemas.microsoft.com/office/drawing/2014/main" id="{4C328832-98EC-1BB9-F086-F3859B93A41C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3" name="Rectangle 1140">
            <a:extLst>
              <a:ext uri="{FF2B5EF4-FFF2-40B4-BE49-F238E27FC236}">
                <a16:creationId xmlns:a16="http://schemas.microsoft.com/office/drawing/2014/main" id="{AE6EF25E-1EA0-7950-4F4E-D0EDA1BE0AAF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4" name="Rectangle 1141">
            <a:extLst>
              <a:ext uri="{FF2B5EF4-FFF2-40B4-BE49-F238E27FC236}">
                <a16:creationId xmlns:a16="http://schemas.microsoft.com/office/drawing/2014/main" id="{933F12BC-9C7D-F9BC-9B33-A7B1EFA13126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5" name="Rectangle 1142">
            <a:extLst>
              <a:ext uri="{FF2B5EF4-FFF2-40B4-BE49-F238E27FC236}">
                <a16:creationId xmlns:a16="http://schemas.microsoft.com/office/drawing/2014/main" id="{20E40032-3329-BA20-9390-1642ACE3C4B5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6" name="Rectangle 1143">
            <a:extLst>
              <a:ext uri="{FF2B5EF4-FFF2-40B4-BE49-F238E27FC236}">
                <a16:creationId xmlns:a16="http://schemas.microsoft.com/office/drawing/2014/main" id="{BD4B9FFC-124B-7806-411F-4AE8BDC4F732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87" name="Rectangle 1144">
            <a:extLst>
              <a:ext uri="{FF2B5EF4-FFF2-40B4-BE49-F238E27FC236}">
                <a16:creationId xmlns:a16="http://schemas.microsoft.com/office/drawing/2014/main" id="{7E838DB5-0940-EC4B-69C5-E3A60DB25C1C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91440</xdr:colOff>
      <xdr:row>0</xdr:row>
      <xdr:rowOff>784860</xdr:rowOff>
    </xdr:to>
    <xdr:pic>
      <xdr:nvPicPr>
        <xdr:cNvPr id="530561" name="1034 Imagen" descr="logo masercon ultimo.jpg">
          <a:extLst>
            <a:ext uri="{FF2B5EF4-FFF2-40B4-BE49-F238E27FC236}">
              <a16:creationId xmlns:a16="http://schemas.microsoft.com/office/drawing/2014/main" id="{7E041195-7D95-B502-3827-5893CE1B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162300" cy="7848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114300</xdr:colOff>
      <xdr:row>2</xdr:row>
      <xdr:rowOff>45720</xdr:rowOff>
    </xdr:from>
    <xdr:to>
      <xdr:col>8</xdr:col>
      <xdr:colOff>601980</xdr:colOff>
      <xdr:row>2</xdr:row>
      <xdr:rowOff>396240</xdr:rowOff>
    </xdr:to>
    <xdr:grpSp>
      <xdr:nvGrpSpPr>
        <xdr:cNvPr id="530562" name="Group 1109">
          <a:extLst>
            <a:ext uri="{FF2B5EF4-FFF2-40B4-BE49-F238E27FC236}">
              <a16:creationId xmlns:a16="http://schemas.microsoft.com/office/drawing/2014/main" id="{E9FB04B1-54C9-5FA2-76C8-80AE3E28FEC7}"/>
            </a:ext>
          </a:extLst>
        </xdr:cNvPr>
        <xdr:cNvGrpSpPr>
          <a:grpSpLocks/>
        </xdr:cNvGrpSpPr>
      </xdr:nvGrpSpPr>
      <xdr:grpSpPr bwMode="auto">
        <a:xfrm>
          <a:off x="6355080" y="1143000"/>
          <a:ext cx="487680" cy="350520"/>
          <a:chOff x="727" y="291"/>
          <a:chExt cx="534" cy="327"/>
        </a:xfrm>
      </xdr:grpSpPr>
      <xdr:sp macro="" textlink="">
        <xdr:nvSpPr>
          <xdr:cNvPr id="530572" name="Rectangle 1110">
            <a:extLst>
              <a:ext uri="{FF2B5EF4-FFF2-40B4-BE49-F238E27FC236}">
                <a16:creationId xmlns:a16="http://schemas.microsoft.com/office/drawing/2014/main" id="{BF1556B7-3918-DB3F-8973-87D006EA1901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3" name="Rectangle 1111">
            <a:extLst>
              <a:ext uri="{FF2B5EF4-FFF2-40B4-BE49-F238E27FC236}">
                <a16:creationId xmlns:a16="http://schemas.microsoft.com/office/drawing/2014/main" id="{FD770EBB-4A89-229E-B472-032F03A05BC1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4" name="Rectangle 1112">
            <a:extLst>
              <a:ext uri="{FF2B5EF4-FFF2-40B4-BE49-F238E27FC236}">
                <a16:creationId xmlns:a16="http://schemas.microsoft.com/office/drawing/2014/main" id="{732880ED-1454-E2BB-C7D7-2671D5646965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5" name="Rectangle 1113">
            <a:extLst>
              <a:ext uri="{FF2B5EF4-FFF2-40B4-BE49-F238E27FC236}">
                <a16:creationId xmlns:a16="http://schemas.microsoft.com/office/drawing/2014/main" id="{7419578C-8B81-82CA-0F82-17E73845AAB6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6" name="Rectangle 1114">
            <a:extLst>
              <a:ext uri="{FF2B5EF4-FFF2-40B4-BE49-F238E27FC236}">
                <a16:creationId xmlns:a16="http://schemas.microsoft.com/office/drawing/2014/main" id="{CBEC542A-57AD-A396-93DC-434AE550C20D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7" name="Rectangle 1115">
            <a:extLst>
              <a:ext uri="{FF2B5EF4-FFF2-40B4-BE49-F238E27FC236}">
                <a16:creationId xmlns:a16="http://schemas.microsoft.com/office/drawing/2014/main" id="{B46D5AC9-F346-442E-5C76-4BC3B0B10C3E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8" name="Rectangle 1116">
            <a:extLst>
              <a:ext uri="{FF2B5EF4-FFF2-40B4-BE49-F238E27FC236}">
                <a16:creationId xmlns:a16="http://schemas.microsoft.com/office/drawing/2014/main" id="{6C8DFE9A-F6A9-0ECD-C7C4-6426D1B4D317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9" name="Rectangle 1117">
            <a:extLst>
              <a:ext uri="{FF2B5EF4-FFF2-40B4-BE49-F238E27FC236}">
                <a16:creationId xmlns:a16="http://schemas.microsoft.com/office/drawing/2014/main" id="{087D4727-3BCE-2109-D057-43393FF83C76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8</xdr:col>
      <xdr:colOff>114300</xdr:colOff>
      <xdr:row>2</xdr:row>
      <xdr:rowOff>45720</xdr:rowOff>
    </xdr:from>
    <xdr:to>
      <xdr:col>8</xdr:col>
      <xdr:colOff>601980</xdr:colOff>
      <xdr:row>2</xdr:row>
      <xdr:rowOff>396240</xdr:rowOff>
    </xdr:to>
    <xdr:grpSp>
      <xdr:nvGrpSpPr>
        <xdr:cNvPr id="530563" name="Group 1136">
          <a:extLst>
            <a:ext uri="{FF2B5EF4-FFF2-40B4-BE49-F238E27FC236}">
              <a16:creationId xmlns:a16="http://schemas.microsoft.com/office/drawing/2014/main" id="{C8CBA71F-D77C-4105-A04B-4EE380D346DF}"/>
            </a:ext>
          </a:extLst>
        </xdr:cNvPr>
        <xdr:cNvGrpSpPr>
          <a:grpSpLocks/>
        </xdr:cNvGrpSpPr>
      </xdr:nvGrpSpPr>
      <xdr:grpSpPr bwMode="auto">
        <a:xfrm>
          <a:off x="6355080" y="1143000"/>
          <a:ext cx="487680" cy="350520"/>
          <a:chOff x="727" y="291"/>
          <a:chExt cx="534" cy="327"/>
        </a:xfrm>
      </xdr:grpSpPr>
      <xdr:sp macro="" textlink="">
        <xdr:nvSpPr>
          <xdr:cNvPr id="530564" name="Rectangle 1137">
            <a:extLst>
              <a:ext uri="{FF2B5EF4-FFF2-40B4-BE49-F238E27FC236}">
                <a16:creationId xmlns:a16="http://schemas.microsoft.com/office/drawing/2014/main" id="{97BE657A-F075-03E8-9BB6-60B61AB477D9}"/>
              </a:ext>
            </a:extLst>
          </xdr:cNvPr>
          <xdr:cNvSpPr>
            <a:spLocks noChangeArrowheads="1"/>
          </xdr:cNvSpPr>
        </xdr:nvSpPr>
        <xdr:spPr bwMode="auto">
          <a:xfrm>
            <a:off x="861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5" name="Rectangle 1138">
            <a:extLst>
              <a:ext uri="{FF2B5EF4-FFF2-40B4-BE49-F238E27FC236}">
                <a16:creationId xmlns:a16="http://schemas.microsoft.com/office/drawing/2014/main" id="{FD0440A4-6FE8-602E-4A54-48257E93997B}"/>
              </a:ext>
            </a:extLst>
          </xdr:cNvPr>
          <xdr:cNvSpPr>
            <a:spLocks noChangeArrowheads="1"/>
          </xdr:cNvSpPr>
        </xdr:nvSpPr>
        <xdr:spPr bwMode="auto">
          <a:xfrm flipH="1">
            <a:off x="994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6" name="Rectangle 1139">
            <a:extLst>
              <a:ext uri="{FF2B5EF4-FFF2-40B4-BE49-F238E27FC236}">
                <a16:creationId xmlns:a16="http://schemas.microsoft.com/office/drawing/2014/main" id="{2F898961-84D7-2620-3696-632B3F68815D}"/>
              </a:ext>
            </a:extLst>
          </xdr:cNvPr>
          <xdr:cNvSpPr>
            <a:spLocks noChangeArrowheads="1"/>
          </xdr:cNvSpPr>
        </xdr:nvSpPr>
        <xdr:spPr bwMode="auto">
          <a:xfrm>
            <a:off x="727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7" name="Rectangle 1140">
            <a:extLst>
              <a:ext uri="{FF2B5EF4-FFF2-40B4-BE49-F238E27FC236}">
                <a16:creationId xmlns:a16="http://schemas.microsoft.com/office/drawing/2014/main" id="{26E3D192-811A-ED3F-4A26-CA1EFE1287EF}"/>
              </a:ext>
            </a:extLst>
          </xdr:cNvPr>
          <xdr:cNvSpPr>
            <a:spLocks noChangeArrowheads="1"/>
          </xdr:cNvSpPr>
        </xdr:nvSpPr>
        <xdr:spPr bwMode="auto">
          <a:xfrm>
            <a:off x="1128" y="291"/>
            <a:ext cx="131" cy="3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8" name="Rectangle 1141">
            <a:extLst>
              <a:ext uri="{FF2B5EF4-FFF2-40B4-BE49-F238E27FC236}">
                <a16:creationId xmlns:a16="http://schemas.microsoft.com/office/drawing/2014/main" id="{317F8CF4-3E67-44D8-4BDF-1779C07A8C2C}"/>
              </a:ext>
            </a:extLst>
          </xdr:cNvPr>
          <xdr:cNvSpPr>
            <a:spLocks noChangeArrowheads="1"/>
          </xdr:cNvSpPr>
        </xdr:nvSpPr>
        <xdr:spPr bwMode="auto">
          <a:xfrm>
            <a:off x="727" y="613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69" name="Rectangle 1142">
            <a:extLst>
              <a:ext uri="{FF2B5EF4-FFF2-40B4-BE49-F238E27FC236}">
                <a16:creationId xmlns:a16="http://schemas.microsoft.com/office/drawing/2014/main" id="{BB314D6E-88E7-DCCD-044F-428D209E10CB}"/>
              </a:ext>
            </a:extLst>
          </xdr:cNvPr>
          <xdr:cNvSpPr>
            <a:spLocks noChangeArrowheads="1"/>
          </xdr:cNvSpPr>
        </xdr:nvSpPr>
        <xdr:spPr bwMode="auto">
          <a:xfrm>
            <a:off x="729" y="291"/>
            <a:ext cx="53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0" name="Rectangle 1143">
            <a:extLst>
              <a:ext uri="{FF2B5EF4-FFF2-40B4-BE49-F238E27FC236}">
                <a16:creationId xmlns:a16="http://schemas.microsoft.com/office/drawing/2014/main" id="{C540902F-0C32-3D64-89A6-B123890B46EB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569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30571" name="Rectangle 1144">
            <a:extLst>
              <a:ext uri="{FF2B5EF4-FFF2-40B4-BE49-F238E27FC236}">
                <a16:creationId xmlns:a16="http://schemas.microsoft.com/office/drawing/2014/main" id="{D5E91E46-7AC1-0E33-E40C-871A4DD2F472}"/>
              </a:ext>
            </a:extLst>
          </xdr:cNvPr>
          <xdr:cNvSpPr>
            <a:spLocks noChangeArrowheads="1"/>
          </xdr:cNvSpPr>
        </xdr:nvSpPr>
        <xdr:spPr bwMode="auto">
          <a:xfrm rot="-5400000">
            <a:off x="1096" y="452"/>
            <a:ext cx="322" cy="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5"/>
  <sheetViews>
    <sheetView zoomScale="75" workbookViewId="0">
      <selection activeCell="C3" sqref="C3"/>
    </sheetView>
  </sheetViews>
  <sheetFormatPr baseColWidth="10" defaultRowHeight="15.6" x14ac:dyDescent="0.3"/>
  <cols>
    <col min="1" max="1" width="57.6640625" style="2" customWidth="1"/>
    <col min="2" max="2" width="8.5546875" style="1" customWidth="1"/>
    <col min="3" max="4" width="11.6640625" style="2" bestFit="1" customWidth="1"/>
    <col min="5" max="6" width="11.5546875" style="3" bestFit="1" customWidth="1"/>
    <col min="7" max="7" width="31" style="4" customWidth="1"/>
    <col min="8" max="8" width="9.33203125" style="5" bestFit="1" customWidth="1"/>
    <col min="9" max="9" width="11.44140625" style="3" customWidth="1"/>
  </cols>
  <sheetData>
    <row r="1" spans="1:12" s="158" customFormat="1" ht="18" x14ac:dyDescent="0.35">
      <c r="A1" s="155" t="s">
        <v>0</v>
      </c>
      <c r="B1" s="156"/>
      <c r="C1" s="157"/>
      <c r="D1" s="157"/>
      <c r="G1" s="159"/>
      <c r="H1" s="5"/>
    </row>
    <row r="2" spans="1:12" s="158" customFormat="1" ht="7.5" customHeight="1" thickBot="1" x14ac:dyDescent="0.4">
      <c r="A2" s="155"/>
      <c r="B2" s="156"/>
      <c r="C2" s="157"/>
      <c r="D2" s="157"/>
      <c r="G2" s="159"/>
      <c r="H2" s="5"/>
    </row>
    <row r="3" spans="1:12" s="158" customFormat="1" x14ac:dyDescent="0.3">
      <c r="A3" s="160" t="s">
        <v>1</v>
      </c>
      <c r="B3" s="161" t="s">
        <v>2</v>
      </c>
      <c r="C3" s="162" t="s">
        <v>3</v>
      </c>
      <c r="D3" s="162" t="s">
        <v>3</v>
      </c>
      <c r="E3" s="207" t="s">
        <v>4</v>
      </c>
      <c r="F3" s="208"/>
      <c r="G3" s="163" t="s">
        <v>5</v>
      </c>
      <c r="H3" s="5"/>
    </row>
    <row r="4" spans="1:12" s="158" customFormat="1" x14ac:dyDescent="0.3">
      <c r="A4" s="164"/>
      <c r="B4" s="165"/>
      <c r="C4" s="166" t="s">
        <v>6</v>
      </c>
      <c r="D4" s="166" t="s">
        <v>7</v>
      </c>
      <c r="E4" s="167" t="s">
        <v>8</v>
      </c>
      <c r="F4" s="168" t="s">
        <v>9</v>
      </c>
      <c r="G4" s="169"/>
      <c r="H4" s="5"/>
    </row>
    <row r="5" spans="1:12" s="158" customFormat="1" ht="16.2" thickBot="1" x14ac:dyDescent="0.35">
      <c r="A5" s="170"/>
      <c r="B5" s="171"/>
      <c r="C5" s="172" t="s">
        <v>10</v>
      </c>
      <c r="D5" s="172" t="s">
        <v>10</v>
      </c>
      <c r="E5" s="173" t="s">
        <v>10</v>
      </c>
      <c r="F5" s="174" t="s">
        <v>10</v>
      </c>
      <c r="G5" s="175"/>
      <c r="H5" s="5"/>
    </row>
    <row r="6" spans="1:12" s="158" customFormat="1" ht="16.2" thickBot="1" x14ac:dyDescent="0.35">
      <c r="A6" s="176" t="s">
        <v>11</v>
      </c>
      <c r="B6" s="171"/>
      <c r="C6" s="172"/>
      <c r="D6" s="172"/>
      <c r="E6" s="173"/>
      <c r="F6" s="174"/>
      <c r="G6" s="175"/>
      <c r="H6" s="5"/>
    </row>
    <row r="7" spans="1:12" s="158" customFormat="1" ht="16.2" thickBot="1" x14ac:dyDescent="0.35">
      <c r="A7" s="177" t="s">
        <v>12</v>
      </c>
      <c r="B7" s="178" t="s">
        <v>13</v>
      </c>
      <c r="C7" s="179">
        <f>ROUNDUP(E7*0.87*1.1/0.84,2)</f>
        <v>2.76</v>
      </c>
      <c r="D7" s="179">
        <f>ROUNDUP(F7*1.1,2)</f>
        <v>2.67</v>
      </c>
      <c r="E7" s="180">
        <v>2.42</v>
      </c>
      <c r="F7" s="181">
        <v>2.42</v>
      </c>
      <c r="G7" s="182" t="s">
        <v>15</v>
      </c>
      <c r="H7" s="5">
        <f>(-D7+C7)/C7</f>
        <v>3.2608695652173864E-2</v>
      </c>
    </row>
    <row r="8" spans="1:12" s="158" customFormat="1" ht="16.2" thickBot="1" x14ac:dyDescent="0.35">
      <c r="A8" s="177" t="s">
        <v>14</v>
      </c>
      <c r="B8" s="178" t="s">
        <v>13</v>
      </c>
      <c r="C8" s="179">
        <f t="shared" ref="C8:C22" si="0">ROUNDUP(E8*0.87*1.1/0.84,2)</f>
        <v>7.9799999999999995</v>
      </c>
      <c r="D8" s="179">
        <f t="shared" ref="D8:D22" si="1">ROUNDUP(F8*1.1,2)</f>
        <v>7.3999999999999995</v>
      </c>
      <c r="E8" s="180">
        <v>7</v>
      </c>
      <c r="F8" s="181">
        <f>+E8*0.96</f>
        <v>6.72</v>
      </c>
      <c r="G8" s="182" t="s">
        <v>15</v>
      </c>
      <c r="H8" s="5">
        <f t="shared" ref="H8:H22" si="2">(-D8+C8)/C8</f>
        <v>7.2681704260651639E-2</v>
      </c>
    </row>
    <row r="9" spans="1:12" s="158" customFormat="1" ht="16.2" thickBot="1" x14ac:dyDescent="0.35">
      <c r="A9" s="177" t="s">
        <v>16</v>
      </c>
      <c r="B9" s="178" t="s">
        <v>17</v>
      </c>
      <c r="C9" s="179">
        <f t="shared" si="0"/>
        <v>0.75</v>
      </c>
      <c r="D9" s="179">
        <f t="shared" si="1"/>
        <v>0.72</v>
      </c>
      <c r="E9" s="180">
        <v>0.65</v>
      </c>
      <c r="F9" s="180">
        <v>0.65</v>
      </c>
      <c r="G9" s="182" t="s">
        <v>18</v>
      </c>
      <c r="H9" s="5">
        <f t="shared" si="2"/>
        <v>4.0000000000000036E-2</v>
      </c>
    </row>
    <row r="10" spans="1:12" s="158" customFormat="1" ht="16.2" thickBot="1" x14ac:dyDescent="0.35">
      <c r="A10" s="177" t="s">
        <v>19</v>
      </c>
      <c r="B10" s="178" t="s">
        <v>20</v>
      </c>
      <c r="C10" s="179">
        <f t="shared" si="0"/>
        <v>1.41</v>
      </c>
      <c r="D10" s="179">
        <f t="shared" si="1"/>
        <v>1.3</v>
      </c>
      <c r="E10" s="180">
        <f>+K10/6</f>
        <v>1.2305804999999999</v>
      </c>
      <c r="F10" s="180">
        <f t="shared" ref="F10:F16" si="3">0.96*E10</f>
        <v>1.1813572799999998</v>
      </c>
      <c r="G10" s="183" t="s">
        <v>306</v>
      </c>
      <c r="H10" s="5">
        <f t="shared" si="2"/>
        <v>7.8014184397163039E-2</v>
      </c>
      <c r="I10" s="116">
        <f>6*0.159</f>
        <v>0.95399999999999996</v>
      </c>
      <c r="J10" t="s">
        <v>307</v>
      </c>
      <c r="K10" s="184">
        <f>6.73*1.15*I10</f>
        <v>7.3834829999999991</v>
      </c>
      <c r="L10" s="158" t="s">
        <v>267</v>
      </c>
    </row>
    <row r="11" spans="1:12" s="158" customFormat="1" ht="16.2" thickBot="1" x14ac:dyDescent="0.35">
      <c r="A11" s="177" t="s">
        <v>332</v>
      </c>
      <c r="B11" s="178" t="s">
        <v>20</v>
      </c>
      <c r="C11" s="179">
        <f t="shared" si="0"/>
        <v>1.77</v>
      </c>
      <c r="D11" s="179">
        <f t="shared" si="1"/>
        <v>1.64</v>
      </c>
      <c r="E11" s="180">
        <f t="shared" ref="E11:E16" si="4">+K11/6</f>
        <v>1.5479000000000003</v>
      </c>
      <c r="F11" s="180">
        <f t="shared" si="3"/>
        <v>1.4859840000000002</v>
      </c>
      <c r="G11" s="183" t="s">
        <v>306</v>
      </c>
      <c r="H11" s="5">
        <f t="shared" si="2"/>
        <v>7.3446327683615878E-2</v>
      </c>
      <c r="I11" s="116">
        <f>6*0.2</f>
        <v>1.2000000000000002</v>
      </c>
      <c r="J11" t="s">
        <v>307</v>
      </c>
      <c r="K11" s="184">
        <f t="shared" ref="K11:K16" si="5">6.73*1.15*I11</f>
        <v>9.2874000000000017</v>
      </c>
      <c r="L11" s="158" t="s">
        <v>267</v>
      </c>
    </row>
    <row r="12" spans="1:12" s="158" customFormat="1" ht="16.2" thickBot="1" x14ac:dyDescent="0.35">
      <c r="A12" s="177" t="s">
        <v>22</v>
      </c>
      <c r="B12" s="178" t="s">
        <v>20</v>
      </c>
      <c r="C12" s="179">
        <f>ROUNDUP(E12*0.87*1.1/0.84,2)</f>
        <v>9.15</v>
      </c>
      <c r="D12" s="179">
        <f t="shared" si="1"/>
        <v>8.48</v>
      </c>
      <c r="E12" s="180">
        <f t="shared" si="4"/>
        <v>8.0258614999999995</v>
      </c>
      <c r="F12" s="180">
        <f t="shared" si="3"/>
        <v>7.7048270399999996</v>
      </c>
      <c r="G12" s="183" t="s">
        <v>306</v>
      </c>
      <c r="H12" s="5">
        <f t="shared" si="2"/>
        <v>7.3224043715846981E-2</v>
      </c>
      <c r="I12" s="116">
        <f>6*1.037</f>
        <v>6.2219999999999995</v>
      </c>
      <c r="J12" t="s">
        <v>307</v>
      </c>
      <c r="K12" s="184">
        <f t="shared" si="5"/>
        <v>48.155168999999994</v>
      </c>
      <c r="L12" s="158" t="s">
        <v>267</v>
      </c>
    </row>
    <row r="13" spans="1:12" s="158" customFormat="1" ht="16.2" thickBot="1" x14ac:dyDescent="0.35">
      <c r="A13" s="177" t="s">
        <v>23</v>
      </c>
      <c r="B13" s="178" t="s">
        <v>20</v>
      </c>
      <c r="C13" s="179">
        <f t="shared" si="0"/>
        <v>5.51</v>
      </c>
      <c r="D13" s="179">
        <f t="shared" si="1"/>
        <v>5.0999999999999996</v>
      </c>
      <c r="E13" s="180">
        <f t="shared" si="4"/>
        <v>4.8294479999999993</v>
      </c>
      <c r="F13" s="180">
        <f t="shared" si="3"/>
        <v>4.6362700799999992</v>
      </c>
      <c r="G13" s="183" t="s">
        <v>306</v>
      </c>
      <c r="H13" s="5">
        <f t="shared" si="2"/>
        <v>7.4410163339382968E-2</v>
      </c>
      <c r="I13" s="116">
        <f>6*0.624</f>
        <v>3.7439999999999998</v>
      </c>
      <c r="J13" t="s">
        <v>307</v>
      </c>
      <c r="K13" s="184">
        <f t="shared" si="5"/>
        <v>28.976687999999996</v>
      </c>
      <c r="L13" s="158" t="s">
        <v>267</v>
      </c>
    </row>
    <row r="14" spans="1:12" s="158" customFormat="1" ht="16.2" thickBot="1" x14ac:dyDescent="0.35">
      <c r="A14" s="177" t="s">
        <v>24</v>
      </c>
      <c r="B14" s="178" t="s">
        <v>20</v>
      </c>
      <c r="C14" s="179">
        <f t="shared" si="0"/>
        <v>8.36</v>
      </c>
      <c r="D14" s="179">
        <f t="shared" si="1"/>
        <v>7.75</v>
      </c>
      <c r="E14" s="180">
        <f t="shared" si="4"/>
        <v>7.337046</v>
      </c>
      <c r="F14" s="180">
        <f t="shared" si="3"/>
        <v>7.0435641599999999</v>
      </c>
      <c r="G14" s="183" t="s">
        <v>306</v>
      </c>
      <c r="H14" s="5">
        <f t="shared" si="2"/>
        <v>7.2966507177033429E-2</v>
      </c>
      <c r="I14" s="116">
        <f>6*0.948</f>
        <v>5.6879999999999997</v>
      </c>
      <c r="J14" t="s">
        <v>307</v>
      </c>
      <c r="K14" s="184">
        <f t="shared" si="5"/>
        <v>44.022275999999998</v>
      </c>
      <c r="L14" s="158" t="s">
        <v>267</v>
      </c>
    </row>
    <row r="15" spans="1:12" s="158" customFormat="1" ht="16.2" thickBot="1" x14ac:dyDescent="0.35">
      <c r="A15" s="177" t="s">
        <v>25</v>
      </c>
      <c r="B15" s="178" t="s">
        <v>20</v>
      </c>
      <c r="C15" s="179">
        <f t="shared" si="0"/>
        <v>6.22</v>
      </c>
      <c r="D15" s="179">
        <f t="shared" si="1"/>
        <v>5.77</v>
      </c>
      <c r="E15" s="180">
        <f t="shared" si="4"/>
        <v>5.4563474999999997</v>
      </c>
      <c r="F15" s="180">
        <f t="shared" si="3"/>
        <v>5.2380935999999991</v>
      </c>
      <c r="G15" s="183" t="s">
        <v>306</v>
      </c>
      <c r="H15" s="5">
        <f t="shared" si="2"/>
        <v>7.2347266881028965E-2</v>
      </c>
      <c r="I15" s="116">
        <f>6*0.705</f>
        <v>4.2299999999999995</v>
      </c>
      <c r="J15" t="s">
        <v>307</v>
      </c>
      <c r="K15" s="184">
        <f t="shared" si="5"/>
        <v>32.738084999999998</v>
      </c>
      <c r="L15" s="158" t="s">
        <v>267</v>
      </c>
    </row>
    <row r="16" spans="1:12" s="158" customFormat="1" ht="16.2" thickBot="1" x14ac:dyDescent="0.35">
      <c r="A16" s="177" t="s">
        <v>26</v>
      </c>
      <c r="B16" s="178" t="s">
        <v>20</v>
      </c>
      <c r="C16" s="179">
        <f t="shared" si="0"/>
        <v>6.9399999999999995</v>
      </c>
      <c r="D16" s="179">
        <f t="shared" si="1"/>
        <v>6.43</v>
      </c>
      <c r="E16" s="180">
        <f t="shared" si="4"/>
        <v>6.0832470000000001</v>
      </c>
      <c r="F16" s="180">
        <f t="shared" si="3"/>
        <v>5.83991712</v>
      </c>
      <c r="G16" s="183" t="s">
        <v>306</v>
      </c>
      <c r="H16" s="5">
        <f t="shared" si="2"/>
        <v>7.3487031700288155E-2</v>
      </c>
      <c r="I16" s="116">
        <f>6*0.786</f>
        <v>4.7160000000000002</v>
      </c>
      <c r="J16" t="s">
        <v>307</v>
      </c>
      <c r="K16" s="184">
        <f t="shared" si="5"/>
        <v>36.499482</v>
      </c>
      <c r="L16" s="158" t="s">
        <v>267</v>
      </c>
    </row>
    <row r="17" spans="1:10" s="158" customFormat="1" ht="16.2" thickBot="1" x14ac:dyDescent="0.35">
      <c r="A17" s="177" t="s">
        <v>27</v>
      </c>
      <c r="B17" s="178" t="s">
        <v>20</v>
      </c>
      <c r="C17" s="179">
        <f t="shared" si="0"/>
        <v>0.18000000000000002</v>
      </c>
      <c r="D17" s="179">
        <f t="shared" si="1"/>
        <v>0.17</v>
      </c>
      <c r="E17" s="180">
        <v>0.15</v>
      </c>
      <c r="F17" s="181">
        <v>0.15</v>
      </c>
      <c r="G17" s="182" t="s">
        <v>21</v>
      </c>
      <c r="H17" s="5">
        <f t="shared" si="2"/>
        <v>5.5555555555555601E-2</v>
      </c>
      <c r="I17" s="3"/>
      <c r="J17"/>
    </row>
    <row r="18" spans="1:10" s="158" customFormat="1" ht="16.2" thickBot="1" x14ac:dyDescent="0.35">
      <c r="A18" s="177" t="s">
        <v>28</v>
      </c>
      <c r="B18" s="178" t="s">
        <v>29</v>
      </c>
      <c r="C18" s="179">
        <f t="shared" si="0"/>
        <v>0.04</v>
      </c>
      <c r="D18" s="179">
        <f t="shared" si="1"/>
        <v>0.04</v>
      </c>
      <c r="E18" s="180">
        <v>0.03</v>
      </c>
      <c r="F18" s="180">
        <v>0.03</v>
      </c>
      <c r="G18" s="182" t="s">
        <v>30</v>
      </c>
      <c r="H18" s="5">
        <f t="shared" si="2"/>
        <v>0</v>
      </c>
    </row>
    <row r="19" spans="1:10" s="158" customFormat="1" ht="16.2" thickBot="1" x14ac:dyDescent="0.35">
      <c r="A19" s="177" t="s">
        <v>31</v>
      </c>
      <c r="B19" s="178" t="s">
        <v>29</v>
      </c>
      <c r="C19" s="179">
        <f t="shared" si="0"/>
        <v>0.04</v>
      </c>
      <c r="D19" s="179">
        <f t="shared" si="1"/>
        <v>0.04</v>
      </c>
      <c r="E19" s="180">
        <v>0.03</v>
      </c>
      <c r="F19" s="180">
        <v>0.03</v>
      </c>
      <c r="G19" s="182" t="s">
        <v>30</v>
      </c>
      <c r="H19" s="5">
        <f t="shared" si="2"/>
        <v>0</v>
      </c>
    </row>
    <row r="20" spans="1:10" s="158" customFormat="1" ht="16.2" thickBot="1" x14ac:dyDescent="0.35">
      <c r="A20" s="177" t="s">
        <v>32</v>
      </c>
      <c r="B20" s="178" t="s">
        <v>29</v>
      </c>
      <c r="C20" s="179">
        <f t="shared" si="0"/>
        <v>0.04</v>
      </c>
      <c r="D20" s="179">
        <f t="shared" si="1"/>
        <v>0.04</v>
      </c>
      <c r="E20" s="180">
        <v>0.03</v>
      </c>
      <c r="F20" s="180">
        <v>0.03</v>
      </c>
      <c r="G20" s="182" t="s">
        <v>30</v>
      </c>
      <c r="H20" s="5">
        <f t="shared" si="2"/>
        <v>0</v>
      </c>
    </row>
    <row r="21" spans="1:10" s="158" customFormat="1" ht="16.2" thickBot="1" x14ac:dyDescent="0.35">
      <c r="A21" s="177" t="s">
        <v>33</v>
      </c>
      <c r="B21" s="178" t="s">
        <v>29</v>
      </c>
      <c r="C21" s="179">
        <f t="shared" si="0"/>
        <v>0.03</v>
      </c>
      <c r="D21" s="179">
        <f t="shared" si="1"/>
        <v>0.03</v>
      </c>
      <c r="E21" s="185">
        <v>0.02</v>
      </c>
      <c r="F21" s="185">
        <v>0.02</v>
      </c>
      <c r="G21" s="182" t="s">
        <v>30</v>
      </c>
      <c r="H21" s="5">
        <f t="shared" si="2"/>
        <v>0</v>
      </c>
    </row>
    <row r="22" spans="1:10" s="158" customFormat="1" ht="16.2" thickBot="1" x14ac:dyDescent="0.35">
      <c r="A22" s="176" t="s">
        <v>264</v>
      </c>
      <c r="B22" s="186" t="s">
        <v>20</v>
      </c>
      <c r="C22" s="179">
        <f t="shared" si="0"/>
        <v>29.91</v>
      </c>
      <c r="D22" s="179">
        <f t="shared" si="1"/>
        <v>27.72</v>
      </c>
      <c r="E22" s="187">
        <f>150*1.05/6</f>
        <v>26.25</v>
      </c>
      <c r="F22" s="187">
        <f>+E22*0.96</f>
        <v>25.2</v>
      </c>
      <c r="G22" s="188" t="s">
        <v>265</v>
      </c>
      <c r="H22" s="5">
        <f t="shared" si="2"/>
        <v>7.3219658976930835E-2</v>
      </c>
    </row>
    <row r="23" spans="1:10" s="158" customFormat="1" ht="16.2" thickBot="1" x14ac:dyDescent="0.35">
      <c r="A23" s="176"/>
      <c r="B23" s="186"/>
      <c r="C23" s="179"/>
      <c r="D23" s="179"/>
      <c r="E23" s="185"/>
      <c r="F23" s="187"/>
      <c r="G23" s="189"/>
      <c r="H23" s="5"/>
    </row>
    <row r="24" spans="1:10" s="158" customFormat="1" ht="16.2" thickBot="1" x14ac:dyDescent="0.35">
      <c r="A24" s="176"/>
      <c r="B24" s="186"/>
      <c r="C24" s="179"/>
      <c r="D24" s="179"/>
      <c r="E24" s="185"/>
      <c r="F24" s="187"/>
      <c r="G24" s="189"/>
      <c r="H24" s="5"/>
    </row>
    <row r="25" spans="1:10" s="158" customFormat="1" ht="21.6" thickBot="1" x14ac:dyDescent="0.45">
      <c r="A25" s="190" t="s">
        <v>34</v>
      </c>
      <c r="B25" s="171"/>
      <c r="C25" s="179"/>
      <c r="D25" s="179"/>
      <c r="E25" s="191"/>
      <c r="F25" s="192"/>
      <c r="G25" s="175"/>
      <c r="H25" s="5"/>
    </row>
    <row r="26" spans="1:10" s="158" customFormat="1" ht="16.2" thickBot="1" x14ac:dyDescent="0.35">
      <c r="A26" s="177" t="s">
        <v>35</v>
      </c>
      <c r="B26" s="178" t="s">
        <v>36</v>
      </c>
      <c r="C26" s="179">
        <f t="shared" ref="C26:C86" si="6">ROUNDUP(E26*0.87*1.1/0.84,2)</f>
        <v>36.46</v>
      </c>
      <c r="D26" s="179">
        <f t="shared" ref="D26:D86" si="7">ROUNDUP(F26*1.1,2)</f>
        <v>33</v>
      </c>
      <c r="E26" s="8">
        <v>32</v>
      </c>
      <c r="F26" s="8">
        <v>30</v>
      </c>
      <c r="G26" s="183" t="s">
        <v>230</v>
      </c>
      <c r="H26" s="5">
        <f t="shared" ref="H26:H86" si="8">(-D26+C26)/C26</f>
        <v>9.4898518924849171E-2</v>
      </c>
    </row>
    <row r="27" spans="1:10" s="158" customFormat="1" ht="16.2" thickBot="1" x14ac:dyDescent="0.35">
      <c r="A27" s="177" t="s">
        <v>38</v>
      </c>
      <c r="B27" s="178" t="s">
        <v>36</v>
      </c>
      <c r="C27" s="179">
        <f t="shared" si="6"/>
        <v>34.18</v>
      </c>
      <c r="D27" s="179">
        <f t="shared" si="7"/>
        <v>30.8</v>
      </c>
      <c r="E27" s="8">
        <v>30</v>
      </c>
      <c r="F27" s="8">
        <v>28</v>
      </c>
      <c r="G27" s="183" t="s">
        <v>230</v>
      </c>
      <c r="H27" s="5">
        <f t="shared" si="8"/>
        <v>9.888823873610296E-2</v>
      </c>
    </row>
    <row r="28" spans="1:10" s="158" customFormat="1" ht="16.2" thickBot="1" x14ac:dyDescent="0.35">
      <c r="A28" s="177" t="s">
        <v>39</v>
      </c>
      <c r="B28" s="178" t="s">
        <v>36</v>
      </c>
      <c r="C28" s="179">
        <f t="shared" si="6"/>
        <v>31.9</v>
      </c>
      <c r="D28" s="179">
        <f t="shared" si="7"/>
        <v>30.8</v>
      </c>
      <c r="E28" s="8">
        <v>28</v>
      </c>
      <c r="F28" s="9">
        <v>28</v>
      </c>
      <c r="G28" s="182" t="s">
        <v>37</v>
      </c>
      <c r="H28" s="5">
        <f t="shared" si="8"/>
        <v>3.4482758620689592E-2</v>
      </c>
    </row>
    <row r="29" spans="1:10" s="158" customFormat="1" ht="16.2" thickBot="1" x14ac:dyDescent="0.35">
      <c r="A29" s="177" t="s">
        <v>40</v>
      </c>
      <c r="B29" s="178" t="s">
        <v>36</v>
      </c>
      <c r="C29" s="179">
        <f t="shared" si="6"/>
        <v>27.35</v>
      </c>
      <c r="D29" s="179">
        <f t="shared" si="7"/>
        <v>26.4</v>
      </c>
      <c r="E29" s="8">
        <v>24</v>
      </c>
      <c r="F29" s="9">
        <v>24</v>
      </c>
      <c r="G29" s="182" t="s">
        <v>37</v>
      </c>
      <c r="H29" s="5">
        <f t="shared" si="8"/>
        <v>3.4734917733089683E-2</v>
      </c>
    </row>
    <row r="30" spans="1:10" s="158" customFormat="1" ht="16.2" thickBot="1" x14ac:dyDescent="0.35">
      <c r="A30" s="177" t="s">
        <v>41</v>
      </c>
      <c r="B30" s="178" t="s">
        <v>36</v>
      </c>
      <c r="C30" s="179">
        <f t="shared" si="6"/>
        <v>23.930000000000003</v>
      </c>
      <c r="D30" s="179">
        <f t="shared" si="7"/>
        <v>23.1</v>
      </c>
      <c r="E30" s="8">
        <v>21</v>
      </c>
      <c r="F30" s="9">
        <v>21</v>
      </c>
      <c r="G30" s="182" t="s">
        <v>37</v>
      </c>
      <c r="H30" s="5">
        <f t="shared" si="8"/>
        <v>3.4684496447973327E-2</v>
      </c>
    </row>
    <row r="31" spans="1:10" s="158" customFormat="1" ht="16.2" thickBot="1" x14ac:dyDescent="0.35">
      <c r="A31" s="177" t="s">
        <v>42</v>
      </c>
      <c r="B31" s="178" t="s">
        <v>36</v>
      </c>
      <c r="C31" s="179">
        <f t="shared" si="6"/>
        <v>52.41</v>
      </c>
      <c r="D31" s="179">
        <f t="shared" si="7"/>
        <v>48.4</v>
      </c>
      <c r="E31" s="8">
        <v>46</v>
      </c>
      <c r="F31" s="8">
        <v>44</v>
      </c>
      <c r="G31" s="183" t="s">
        <v>230</v>
      </c>
      <c r="H31" s="5">
        <f t="shared" si="8"/>
        <v>7.6512116008395317E-2</v>
      </c>
    </row>
    <row r="32" spans="1:10" s="158" customFormat="1" ht="16.2" thickBot="1" x14ac:dyDescent="0.35">
      <c r="A32" s="177" t="s">
        <v>43</v>
      </c>
      <c r="B32" s="178" t="s">
        <v>36</v>
      </c>
      <c r="C32" s="179">
        <f t="shared" si="6"/>
        <v>50.129999999999995</v>
      </c>
      <c r="D32" s="179">
        <f t="shared" si="7"/>
        <v>46.2</v>
      </c>
      <c r="E32" s="8">
        <v>44</v>
      </c>
      <c r="F32" s="8">
        <v>42</v>
      </c>
      <c r="G32" s="183" t="s">
        <v>230</v>
      </c>
      <c r="H32" s="5">
        <f t="shared" si="8"/>
        <v>7.8396169958108775E-2</v>
      </c>
    </row>
    <row r="33" spans="1:13" s="158" customFormat="1" ht="16.2" thickBot="1" x14ac:dyDescent="0.35">
      <c r="A33" s="177" t="s">
        <v>44</v>
      </c>
      <c r="B33" s="178" t="s">
        <v>36</v>
      </c>
      <c r="C33" s="179">
        <f t="shared" si="6"/>
        <v>33.04</v>
      </c>
      <c r="D33" s="179">
        <f t="shared" si="7"/>
        <v>31.9</v>
      </c>
      <c r="E33" s="8">
        <v>29</v>
      </c>
      <c r="F33" s="9">
        <v>29</v>
      </c>
      <c r="G33" s="182" t="s">
        <v>37</v>
      </c>
      <c r="H33" s="5">
        <f t="shared" si="8"/>
        <v>3.45036319612591E-2</v>
      </c>
    </row>
    <row r="34" spans="1:13" s="158" customFormat="1" ht="16.2" thickBot="1" x14ac:dyDescent="0.35">
      <c r="A34" s="177" t="s">
        <v>45</v>
      </c>
      <c r="B34" s="178" t="s">
        <v>36</v>
      </c>
      <c r="C34" s="179">
        <f t="shared" si="6"/>
        <v>30.770000000000003</v>
      </c>
      <c r="D34" s="179">
        <f t="shared" si="7"/>
        <v>29.7</v>
      </c>
      <c r="E34" s="180">
        <v>27</v>
      </c>
      <c r="F34" s="181">
        <v>27</v>
      </c>
      <c r="G34" s="182" t="s">
        <v>37</v>
      </c>
      <c r="H34" s="5">
        <f t="shared" si="8"/>
        <v>3.4774130646733951E-2</v>
      </c>
    </row>
    <row r="35" spans="1:13" s="158" customFormat="1" ht="16.2" thickBot="1" x14ac:dyDescent="0.35">
      <c r="A35" s="177" t="s">
        <v>46</v>
      </c>
      <c r="B35" s="178" t="s">
        <v>36</v>
      </c>
      <c r="C35" s="179">
        <f t="shared" si="6"/>
        <v>26.21</v>
      </c>
      <c r="D35" s="179">
        <f t="shared" si="7"/>
        <v>25.3</v>
      </c>
      <c r="E35" s="180">
        <v>23</v>
      </c>
      <c r="F35" s="181">
        <v>23</v>
      </c>
      <c r="G35" s="182" t="s">
        <v>37</v>
      </c>
      <c r="H35" s="5">
        <f t="shared" si="8"/>
        <v>3.4719572682182377E-2</v>
      </c>
    </row>
    <row r="36" spans="1:13" s="158" customFormat="1" ht="16.2" thickBot="1" x14ac:dyDescent="0.35">
      <c r="A36" s="177" t="s">
        <v>47</v>
      </c>
      <c r="B36" s="178" t="s">
        <v>36</v>
      </c>
      <c r="C36" s="179">
        <f t="shared" si="6"/>
        <v>50.129999999999995</v>
      </c>
      <c r="D36" s="179">
        <f t="shared" si="7"/>
        <v>48.4</v>
      </c>
      <c r="E36" s="181">
        <v>44</v>
      </c>
      <c r="F36" s="181">
        <v>44</v>
      </c>
      <c r="G36" s="182" t="s">
        <v>37</v>
      </c>
      <c r="H36" s="5">
        <f t="shared" si="8"/>
        <v>3.4510273289447377E-2</v>
      </c>
    </row>
    <row r="37" spans="1:13" s="158" customFormat="1" ht="16.2" thickBot="1" x14ac:dyDescent="0.35">
      <c r="A37" s="177" t="s">
        <v>48</v>
      </c>
      <c r="B37" s="178" t="s">
        <v>36</v>
      </c>
      <c r="C37" s="179">
        <f t="shared" si="6"/>
        <v>52.41</v>
      </c>
      <c r="D37" s="179">
        <f t="shared" si="7"/>
        <v>50.6</v>
      </c>
      <c r="E37" s="181">
        <v>46</v>
      </c>
      <c r="F37" s="181">
        <v>46</v>
      </c>
      <c r="G37" s="182" t="s">
        <v>37</v>
      </c>
      <c r="H37" s="5">
        <f t="shared" si="8"/>
        <v>3.4535394008776858E-2</v>
      </c>
    </row>
    <row r="38" spans="1:13" s="158" customFormat="1" ht="16.2" thickBot="1" x14ac:dyDescent="0.35">
      <c r="A38" s="177" t="s">
        <v>308</v>
      </c>
      <c r="B38" s="178" t="s">
        <v>20</v>
      </c>
      <c r="C38" s="179">
        <f t="shared" si="6"/>
        <v>17.62</v>
      </c>
      <c r="D38" s="179">
        <f t="shared" si="7"/>
        <v>16.330000000000002</v>
      </c>
      <c r="E38" s="180">
        <f>+K38/6</f>
        <v>15.463520999999998</v>
      </c>
      <c r="F38" s="180">
        <f>+E38*0.96</f>
        <v>14.844980159999999</v>
      </c>
      <c r="G38" s="183" t="s">
        <v>306</v>
      </c>
      <c r="H38" s="5">
        <f t="shared" si="8"/>
        <v>7.3212258796821736E-2</v>
      </c>
      <c r="I38" s="116">
        <f>6*1.998</f>
        <v>11.988</v>
      </c>
      <c r="J38" t="s">
        <v>307</v>
      </c>
      <c r="K38" s="184">
        <f>6.73*1.15*I38</f>
        <v>92.781125999999986</v>
      </c>
      <c r="L38" s="158" t="s">
        <v>267</v>
      </c>
    </row>
    <row r="39" spans="1:13" s="158" customFormat="1" ht="16.2" thickBot="1" x14ac:dyDescent="0.35">
      <c r="A39" s="177" t="s">
        <v>49</v>
      </c>
      <c r="B39" s="178" t="s">
        <v>50</v>
      </c>
      <c r="C39" s="179">
        <f t="shared" si="6"/>
        <v>5.99</v>
      </c>
      <c r="D39" s="179">
        <f t="shared" si="7"/>
        <v>5.5</v>
      </c>
      <c r="E39" s="180">
        <f t="shared" ref="E39:E45" si="9">+F39*1.05</f>
        <v>5.25</v>
      </c>
      <c r="F39" s="181">
        <v>5</v>
      </c>
      <c r="G39" s="182" t="s">
        <v>51</v>
      </c>
      <c r="H39" s="5">
        <f t="shared" si="8"/>
        <v>8.1803005008347279E-2</v>
      </c>
      <c r="I39" s="116">
        <f>6*0.257</f>
        <v>1.542</v>
      </c>
      <c r="J39" t="s">
        <v>307</v>
      </c>
      <c r="K39" s="184">
        <f>6.73*1.15*I39</f>
        <v>11.934308999999999</v>
      </c>
      <c r="L39" s="158" t="s">
        <v>267</v>
      </c>
      <c r="M39" s="193">
        <f>+K39*2.1/6</f>
        <v>4.1770081499999998</v>
      </c>
    </row>
    <row r="40" spans="1:13" s="158" customFormat="1" ht="16.2" thickBot="1" x14ac:dyDescent="0.35">
      <c r="A40" s="177" t="s">
        <v>52</v>
      </c>
      <c r="B40" s="178" t="s">
        <v>50</v>
      </c>
      <c r="C40" s="179">
        <f t="shared" si="6"/>
        <v>5.99</v>
      </c>
      <c r="D40" s="179">
        <f t="shared" si="7"/>
        <v>5.5</v>
      </c>
      <c r="E40" s="180">
        <f t="shared" si="9"/>
        <v>5.25</v>
      </c>
      <c r="F40" s="181">
        <v>5</v>
      </c>
      <c r="G40" s="182" t="s">
        <v>51</v>
      </c>
      <c r="H40" s="5">
        <f t="shared" si="8"/>
        <v>8.1803005008347279E-2</v>
      </c>
      <c r="I40" s="116">
        <f>6*0.151</f>
        <v>0.90599999999999992</v>
      </c>
      <c r="J40" t="s">
        <v>307</v>
      </c>
      <c r="K40" s="184">
        <f>6.73*1.15*I40</f>
        <v>7.0119869999999986</v>
      </c>
      <c r="L40" s="158" t="s">
        <v>267</v>
      </c>
      <c r="M40" s="193">
        <f>+K40*2.1/6</f>
        <v>2.4541954499999998</v>
      </c>
    </row>
    <row r="41" spans="1:13" s="158" customFormat="1" ht="16.2" thickBot="1" x14ac:dyDescent="0.35">
      <c r="A41" s="177" t="s">
        <v>53</v>
      </c>
      <c r="B41" s="178" t="s">
        <v>50</v>
      </c>
      <c r="C41" s="179">
        <f t="shared" si="6"/>
        <v>5.99</v>
      </c>
      <c r="D41" s="179">
        <f t="shared" si="7"/>
        <v>5.5</v>
      </c>
      <c r="E41" s="180">
        <f t="shared" si="9"/>
        <v>5.25</v>
      </c>
      <c r="F41" s="181">
        <v>5</v>
      </c>
      <c r="G41" s="182" t="s">
        <v>51</v>
      </c>
      <c r="H41" s="5">
        <f t="shared" si="8"/>
        <v>8.1803005008347279E-2</v>
      </c>
    </row>
    <row r="42" spans="1:13" s="158" customFormat="1" ht="16.2" thickBot="1" x14ac:dyDescent="0.35">
      <c r="A42" s="177" t="s">
        <v>54</v>
      </c>
      <c r="B42" s="178" t="s">
        <v>50</v>
      </c>
      <c r="C42" s="179">
        <f t="shared" si="6"/>
        <v>5.99</v>
      </c>
      <c r="D42" s="179">
        <f t="shared" si="7"/>
        <v>5.5</v>
      </c>
      <c r="E42" s="180">
        <f t="shared" si="9"/>
        <v>5.25</v>
      </c>
      <c r="F42" s="181">
        <v>5</v>
      </c>
      <c r="G42" s="182" t="s">
        <v>51</v>
      </c>
      <c r="H42" s="5">
        <f t="shared" si="8"/>
        <v>8.1803005008347279E-2</v>
      </c>
    </row>
    <row r="43" spans="1:13" s="158" customFormat="1" ht="16.2" thickBot="1" x14ac:dyDescent="0.35">
      <c r="A43" s="177" t="s">
        <v>55</v>
      </c>
      <c r="B43" s="178" t="s">
        <v>50</v>
      </c>
      <c r="C43" s="179">
        <f t="shared" si="6"/>
        <v>5.99</v>
      </c>
      <c r="D43" s="179">
        <f t="shared" si="7"/>
        <v>5.5</v>
      </c>
      <c r="E43" s="180">
        <f t="shared" si="9"/>
        <v>5.25</v>
      </c>
      <c r="F43" s="181">
        <v>5</v>
      </c>
      <c r="G43" s="182" t="s">
        <v>51</v>
      </c>
      <c r="H43" s="5">
        <f t="shared" si="8"/>
        <v>8.1803005008347279E-2</v>
      </c>
    </row>
    <row r="44" spans="1:13" s="158" customFormat="1" ht="16.2" thickBot="1" x14ac:dyDescent="0.35">
      <c r="A44" s="177" t="s">
        <v>56</v>
      </c>
      <c r="B44" s="178" t="s">
        <v>50</v>
      </c>
      <c r="C44" s="179">
        <f t="shared" si="6"/>
        <v>5.99</v>
      </c>
      <c r="D44" s="179">
        <f t="shared" si="7"/>
        <v>5.5</v>
      </c>
      <c r="E44" s="180">
        <f t="shared" si="9"/>
        <v>5.25</v>
      </c>
      <c r="F44" s="181">
        <v>5</v>
      </c>
      <c r="G44" s="182" t="s">
        <v>51</v>
      </c>
      <c r="H44" s="5">
        <f t="shared" si="8"/>
        <v>8.1803005008347279E-2</v>
      </c>
    </row>
    <row r="45" spans="1:13" s="158" customFormat="1" ht="16.2" thickBot="1" x14ac:dyDescent="0.35">
      <c r="A45" s="177" t="s">
        <v>57</v>
      </c>
      <c r="B45" s="178" t="s">
        <v>29</v>
      </c>
      <c r="C45" s="179">
        <f t="shared" si="6"/>
        <v>101.69000000000001</v>
      </c>
      <c r="D45" s="179">
        <f t="shared" si="7"/>
        <v>93.5</v>
      </c>
      <c r="E45" s="180">
        <f t="shared" si="9"/>
        <v>89.25</v>
      </c>
      <c r="F45" s="181">
        <v>85</v>
      </c>
      <c r="G45" s="182" t="s">
        <v>51</v>
      </c>
      <c r="H45" s="5">
        <f t="shared" si="8"/>
        <v>8.0538892713147917E-2</v>
      </c>
    </row>
    <row r="46" spans="1:13" s="158" customFormat="1" ht="16.2" thickBot="1" x14ac:dyDescent="0.35">
      <c r="A46" s="177" t="s">
        <v>58</v>
      </c>
      <c r="B46" s="178" t="s">
        <v>29</v>
      </c>
      <c r="C46" s="179">
        <f t="shared" si="6"/>
        <v>79.75</v>
      </c>
      <c r="D46" s="179">
        <f t="shared" si="7"/>
        <v>77</v>
      </c>
      <c r="E46" s="180">
        <v>70</v>
      </c>
      <c r="F46" s="181">
        <v>70</v>
      </c>
      <c r="G46" s="182" t="s">
        <v>59</v>
      </c>
      <c r="H46" s="5">
        <f t="shared" si="8"/>
        <v>3.4482758620689655E-2</v>
      </c>
    </row>
    <row r="47" spans="1:13" s="158" customFormat="1" ht="16.2" thickBot="1" x14ac:dyDescent="0.35">
      <c r="A47" s="177" t="s">
        <v>60</v>
      </c>
      <c r="B47" s="178" t="s">
        <v>29</v>
      </c>
      <c r="C47" s="179">
        <f t="shared" si="6"/>
        <v>3.42</v>
      </c>
      <c r="D47" s="179">
        <f t="shared" si="7"/>
        <v>3.3</v>
      </c>
      <c r="E47" s="180">
        <v>3</v>
      </c>
      <c r="F47" s="181">
        <v>3</v>
      </c>
      <c r="G47" s="182" t="s">
        <v>37</v>
      </c>
      <c r="H47" s="5">
        <f t="shared" si="8"/>
        <v>3.5087719298245647E-2</v>
      </c>
    </row>
    <row r="48" spans="1:13" s="158" customFormat="1" ht="16.2" thickBot="1" x14ac:dyDescent="0.35">
      <c r="A48" s="177" t="s">
        <v>61</v>
      </c>
      <c r="B48" s="178" t="s">
        <v>20</v>
      </c>
      <c r="C48" s="179">
        <f t="shared" si="6"/>
        <v>4.51</v>
      </c>
      <c r="D48" s="179">
        <f t="shared" si="7"/>
        <v>4.1099999999999994</v>
      </c>
      <c r="E48" s="180">
        <f t="shared" ref="E48:E84" si="10">+F48*1.06</f>
        <v>3.9538000000000002</v>
      </c>
      <c r="F48" s="181">
        <v>3.73</v>
      </c>
      <c r="G48" s="182" t="s">
        <v>51</v>
      </c>
      <c r="H48" s="5">
        <f t="shared" si="8"/>
        <v>8.8691796008869256E-2</v>
      </c>
    </row>
    <row r="49" spans="1:8" s="158" customFormat="1" ht="16.2" thickBot="1" x14ac:dyDescent="0.35">
      <c r="A49" s="177" t="s">
        <v>62</v>
      </c>
      <c r="B49" s="178" t="s">
        <v>29</v>
      </c>
      <c r="C49" s="179">
        <f t="shared" si="6"/>
        <v>3.59</v>
      </c>
      <c r="D49" s="179">
        <f t="shared" si="7"/>
        <v>3.2699999999999996</v>
      </c>
      <c r="E49" s="180">
        <f t="shared" si="10"/>
        <v>3.1482000000000006</v>
      </c>
      <c r="F49" s="181">
        <v>2.97</v>
      </c>
      <c r="G49" s="182" t="s">
        <v>51</v>
      </c>
      <c r="H49" s="5">
        <f t="shared" si="8"/>
        <v>8.9136490250696462E-2</v>
      </c>
    </row>
    <row r="50" spans="1:8" s="158" customFormat="1" ht="16.2" thickBot="1" x14ac:dyDescent="0.35">
      <c r="A50" s="177" t="s">
        <v>63</v>
      </c>
      <c r="B50" s="178" t="s">
        <v>29</v>
      </c>
      <c r="C50" s="179">
        <f t="shared" si="6"/>
        <v>0.97</v>
      </c>
      <c r="D50" s="179">
        <f t="shared" si="7"/>
        <v>0.88</v>
      </c>
      <c r="E50" s="180">
        <f t="shared" si="10"/>
        <v>0.84800000000000009</v>
      </c>
      <c r="F50" s="181">
        <v>0.8</v>
      </c>
      <c r="G50" s="182" t="s">
        <v>51</v>
      </c>
      <c r="H50" s="5">
        <f t="shared" si="8"/>
        <v>9.2783505154639151E-2</v>
      </c>
    </row>
    <row r="51" spans="1:8" s="158" customFormat="1" ht="16.2" thickBot="1" x14ac:dyDescent="0.35">
      <c r="A51" s="177" t="s">
        <v>64</v>
      </c>
      <c r="B51" s="178" t="s">
        <v>29</v>
      </c>
      <c r="C51" s="179">
        <f t="shared" si="6"/>
        <v>1.21</v>
      </c>
      <c r="D51" s="179">
        <f t="shared" si="7"/>
        <v>1.1000000000000001</v>
      </c>
      <c r="E51" s="180">
        <f t="shared" si="10"/>
        <v>1.06</v>
      </c>
      <c r="F51" s="181">
        <v>1</v>
      </c>
      <c r="G51" s="182" t="s">
        <v>51</v>
      </c>
      <c r="H51" s="5">
        <f t="shared" si="8"/>
        <v>9.0909090909090814E-2</v>
      </c>
    </row>
    <row r="52" spans="1:8" s="158" customFormat="1" ht="16.2" thickBot="1" x14ac:dyDescent="0.35">
      <c r="A52" s="177" t="s">
        <v>65</v>
      </c>
      <c r="B52" s="178" t="s">
        <v>29</v>
      </c>
      <c r="C52" s="179">
        <f t="shared" si="6"/>
        <v>8.89</v>
      </c>
      <c r="D52" s="179">
        <f t="shared" si="7"/>
        <v>8.1</v>
      </c>
      <c r="E52" s="180">
        <f t="shared" si="10"/>
        <v>7.8016000000000005</v>
      </c>
      <c r="F52" s="181">
        <v>7.36</v>
      </c>
      <c r="G52" s="182" t="s">
        <v>51</v>
      </c>
      <c r="H52" s="5">
        <f t="shared" si="8"/>
        <v>8.8863892013498411E-2</v>
      </c>
    </row>
    <row r="53" spans="1:8" s="158" customFormat="1" ht="16.2" thickBot="1" x14ac:dyDescent="0.35">
      <c r="A53" s="177" t="s">
        <v>66</v>
      </c>
      <c r="B53" s="178" t="s">
        <v>29</v>
      </c>
      <c r="C53" s="179">
        <f t="shared" si="6"/>
        <v>12.08</v>
      </c>
      <c r="D53" s="179">
        <f t="shared" si="7"/>
        <v>11</v>
      </c>
      <c r="E53" s="180">
        <f t="shared" si="10"/>
        <v>10.600000000000001</v>
      </c>
      <c r="F53" s="181">
        <v>10</v>
      </c>
      <c r="G53" s="182" t="s">
        <v>51</v>
      </c>
      <c r="H53" s="5">
        <f t="shared" si="8"/>
        <v>8.9403973509933773E-2</v>
      </c>
    </row>
    <row r="54" spans="1:8" s="158" customFormat="1" ht="16.2" thickBot="1" x14ac:dyDescent="0.35">
      <c r="A54" s="177" t="s">
        <v>67</v>
      </c>
      <c r="B54" s="178" t="s">
        <v>29</v>
      </c>
      <c r="C54" s="179">
        <f t="shared" si="6"/>
        <v>9.06</v>
      </c>
      <c r="D54" s="179">
        <f t="shared" si="7"/>
        <v>8.25</v>
      </c>
      <c r="E54" s="180">
        <f t="shared" si="10"/>
        <v>7.95</v>
      </c>
      <c r="F54" s="181">
        <v>7.5</v>
      </c>
      <c r="G54" s="182" t="s">
        <v>51</v>
      </c>
      <c r="H54" s="5">
        <f t="shared" si="8"/>
        <v>8.9403973509933829E-2</v>
      </c>
    </row>
    <row r="55" spans="1:8" s="158" customFormat="1" ht="16.2" thickBot="1" x14ac:dyDescent="0.35">
      <c r="A55" s="177" t="s">
        <v>68</v>
      </c>
      <c r="B55" s="178" t="s">
        <v>29</v>
      </c>
      <c r="C55" s="179">
        <f t="shared" si="6"/>
        <v>9.06</v>
      </c>
      <c r="D55" s="179">
        <f t="shared" si="7"/>
        <v>8.25</v>
      </c>
      <c r="E55" s="180">
        <f t="shared" si="10"/>
        <v>7.95</v>
      </c>
      <c r="F55" s="181">
        <v>7.5</v>
      </c>
      <c r="G55" s="182" t="s">
        <v>51</v>
      </c>
      <c r="H55" s="5">
        <f t="shared" si="8"/>
        <v>8.9403973509933829E-2</v>
      </c>
    </row>
    <row r="56" spans="1:8" s="158" customFormat="1" ht="16.2" thickBot="1" x14ac:dyDescent="0.35">
      <c r="A56" s="177" t="s">
        <v>69</v>
      </c>
      <c r="B56" s="178" t="s">
        <v>29</v>
      </c>
      <c r="C56" s="179">
        <f t="shared" si="6"/>
        <v>17.760000000000002</v>
      </c>
      <c r="D56" s="179">
        <f t="shared" si="7"/>
        <v>16.170000000000002</v>
      </c>
      <c r="E56" s="180">
        <f t="shared" si="10"/>
        <v>15.582000000000001</v>
      </c>
      <c r="F56" s="181">
        <v>14.7</v>
      </c>
      <c r="G56" s="182" t="s">
        <v>51</v>
      </c>
      <c r="H56" s="5">
        <f t="shared" si="8"/>
        <v>8.9527027027027015E-2</v>
      </c>
    </row>
    <row r="57" spans="1:8" s="158" customFormat="1" ht="16.2" thickBot="1" x14ac:dyDescent="0.35">
      <c r="A57" s="177" t="s">
        <v>70</v>
      </c>
      <c r="B57" s="178" t="s">
        <v>29</v>
      </c>
      <c r="C57" s="179">
        <f t="shared" si="6"/>
        <v>4.8599999999999994</v>
      </c>
      <c r="D57" s="179">
        <f t="shared" si="7"/>
        <v>4.43</v>
      </c>
      <c r="E57" s="180">
        <f t="shared" si="10"/>
        <v>4.2611999999999997</v>
      </c>
      <c r="F57" s="181">
        <v>4.0199999999999996</v>
      </c>
      <c r="G57" s="182" t="s">
        <v>51</v>
      </c>
      <c r="H57" s="5">
        <f t="shared" si="8"/>
        <v>8.8477366255143991E-2</v>
      </c>
    </row>
    <row r="58" spans="1:8" s="158" customFormat="1" ht="16.2" thickBot="1" x14ac:dyDescent="0.35">
      <c r="A58" s="177" t="s">
        <v>71</v>
      </c>
      <c r="B58" s="178" t="s">
        <v>29</v>
      </c>
      <c r="C58" s="179">
        <f t="shared" si="6"/>
        <v>1.57</v>
      </c>
      <c r="D58" s="179">
        <f t="shared" si="7"/>
        <v>1.43</v>
      </c>
      <c r="E58" s="180">
        <f t="shared" si="10"/>
        <v>1.3780000000000001</v>
      </c>
      <c r="F58" s="181">
        <v>1.3</v>
      </c>
      <c r="G58" s="182" t="s">
        <v>51</v>
      </c>
      <c r="H58" s="5">
        <f t="shared" si="8"/>
        <v>8.9171974522293071E-2</v>
      </c>
    </row>
    <row r="59" spans="1:8" s="158" customFormat="1" ht="16.2" thickBot="1" x14ac:dyDescent="0.35">
      <c r="A59" s="177" t="s">
        <v>72</v>
      </c>
      <c r="B59" s="178" t="s">
        <v>29</v>
      </c>
      <c r="C59" s="179">
        <f t="shared" si="6"/>
        <v>3.8699999999999997</v>
      </c>
      <c r="D59" s="179">
        <f t="shared" si="7"/>
        <v>3.52</v>
      </c>
      <c r="E59" s="180">
        <f t="shared" si="10"/>
        <v>3.3920000000000003</v>
      </c>
      <c r="F59" s="181">
        <v>3.2</v>
      </c>
      <c r="G59" s="182" t="s">
        <v>51</v>
      </c>
      <c r="H59" s="5">
        <f t="shared" si="8"/>
        <v>9.0439276485788034E-2</v>
      </c>
    </row>
    <row r="60" spans="1:8" s="158" customFormat="1" ht="16.2" thickBot="1" x14ac:dyDescent="0.35">
      <c r="A60" s="177" t="s">
        <v>73</v>
      </c>
      <c r="B60" s="178" t="s">
        <v>29</v>
      </c>
      <c r="C60" s="179">
        <f t="shared" si="6"/>
        <v>1.2</v>
      </c>
      <c r="D60" s="179">
        <f t="shared" si="7"/>
        <v>1.0900000000000001</v>
      </c>
      <c r="E60" s="180">
        <f t="shared" si="10"/>
        <v>1.0494000000000001</v>
      </c>
      <c r="F60" s="181">
        <v>0.99</v>
      </c>
      <c r="G60" s="182" t="s">
        <v>51</v>
      </c>
      <c r="H60" s="5">
        <f t="shared" si="8"/>
        <v>9.1666666666666563E-2</v>
      </c>
    </row>
    <row r="61" spans="1:8" s="158" customFormat="1" ht="16.2" thickBot="1" x14ac:dyDescent="0.35">
      <c r="A61" s="177" t="s">
        <v>74</v>
      </c>
      <c r="B61" s="178" t="s">
        <v>29</v>
      </c>
      <c r="C61" s="179">
        <f t="shared" si="6"/>
        <v>12.14</v>
      </c>
      <c r="D61" s="179">
        <f t="shared" si="7"/>
        <v>11.06</v>
      </c>
      <c r="E61" s="180">
        <f t="shared" si="10"/>
        <v>10.653</v>
      </c>
      <c r="F61" s="181">
        <v>10.050000000000001</v>
      </c>
      <c r="G61" s="182" t="s">
        <v>51</v>
      </c>
      <c r="H61" s="5">
        <f t="shared" si="8"/>
        <v>8.8962108731466233E-2</v>
      </c>
    </row>
    <row r="62" spans="1:8" s="158" customFormat="1" ht="16.2" thickBot="1" x14ac:dyDescent="0.35">
      <c r="A62" s="177" t="s">
        <v>75</v>
      </c>
      <c r="B62" s="178" t="s">
        <v>29</v>
      </c>
      <c r="C62" s="179">
        <f t="shared" si="6"/>
        <v>15.81</v>
      </c>
      <c r="D62" s="179">
        <f t="shared" si="7"/>
        <v>14.4</v>
      </c>
      <c r="E62" s="180">
        <f t="shared" si="10"/>
        <v>13.875400000000001</v>
      </c>
      <c r="F62" s="181">
        <v>13.09</v>
      </c>
      <c r="G62" s="182" t="s">
        <v>51</v>
      </c>
      <c r="H62" s="5">
        <f t="shared" si="8"/>
        <v>8.9184060721062622E-2</v>
      </c>
    </row>
    <row r="63" spans="1:8" s="158" customFormat="1" ht="16.2" thickBot="1" x14ac:dyDescent="0.35">
      <c r="A63" s="177" t="s">
        <v>76</v>
      </c>
      <c r="B63" s="178" t="s">
        <v>29</v>
      </c>
      <c r="C63" s="179">
        <f t="shared" si="6"/>
        <v>4.45</v>
      </c>
      <c r="D63" s="179">
        <f t="shared" si="7"/>
        <v>4.05</v>
      </c>
      <c r="E63" s="180">
        <f t="shared" si="10"/>
        <v>3.9008000000000003</v>
      </c>
      <c r="F63" s="181">
        <v>3.68</v>
      </c>
      <c r="G63" s="182" t="s">
        <v>51</v>
      </c>
      <c r="H63" s="5">
        <f t="shared" si="8"/>
        <v>8.9887640449438283E-2</v>
      </c>
    </row>
    <row r="64" spans="1:8" s="158" customFormat="1" ht="16.2" thickBot="1" x14ac:dyDescent="0.35">
      <c r="A64" s="177" t="s">
        <v>77</v>
      </c>
      <c r="B64" s="178" t="s">
        <v>29</v>
      </c>
      <c r="C64" s="179">
        <f t="shared" si="6"/>
        <v>4.09</v>
      </c>
      <c r="D64" s="179">
        <f t="shared" si="7"/>
        <v>3.7199999999999998</v>
      </c>
      <c r="E64" s="180">
        <f t="shared" si="10"/>
        <v>3.5828000000000002</v>
      </c>
      <c r="F64" s="181">
        <v>3.38</v>
      </c>
      <c r="G64" s="182" t="s">
        <v>51</v>
      </c>
      <c r="H64" s="5">
        <f t="shared" si="8"/>
        <v>9.0464547677261642E-2</v>
      </c>
    </row>
    <row r="65" spans="1:8" s="158" customFormat="1" ht="16.2" thickBot="1" x14ac:dyDescent="0.35">
      <c r="A65" s="177" t="s">
        <v>78</v>
      </c>
      <c r="B65" s="178" t="s">
        <v>29</v>
      </c>
      <c r="C65" s="179">
        <f t="shared" si="6"/>
        <v>6.8199999999999994</v>
      </c>
      <c r="D65" s="179">
        <f t="shared" si="7"/>
        <v>6.21</v>
      </c>
      <c r="E65" s="180">
        <f t="shared" si="10"/>
        <v>5.9783999999999997</v>
      </c>
      <c r="F65" s="181">
        <v>5.64</v>
      </c>
      <c r="G65" s="182" t="s">
        <v>51</v>
      </c>
      <c r="H65" s="5">
        <f t="shared" si="8"/>
        <v>8.9442815249266783E-2</v>
      </c>
    </row>
    <row r="66" spans="1:8" s="158" customFormat="1" ht="16.2" thickBot="1" x14ac:dyDescent="0.35">
      <c r="A66" s="177" t="s">
        <v>79</v>
      </c>
      <c r="B66" s="178" t="s">
        <v>29</v>
      </c>
      <c r="C66" s="179">
        <f t="shared" si="6"/>
        <v>10.959999999999999</v>
      </c>
      <c r="D66" s="179">
        <f t="shared" si="7"/>
        <v>9.98</v>
      </c>
      <c r="E66" s="180">
        <f t="shared" si="10"/>
        <v>9.6142000000000003</v>
      </c>
      <c r="F66" s="181">
        <v>9.07</v>
      </c>
      <c r="G66" s="182" t="s">
        <v>51</v>
      </c>
      <c r="H66" s="5">
        <f t="shared" si="8"/>
        <v>8.9416058394160475E-2</v>
      </c>
    </row>
    <row r="67" spans="1:8" s="158" customFormat="1" ht="16.2" thickBot="1" x14ac:dyDescent="0.35">
      <c r="A67" s="177" t="s">
        <v>80</v>
      </c>
      <c r="B67" s="178" t="s">
        <v>29</v>
      </c>
      <c r="C67" s="179">
        <f t="shared" si="6"/>
        <v>13.34</v>
      </c>
      <c r="D67" s="179">
        <f t="shared" si="7"/>
        <v>12.15</v>
      </c>
      <c r="E67" s="180">
        <f t="shared" si="10"/>
        <v>11.702399999999999</v>
      </c>
      <c r="F67" s="181">
        <v>11.04</v>
      </c>
      <c r="G67" s="182" t="s">
        <v>51</v>
      </c>
      <c r="H67" s="5">
        <f t="shared" si="8"/>
        <v>8.9205397301349285E-2</v>
      </c>
    </row>
    <row r="68" spans="1:8" s="158" customFormat="1" ht="16.2" thickBot="1" x14ac:dyDescent="0.35">
      <c r="A68" s="177" t="s">
        <v>81</v>
      </c>
      <c r="B68" s="178" t="s">
        <v>29</v>
      </c>
      <c r="C68" s="179">
        <f t="shared" si="6"/>
        <v>17.060000000000002</v>
      </c>
      <c r="D68" s="179">
        <f t="shared" si="7"/>
        <v>15.54</v>
      </c>
      <c r="E68" s="180">
        <f t="shared" si="10"/>
        <v>14.9672</v>
      </c>
      <c r="F68" s="181">
        <v>14.12</v>
      </c>
      <c r="G68" s="182" t="s">
        <v>51</v>
      </c>
      <c r="H68" s="5">
        <f t="shared" si="8"/>
        <v>8.9097303634232294E-2</v>
      </c>
    </row>
    <row r="69" spans="1:8" s="158" customFormat="1" ht="16.2" thickBot="1" x14ac:dyDescent="0.35">
      <c r="A69" s="177" t="s">
        <v>82</v>
      </c>
      <c r="B69" s="178" t="s">
        <v>29</v>
      </c>
      <c r="C69" s="179">
        <f t="shared" si="6"/>
        <v>5.56</v>
      </c>
      <c r="D69" s="179">
        <f t="shared" si="7"/>
        <v>5.0599999999999996</v>
      </c>
      <c r="E69" s="180">
        <f t="shared" si="10"/>
        <v>4.8759999999999994</v>
      </c>
      <c r="F69" s="181">
        <v>4.5999999999999996</v>
      </c>
      <c r="G69" s="182" t="s">
        <v>51</v>
      </c>
      <c r="H69" s="5">
        <f t="shared" si="8"/>
        <v>8.9928057553956844E-2</v>
      </c>
    </row>
    <row r="70" spans="1:8" s="158" customFormat="1" ht="16.2" thickBot="1" x14ac:dyDescent="0.35">
      <c r="A70" s="177" t="s">
        <v>83</v>
      </c>
      <c r="B70" s="178" t="s">
        <v>29</v>
      </c>
      <c r="C70" s="179">
        <f t="shared" si="6"/>
        <v>6.83</v>
      </c>
      <c r="D70" s="179">
        <f t="shared" si="7"/>
        <v>6.22</v>
      </c>
      <c r="E70" s="180">
        <f t="shared" si="10"/>
        <v>5.9890000000000008</v>
      </c>
      <c r="F70" s="181">
        <v>5.65</v>
      </c>
      <c r="G70" s="182" t="s">
        <v>51</v>
      </c>
      <c r="H70" s="5">
        <f t="shared" si="8"/>
        <v>8.9311859443631084E-2</v>
      </c>
    </row>
    <row r="71" spans="1:8" s="158" customFormat="1" ht="16.2" thickBot="1" x14ac:dyDescent="0.35">
      <c r="A71" s="177" t="s">
        <v>84</v>
      </c>
      <c r="B71" s="178" t="s">
        <v>29</v>
      </c>
      <c r="C71" s="179">
        <f t="shared" si="6"/>
        <v>6.3599999999999994</v>
      </c>
      <c r="D71" s="179">
        <f t="shared" si="7"/>
        <v>5.79</v>
      </c>
      <c r="E71" s="180">
        <f t="shared" si="10"/>
        <v>5.5755999999999997</v>
      </c>
      <c r="F71" s="181">
        <v>5.26</v>
      </c>
      <c r="G71" s="182" t="s">
        <v>51</v>
      </c>
      <c r="H71" s="5">
        <f t="shared" si="8"/>
        <v>8.9622641509433873E-2</v>
      </c>
    </row>
    <row r="72" spans="1:8" s="158" customFormat="1" ht="16.2" thickBot="1" x14ac:dyDescent="0.35">
      <c r="A72" s="177" t="s">
        <v>85</v>
      </c>
      <c r="B72" s="178" t="s">
        <v>29</v>
      </c>
      <c r="C72" s="179">
        <f t="shared" si="6"/>
        <v>8.7999999999999989</v>
      </c>
      <c r="D72" s="179">
        <f t="shared" si="7"/>
        <v>8.01</v>
      </c>
      <c r="E72" s="180">
        <f t="shared" si="10"/>
        <v>7.716800000000001</v>
      </c>
      <c r="F72" s="181">
        <v>7.28</v>
      </c>
      <c r="G72" s="182" t="s">
        <v>51</v>
      </c>
      <c r="H72" s="5">
        <f t="shared" si="8"/>
        <v>8.9772727272727185E-2</v>
      </c>
    </row>
    <row r="73" spans="1:8" s="158" customFormat="1" ht="16.2" thickBot="1" x14ac:dyDescent="0.35">
      <c r="A73" s="177" t="s">
        <v>86</v>
      </c>
      <c r="B73" s="178" t="s">
        <v>29</v>
      </c>
      <c r="C73" s="179">
        <f t="shared" si="6"/>
        <v>27.78</v>
      </c>
      <c r="D73" s="179">
        <f t="shared" si="7"/>
        <v>25.3</v>
      </c>
      <c r="E73" s="180">
        <f t="shared" si="10"/>
        <v>24.380000000000003</v>
      </c>
      <c r="F73" s="181">
        <v>23</v>
      </c>
      <c r="G73" s="182" t="s">
        <v>51</v>
      </c>
      <c r="H73" s="5">
        <f t="shared" si="8"/>
        <v>8.9272858171346309E-2</v>
      </c>
    </row>
    <row r="74" spans="1:8" s="158" customFormat="1" ht="16.2" thickBot="1" x14ac:dyDescent="0.35">
      <c r="A74" s="177" t="s">
        <v>87</v>
      </c>
      <c r="B74" s="178" t="s">
        <v>29</v>
      </c>
      <c r="C74" s="179">
        <f t="shared" si="6"/>
        <v>16.55</v>
      </c>
      <c r="D74" s="179">
        <f t="shared" si="7"/>
        <v>15.07</v>
      </c>
      <c r="E74" s="180">
        <f t="shared" si="10"/>
        <v>14.522</v>
      </c>
      <c r="F74" s="181">
        <v>13.7</v>
      </c>
      <c r="G74" s="182" t="s">
        <v>51</v>
      </c>
      <c r="H74" s="5">
        <f t="shared" si="8"/>
        <v>8.9425981873111807E-2</v>
      </c>
    </row>
    <row r="75" spans="1:8" s="158" customFormat="1" ht="16.2" thickBot="1" x14ac:dyDescent="0.35">
      <c r="A75" s="177" t="s">
        <v>88</v>
      </c>
      <c r="B75" s="178" t="s">
        <v>29</v>
      </c>
      <c r="C75" s="179">
        <f t="shared" si="6"/>
        <v>3.59</v>
      </c>
      <c r="D75" s="179">
        <f t="shared" si="7"/>
        <v>3.2699999999999996</v>
      </c>
      <c r="E75" s="180">
        <f t="shared" si="10"/>
        <v>3.1482000000000006</v>
      </c>
      <c r="F75" s="181">
        <v>2.97</v>
      </c>
      <c r="G75" s="182" t="s">
        <v>51</v>
      </c>
      <c r="H75" s="5">
        <f t="shared" si="8"/>
        <v>8.9136490250696462E-2</v>
      </c>
    </row>
    <row r="76" spans="1:8" s="158" customFormat="1" ht="16.2" thickBot="1" x14ac:dyDescent="0.35">
      <c r="A76" s="177" t="s">
        <v>89</v>
      </c>
      <c r="B76" s="178" t="s">
        <v>29</v>
      </c>
      <c r="C76" s="179">
        <f t="shared" si="6"/>
        <v>22.950000000000003</v>
      </c>
      <c r="D76" s="179">
        <f t="shared" si="7"/>
        <v>20.9</v>
      </c>
      <c r="E76" s="180">
        <f t="shared" si="10"/>
        <v>20.14</v>
      </c>
      <c r="F76" s="181">
        <v>19</v>
      </c>
      <c r="G76" s="182" t="s">
        <v>51</v>
      </c>
      <c r="H76" s="5">
        <f t="shared" si="8"/>
        <v>8.9324618736383615E-2</v>
      </c>
    </row>
    <row r="77" spans="1:8" s="158" customFormat="1" ht="16.2" thickBot="1" x14ac:dyDescent="0.35">
      <c r="A77" s="177" t="s">
        <v>90</v>
      </c>
      <c r="B77" s="178" t="s">
        <v>29</v>
      </c>
      <c r="C77" s="179">
        <f t="shared" si="6"/>
        <v>7.49</v>
      </c>
      <c r="D77" s="179">
        <f t="shared" si="7"/>
        <v>6.82</v>
      </c>
      <c r="E77" s="180">
        <f t="shared" si="10"/>
        <v>6.572000000000001</v>
      </c>
      <c r="F77" s="181">
        <v>6.2</v>
      </c>
      <c r="G77" s="182" t="s">
        <v>51</v>
      </c>
      <c r="H77" s="5">
        <f t="shared" si="8"/>
        <v>8.945260347129505E-2</v>
      </c>
    </row>
    <row r="78" spans="1:8" s="158" customFormat="1" ht="16.2" thickBot="1" x14ac:dyDescent="0.35">
      <c r="A78" s="177" t="s">
        <v>91</v>
      </c>
      <c r="B78" s="178" t="s">
        <v>29</v>
      </c>
      <c r="C78" s="179">
        <f t="shared" si="6"/>
        <v>8.48</v>
      </c>
      <c r="D78" s="179">
        <f t="shared" si="7"/>
        <v>7.7299999999999995</v>
      </c>
      <c r="E78" s="180">
        <f t="shared" si="10"/>
        <v>7.4412000000000003</v>
      </c>
      <c r="F78" s="181">
        <v>7.02</v>
      </c>
      <c r="G78" s="182" t="s">
        <v>51</v>
      </c>
      <c r="H78" s="5">
        <f t="shared" si="8"/>
        <v>8.84433962264152E-2</v>
      </c>
    </row>
    <row r="79" spans="1:8" s="158" customFormat="1" ht="16.2" thickBot="1" x14ac:dyDescent="0.35">
      <c r="A79" s="177" t="s">
        <v>92</v>
      </c>
      <c r="B79" s="178" t="s">
        <v>29</v>
      </c>
      <c r="C79" s="179">
        <f t="shared" si="6"/>
        <v>2.76</v>
      </c>
      <c r="D79" s="179">
        <f t="shared" si="7"/>
        <v>2.5099999999999998</v>
      </c>
      <c r="E79" s="180">
        <f t="shared" si="10"/>
        <v>2.4167999999999998</v>
      </c>
      <c r="F79" s="181">
        <v>2.2799999999999998</v>
      </c>
      <c r="G79" s="182" t="s">
        <v>51</v>
      </c>
      <c r="H79" s="5">
        <f t="shared" si="8"/>
        <v>9.057971014492755E-2</v>
      </c>
    </row>
    <row r="80" spans="1:8" s="158" customFormat="1" ht="16.2" thickBot="1" x14ac:dyDescent="0.35">
      <c r="A80" s="177" t="s">
        <v>93</v>
      </c>
      <c r="B80" s="178" t="s">
        <v>29</v>
      </c>
      <c r="C80" s="179">
        <f t="shared" si="6"/>
        <v>3.63</v>
      </c>
      <c r="D80" s="179">
        <f t="shared" si="7"/>
        <v>3.3</v>
      </c>
      <c r="E80" s="180">
        <f t="shared" si="10"/>
        <v>3.18</v>
      </c>
      <c r="F80" s="181">
        <v>3</v>
      </c>
      <c r="G80" s="182" t="s">
        <v>51</v>
      </c>
      <c r="H80" s="5">
        <f t="shared" si="8"/>
        <v>9.0909090909090925E-2</v>
      </c>
    </row>
    <row r="81" spans="1:9" s="158" customFormat="1" ht="16.2" thickBot="1" x14ac:dyDescent="0.35">
      <c r="A81" s="177" t="s">
        <v>94</v>
      </c>
      <c r="B81" s="178" t="s">
        <v>29</v>
      </c>
      <c r="C81" s="179">
        <f t="shared" si="6"/>
        <v>3.59</v>
      </c>
      <c r="D81" s="179">
        <f t="shared" si="7"/>
        <v>3.2699999999999996</v>
      </c>
      <c r="E81" s="180">
        <f t="shared" si="10"/>
        <v>3.1482000000000006</v>
      </c>
      <c r="F81" s="181">
        <v>2.97</v>
      </c>
      <c r="G81" s="182" t="s">
        <v>51</v>
      </c>
      <c r="H81" s="5">
        <f t="shared" si="8"/>
        <v>8.9136490250696462E-2</v>
      </c>
    </row>
    <row r="82" spans="1:9" s="158" customFormat="1" ht="16.2" thickBot="1" x14ac:dyDescent="0.35">
      <c r="A82" s="177" t="s">
        <v>95</v>
      </c>
      <c r="B82" s="178" t="s">
        <v>29</v>
      </c>
      <c r="C82" s="179">
        <f t="shared" si="6"/>
        <v>7.47</v>
      </c>
      <c r="D82" s="179">
        <f t="shared" si="7"/>
        <v>6.8</v>
      </c>
      <c r="E82" s="180">
        <f t="shared" si="10"/>
        <v>6.5507999999999997</v>
      </c>
      <c r="F82" s="181">
        <v>6.18</v>
      </c>
      <c r="G82" s="182" t="s">
        <v>51</v>
      </c>
      <c r="H82" s="5">
        <f t="shared" si="8"/>
        <v>8.9692101740294503E-2</v>
      </c>
    </row>
    <row r="83" spans="1:9" s="158" customFormat="1" ht="16.2" thickBot="1" x14ac:dyDescent="0.35">
      <c r="A83" s="177" t="s">
        <v>96</v>
      </c>
      <c r="B83" s="178" t="s">
        <v>29</v>
      </c>
      <c r="C83" s="179">
        <f t="shared" si="6"/>
        <v>6.04</v>
      </c>
      <c r="D83" s="179">
        <f t="shared" si="7"/>
        <v>5.5</v>
      </c>
      <c r="E83" s="180">
        <f t="shared" si="10"/>
        <v>5.3000000000000007</v>
      </c>
      <c r="F83" s="181">
        <v>5</v>
      </c>
      <c r="G83" s="182" t="s">
        <v>51</v>
      </c>
      <c r="H83" s="5">
        <f t="shared" si="8"/>
        <v>8.9403973509933773E-2</v>
      </c>
    </row>
    <row r="84" spans="1:9" s="158" customFormat="1" ht="16.2" thickBot="1" x14ac:dyDescent="0.35">
      <c r="A84" s="177" t="s">
        <v>97</v>
      </c>
      <c r="B84" s="178" t="s">
        <v>36</v>
      </c>
      <c r="C84" s="179">
        <f t="shared" si="6"/>
        <v>12.08</v>
      </c>
      <c r="D84" s="179">
        <f t="shared" si="7"/>
        <v>11</v>
      </c>
      <c r="E84" s="180">
        <f t="shared" si="10"/>
        <v>10.600000000000001</v>
      </c>
      <c r="F84" s="181">
        <v>10</v>
      </c>
      <c r="G84" s="182" t="s">
        <v>231</v>
      </c>
      <c r="H84" s="5">
        <f t="shared" si="8"/>
        <v>8.9403973509933773E-2</v>
      </c>
    </row>
    <row r="85" spans="1:9" s="158" customFormat="1" ht="16.2" thickBot="1" x14ac:dyDescent="0.35">
      <c r="A85" s="176" t="s">
        <v>262</v>
      </c>
      <c r="B85" s="178" t="s">
        <v>29</v>
      </c>
      <c r="C85" s="179">
        <f t="shared" si="6"/>
        <v>136.72</v>
      </c>
      <c r="D85" s="179">
        <f t="shared" si="7"/>
        <v>126.72</v>
      </c>
      <c r="E85" s="180">
        <v>120</v>
      </c>
      <c r="F85" s="181">
        <f>+E85*0.96</f>
        <v>115.19999999999999</v>
      </c>
      <c r="G85" s="194" t="s">
        <v>254</v>
      </c>
      <c r="H85" s="5">
        <f t="shared" si="8"/>
        <v>7.3142188414277359E-2</v>
      </c>
    </row>
    <row r="86" spans="1:9" s="158" customFormat="1" ht="16.2" thickBot="1" x14ac:dyDescent="0.35">
      <c r="A86" s="176" t="s">
        <v>261</v>
      </c>
      <c r="B86" s="178" t="s">
        <v>29</v>
      </c>
      <c r="C86" s="179">
        <f t="shared" si="6"/>
        <v>22.790000000000003</v>
      </c>
      <c r="D86" s="179">
        <f t="shared" si="7"/>
        <v>21.12</v>
      </c>
      <c r="E86" s="180">
        <v>20</v>
      </c>
      <c r="F86" s="181">
        <f>+E86*0.96</f>
        <v>19.2</v>
      </c>
      <c r="G86" s="194"/>
      <c r="H86" s="5">
        <f t="shared" si="8"/>
        <v>7.3277753400614376E-2</v>
      </c>
    </row>
    <row r="87" spans="1:9" s="158" customFormat="1" ht="16.2" thickBot="1" x14ac:dyDescent="0.35">
      <c r="A87" s="176"/>
      <c r="B87" s="178"/>
      <c r="C87" s="179"/>
      <c r="D87" s="179"/>
      <c r="E87" s="180"/>
      <c r="F87" s="181"/>
      <c r="G87" s="182"/>
      <c r="H87" s="5"/>
    </row>
    <row r="88" spans="1:9" s="158" customFormat="1" ht="21.6" thickBot="1" x14ac:dyDescent="0.45">
      <c r="A88" s="190" t="s">
        <v>99</v>
      </c>
      <c r="B88" s="178"/>
      <c r="C88" s="179"/>
      <c r="D88" s="179"/>
      <c r="E88" s="180"/>
      <c r="F88" s="181"/>
      <c r="G88" s="182"/>
      <c r="H88" s="5"/>
    </row>
    <row r="89" spans="1:9" s="158" customFormat="1" ht="16.2" thickBot="1" x14ac:dyDescent="0.35">
      <c r="A89" s="177" t="s">
        <v>100</v>
      </c>
      <c r="B89" s="178" t="s">
        <v>101</v>
      </c>
      <c r="C89" s="179">
        <f>ROUNDUP(E89*0.87*1.1/0.84,2)</f>
        <v>8.82</v>
      </c>
      <c r="D89" s="179">
        <f>ROUNDUP(F89*1.1,2)</f>
        <v>8.18</v>
      </c>
      <c r="E89" s="180">
        <f>6.73*1.15</f>
        <v>7.7394999999999996</v>
      </c>
      <c r="F89" s="180">
        <f>0.96*E89</f>
        <v>7.4299199999999992</v>
      </c>
      <c r="G89" s="183" t="s">
        <v>306</v>
      </c>
      <c r="H89" s="5">
        <f t="shared" ref="H89:H102" si="11">(-D89+C89)/C89</f>
        <v>7.2562358276644048E-2</v>
      </c>
    </row>
    <row r="90" spans="1:9" s="158" customFormat="1" ht="16.2" thickBot="1" x14ac:dyDescent="0.35">
      <c r="A90" s="177" t="s">
        <v>102</v>
      </c>
      <c r="B90" s="178" t="s">
        <v>101</v>
      </c>
      <c r="C90" s="179">
        <f>ROUNDUP(E90*0.87*1.1/0.84,2)</f>
        <v>8.82</v>
      </c>
      <c r="D90" s="179">
        <f>ROUNDUP(F90*1.1,2)</f>
        <v>8.18</v>
      </c>
      <c r="E90" s="180">
        <f>6.73*1.15</f>
        <v>7.7394999999999996</v>
      </c>
      <c r="F90" s="180">
        <f>0.96*E90</f>
        <v>7.4299199999999992</v>
      </c>
      <c r="G90" s="183" t="s">
        <v>306</v>
      </c>
      <c r="H90" s="5">
        <f t="shared" si="11"/>
        <v>7.2562358276644048E-2</v>
      </c>
    </row>
    <row r="91" spans="1:9" s="158" customFormat="1" ht="16.2" thickBot="1" x14ac:dyDescent="0.35">
      <c r="A91" s="177" t="s">
        <v>103</v>
      </c>
      <c r="B91" s="178" t="s">
        <v>36</v>
      </c>
      <c r="C91" s="179">
        <f t="shared" ref="C91:C154" si="12">ROUNDUP(E91*0.87*1.1/0.84,2)</f>
        <v>10.07</v>
      </c>
      <c r="D91" s="179">
        <f t="shared" ref="D91:D154" si="13">ROUNDUP(F91*1.1,2)</f>
        <v>9.7200000000000006</v>
      </c>
      <c r="E91" s="181">
        <f>7.68*1.15</f>
        <v>8.831999999999999</v>
      </c>
      <c r="F91" s="181">
        <f>7.68*1.15</f>
        <v>8.831999999999999</v>
      </c>
      <c r="G91" s="195" t="s">
        <v>309</v>
      </c>
      <c r="H91" s="5">
        <f t="shared" si="11"/>
        <v>3.4756703078450808E-2</v>
      </c>
    </row>
    <row r="92" spans="1:9" s="158" customFormat="1" ht="16.2" thickBot="1" x14ac:dyDescent="0.35">
      <c r="A92" s="177" t="s">
        <v>104</v>
      </c>
      <c r="B92" s="178" t="s">
        <v>36</v>
      </c>
      <c r="C92" s="179">
        <f t="shared" si="12"/>
        <v>12.43</v>
      </c>
      <c r="D92" s="179">
        <f t="shared" si="13"/>
        <v>12</v>
      </c>
      <c r="E92" s="181">
        <f>9.48*1.15</f>
        <v>10.901999999999999</v>
      </c>
      <c r="F92" s="181">
        <f>9.48*1.15</f>
        <v>10.901999999999999</v>
      </c>
      <c r="G92" s="195" t="s">
        <v>310</v>
      </c>
      <c r="H92" s="5">
        <f t="shared" si="11"/>
        <v>3.4593724859211562E-2</v>
      </c>
      <c r="I92" s="158">
        <f>74/(3.66*2.134)</f>
        <v>9.4744982356947887</v>
      </c>
    </row>
    <row r="93" spans="1:9" s="158" customFormat="1" ht="16.2" thickBot="1" x14ac:dyDescent="0.35">
      <c r="A93" s="177" t="s">
        <v>105</v>
      </c>
      <c r="B93" s="178" t="s">
        <v>36</v>
      </c>
      <c r="C93" s="179">
        <f t="shared" si="12"/>
        <v>14.1</v>
      </c>
      <c r="D93" s="179">
        <f t="shared" si="13"/>
        <v>13.62</v>
      </c>
      <c r="E93" s="181">
        <f>10.76*1.15</f>
        <v>12.373999999999999</v>
      </c>
      <c r="F93" s="181">
        <f>10.76*1.15</f>
        <v>12.373999999999999</v>
      </c>
      <c r="G93" s="195" t="s">
        <v>311</v>
      </c>
      <c r="H93" s="5">
        <f t="shared" si="11"/>
        <v>3.404255319148939E-2</v>
      </c>
      <c r="I93" s="158">
        <f>84/(3.66*2.134)</f>
        <v>10.754835835113003</v>
      </c>
    </row>
    <row r="94" spans="1:9" s="158" customFormat="1" ht="16.2" thickBot="1" x14ac:dyDescent="0.35">
      <c r="A94" s="177" t="s">
        <v>106</v>
      </c>
      <c r="B94" s="178" t="s">
        <v>36</v>
      </c>
      <c r="C94" s="179">
        <f t="shared" si="12"/>
        <v>18.740000000000002</v>
      </c>
      <c r="D94" s="179">
        <f t="shared" si="13"/>
        <v>18.09</v>
      </c>
      <c r="E94" s="181">
        <f>14.3*1.15</f>
        <v>16.445</v>
      </c>
      <c r="F94" s="181">
        <f>14.3*1.15</f>
        <v>16.445</v>
      </c>
      <c r="G94" s="195" t="s">
        <v>312</v>
      </c>
      <c r="H94" s="5">
        <f t="shared" si="11"/>
        <v>3.4685165421558271E-2</v>
      </c>
      <c r="I94" s="158">
        <f>110/(3.66*2.134)</f>
        <v>14.083713593600361</v>
      </c>
    </row>
    <row r="95" spans="1:9" s="158" customFormat="1" ht="16.2" thickBot="1" x14ac:dyDescent="0.35">
      <c r="A95" s="177" t="s">
        <v>107</v>
      </c>
      <c r="B95" s="178" t="s">
        <v>36</v>
      </c>
      <c r="C95" s="179">
        <f t="shared" si="12"/>
        <v>13.22</v>
      </c>
      <c r="D95" s="179">
        <f t="shared" si="13"/>
        <v>12.77</v>
      </c>
      <c r="E95" s="181">
        <f>10.09*1.15</f>
        <v>11.603499999999999</v>
      </c>
      <c r="F95" s="181">
        <f>10.09*1.15</f>
        <v>11.603499999999999</v>
      </c>
      <c r="G95" s="196" t="s">
        <v>313</v>
      </c>
      <c r="H95" s="5">
        <f t="shared" si="11"/>
        <v>3.4039334341906279E-2</v>
      </c>
    </row>
    <row r="96" spans="1:9" s="158" customFormat="1" ht="16.2" thickBot="1" x14ac:dyDescent="0.35">
      <c r="A96" s="177" t="s">
        <v>108</v>
      </c>
      <c r="B96" s="178" t="s">
        <v>36</v>
      </c>
      <c r="C96" s="179">
        <f t="shared" si="12"/>
        <v>14.52</v>
      </c>
      <c r="D96" s="179">
        <f t="shared" si="13"/>
        <v>14.02</v>
      </c>
      <c r="E96" s="181">
        <f>11.08*1.15</f>
        <v>12.741999999999999</v>
      </c>
      <c r="F96" s="181">
        <f>11.08*1.15</f>
        <v>12.741999999999999</v>
      </c>
      <c r="G96" s="195" t="s">
        <v>314</v>
      </c>
      <c r="H96" s="5">
        <f t="shared" si="11"/>
        <v>3.4435261707988982E-2</v>
      </c>
    </row>
    <row r="97" spans="1:8" s="158" customFormat="1" ht="16.2" thickBot="1" x14ac:dyDescent="0.35">
      <c r="A97" s="177" t="s">
        <v>109</v>
      </c>
      <c r="B97" s="178" t="s">
        <v>36</v>
      </c>
      <c r="C97" s="179">
        <f t="shared" si="12"/>
        <v>18.78</v>
      </c>
      <c r="D97" s="179">
        <f t="shared" si="13"/>
        <v>18.130000000000003</v>
      </c>
      <c r="E97" s="181">
        <f>14.33*1.15</f>
        <v>16.479499999999998</v>
      </c>
      <c r="F97" s="181">
        <f>14.33*1.15</f>
        <v>16.479499999999998</v>
      </c>
      <c r="G97" s="196" t="s">
        <v>315</v>
      </c>
      <c r="H97" s="5">
        <f t="shared" si="11"/>
        <v>3.4611288604898753E-2</v>
      </c>
    </row>
    <row r="98" spans="1:8" s="158" customFormat="1" ht="16.2" thickBot="1" x14ac:dyDescent="0.35">
      <c r="A98" s="177" t="s">
        <v>110</v>
      </c>
      <c r="B98" s="178" t="s">
        <v>36</v>
      </c>
      <c r="C98" s="179">
        <f t="shared" si="12"/>
        <v>21.82</v>
      </c>
      <c r="D98" s="179">
        <f t="shared" si="13"/>
        <v>21.07</v>
      </c>
      <c r="E98" s="181">
        <f>16.65*1.15</f>
        <v>19.147499999999997</v>
      </c>
      <c r="F98" s="181">
        <f>16.65*1.15</f>
        <v>19.147499999999997</v>
      </c>
      <c r="G98" s="195" t="s">
        <v>316</v>
      </c>
      <c r="H98" s="5">
        <f t="shared" si="11"/>
        <v>3.4372135655362054E-2</v>
      </c>
    </row>
    <row r="99" spans="1:8" s="158" customFormat="1" ht="16.2" thickBot="1" x14ac:dyDescent="0.35">
      <c r="A99" s="177" t="s">
        <v>111</v>
      </c>
      <c r="B99" s="178" t="s">
        <v>36</v>
      </c>
      <c r="C99" s="179">
        <f t="shared" si="12"/>
        <v>7.21</v>
      </c>
      <c r="D99" s="179">
        <f t="shared" si="13"/>
        <v>6.68</v>
      </c>
      <c r="E99" s="181">
        <f>5.5*1.15</f>
        <v>6.3249999999999993</v>
      </c>
      <c r="F99" s="181">
        <f>+E99*0.96</f>
        <v>6.0719999999999992</v>
      </c>
      <c r="G99" s="182" t="s">
        <v>317</v>
      </c>
      <c r="H99" s="5">
        <f t="shared" si="11"/>
        <v>7.3509015256588109E-2</v>
      </c>
    </row>
    <row r="100" spans="1:8" s="158" customFormat="1" ht="16.2" thickBot="1" x14ac:dyDescent="0.35">
      <c r="A100" s="177" t="s">
        <v>112</v>
      </c>
      <c r="B100" s="178" t="s">
        <v>36</v>
      </c>
      <c r="C100" s="179">
        <f t="shared" si="12"/>
        <v>9.39</v>
      </c>
      <c r="D100" s="179">
        <f t="shared" si="13"/>
        <v>8.6999999999999993</v>
      </c>
      <c r="E100" s="181">
        <f>7.16*1.15</f>
        <v>8.234</v>
      </c>
      <c r="F100" s="181">
        <f>+E100*0.96</f>
        <v>7.9046399999999997</v>
      </c>
      <c r="G100" s="182" t="s">
        <v>318</v>
      </c>
      <c r="H100" s="5">
        <f t="shared" si="11"/>
        <v>7.348242811501611E-2</v>
      </c>
    </row>
    <row r="101" spans="1:8" s="158" customFormat="1" ht="16.2" thickBot="1" x14ac:dyDescent="0.35">
      <c r="A101" s="177" t="s">
        <v>113</v>
      </c>
      <c r="B101" s="178" t="s">
        <v>36</v>
      </c>
      <c r="C101" s="179">
        <f t="shared" si="12"/>
        <v>31.450000000000003</v>
      </c>
      <c r="D101" s="179">
        <f t="shared" si="13"/>
        <v>29.150000000000002</v>
      </c>
      <c r="E101" s="181">
        <f>24*1.15</f>
        <v>27.599999999999998</v>
      </c>
      <c r="F101" s="181">
        <f>+E101*0.96</f>
        <v>26.495999999999999</v>
      </c>
      <c r="G101" s="196" t="s">
        <v>319</v>
      </c>
      <c r="H101" s="5">
        <f t="shared" si="11"/>
        <v>7.3131955484896677E-2</v>
      </c>
    </row>
    <row r="102" spans="1:8" s="158" customFormat="1" ht="16.2" thickBot="1" x14ac:dyDescent="0.35">
      <c r="A102" s="177" t="s">
        <v>114</v>
      </c>
      <c r="B102" s="178" t="s">
        <v>36</v>
      </c>
      <c r="C102" s="179">
        <f t="shared" si="12"/>
        <v>31.450000000000003</v>
      </c>
      <c r="D102" s="179">
        <f t="shared" si="13"/>
        <v>29.150000000000002</v>
      </c>
      <c r="E102" s="181">
        <f>24*1.15</f>
        <v>27.599999999999998</v>
      </c>
      <c r="F102" s="181">
        <f>+E102*0.96</f>
        <v>26.495999999999999</v>
      </c>
      <c r="G102" s="196" t="s">
        <v>319</v>
      </c>
      <c r="H102" s="5">
        <f t="shared" si="11"/>
        <v>7.3131955484896677E-2</v>
      </c>
    </row>
    <row r="103" spans="1:8" s="158" customFormat="1" ht="16.2" thickBot="1" x14ac:dyDescent="0.35">
      <c r="A103" s="177" t="s">
        <v>115</v>
      </c>
      <c r="B103" s="178" t="s">
        <v>36</v>
      </c>
      <c r="C103" s="179">
        <f t="shared" si="12"/>
        <v>0</v>
      </c>
      <c r="D103" s="179">
        <f t="shared" si="13"/>
        <v>0</v>
      </c>
      <c r="E103" s="181"/>
      <c r="F103" s="181"/>
      <c r="G103" s="196"/>
      <c r="H103" s="5"/>
    </row>
    <row r="104" spans="1:8" s="158" customFormat="1" ht="16.2" thickBot="1" x14ac:dyDescent="0.35">
      <c r="A104" s="177" t="s">
        <v>116</v>
      </c>
      <c r="B104" s="178" t="s">
        <v>36</v>
      </c>
      <c r="C104" s="179">
        <f t="shared" si="12"/>
        <v>0</v>
      </c>
      <c r="D104" s="179">
        <f t="shared" si="13"/>
        <v>0</v>
      </c>
      <c r="E104" s="181"/>
      <c r="F104" s="181"/>
      <c r="G104" s="182"/>
      <c r="H104" s="5"/>
    </row>
    <row r="105" spans="1:8" s="158" customFormat="1" ht="16.2" thickBot="1" x14ac:dyDescent="0.35">
      <c r="A105" s="177" t="s">
        <v>117</v>
      </c>
      <c r="B105" s="178" t="s">
        <v>36</v>
      </c>
      <c r="C105" s="179">
        <f t="shared" si="12"/>
        <v>0</v>
      </c>
      <c r="D105" s="179">
        <f t="shared" si="13"/>
        <v>0</v>
      </c>
      <c r="E105" s="181"/>
      <c r="F105" s="181"/>
      <c r="G105" s="182"/>
      <c r="H105" s="5"/>
    </row>
    <row r="106" spans="1:8" s="158" customFormat="1" ht="16.2" thickBot="1" x14ac:dyDescent="0.35">
      <c r="A106" s="177" t="s">
        <v>118</v>
      </c>
      <c r="B106" s="178" t="s">
        <v>36</v>
      </c>
      <c r="C106" s="179">
        <f t="shared" si="12"/>
        <v>48.48</v>
      </c>
      <c r="D106" s="179">
        <f t="shared" si="13"/>
        <v>44.94</v>
      </c>
      <c r="E106" s="181">
        <f>37*1.15</f>
        <v>42.55</v>
      </c>
      <c r="F106" s="181">
        <f>+E106*0.96</f>
        <v>40.847999999999999</v>
      </c>
      <c r="G106" s="196" t="s">
        <v>320</v>
      </c>
      <c r="H106" s="5">
        <f t="shared" ref="H106:H169" si="14">(-D106+C106)/C106</f>
        <v>7.3019801980198001E-2</v>
      </c>
    </row>
    <row r="107" spans="1:8" s="158" customFormat="1" ht="16.2" thickBot="1" x14ac:dyDescent="0.35">
      <c r="A107" s="177" t="s">
        <v>119</v>
      </c>
      <c r="B107" s="178" t="s">
        <v>17</v>
      </c>
      <c r="C107" s="179">
        <f t="shared" si="12"/>
        <v>29.85</v>
      </c>
      <c r="D107" s="179">
        <f t="shared" si="13"/>
        <v>27.380000000000003</v>
      </c>
      <c r="E107" s="180">
        <v>26.2</v>
      </c>
      <c r="F107" s="181">
        <f>+E107*0.95</f>
        <v>24.889999999999997</v>
      </c>
      <c r="G107" s="182" t="s">
        <v>120</v>
      </c>
      <c r="H107" s="5">
        <f t="shared" si="14"/>
        <v>8.274706867671687E-2</v>
      </c>
    </row>
    <row r="108" spans="1:8" s="158" customFormat="1" ht="16.2" thickBot="1" x14ac:dyDescent="0.35">
      <c r="A108" s="177" t="s">
        <v>121</v>
      </c>
      <c r="B108" s="178" t="s">
        <v>17</v>
      </c>
      <c r="C108" s="179">
        <f t="shared" si="12"/>
        <v>47.85</v>
      </c>
      <c r="D108" s="179">
        <f t="shared" si="13"/>
        <v>43.89</v>
      </c>
      <c r="E108" s="180">
        <v>42</v>
      </c>
      <c r="F108" s="181">
        <f>+E108*0.95</f>
        <v>39.9</v>
      </c>
      <c r="G108" s="182" t="s">
        <v>120</v>
      </c>
      <c r="H108" s="5">
        <f t="shared" si="14"/>
        <v>8.2758620689655185E-2</v>
      </c>
    </row>
    <row r="109" spans="1:8" s="158" customFormat="1" ht="16.2" thickBot="1" x14ac:dyDescent="0.35">
      <c r="A109" s="177" t="s">
        <v>122</v>
      </c>
      <c r="B109" s="178" t="s">
        <v>17</v>
      </c>
      <c r="C109" s="179">
        <f t="shared" si="12"/>
        <v>74.06</v>
      </c>
      <c r="D109" s="179">
        <f t="shared" si="13"/>
        <v>67.930000000000007</v>
      </c>
      <c r="E109" s="180">
        <v>65</v>
      </c>
      <c r="F109" s="181">
        <f>+E109*0.95</f>
        <v>61.75</v>
      </c>
      <c r="G109" s="182" t="s">
        <v>120</v>
      </c>
      <c r="H109" s="5">
        <f t="shared" si="14"/>
        <v>8.2770726438023162E-2</v>
      </c>
    </row>
    <row r="110" spans="1:8" s="158" customFormat="1" ht="16.2" thickBot="1" x14ac:dyDescent="0.35">
      <c r="A110" s="177" t="s">
        <v>27</v>
      </c>
      <c r="B110" s="178" t="s">
        <v>20</v>
      </c>
      <c r="C110" s="179">
        <f t="shared" si="12"/>
        <v>0.14000000000000001</v>
      </c>
      <c r="D110" s="179">
        <f t="shared" si="13"/>
        <v>0.14000000000000001</v>
      </c>
      <c r="E110" s="180">
        <v>0.12</v>
      </c>
      <c r="F110" s="181">
        <f t="shared" ref="F110:F140" si="15">+E110</f>
        <v>0.12</v>
      </c>
      <c r="G110" s="182" t="s">
        <v>21</v>
      </c>
      <c r="H110" s="5">
        <f t="shared" si="14"/>
        <v>0</v>
      </c>
    </row>
    <row r="111" spans="1:8" s="158" customFormat="1" ht="16.2" thickBot="1" x14ac:dyDescent="0.35">
      <c r="A111" s="177" t="s">
        <v>123</v>
      </c>
      <c r="B111" s="178" t="s">
        <v>20</v>
      </c>
      <c r="C111" s="179">
        <f t="shared" si="12"/>
        <v>0.35000000000000003</v>
      </c>
      <c r="D111" s="179">
        <f t="shared" si="13"/>
        <v>0.33</v>
      </c>
      <c r="E111" s="180">
        <v>0.3</v>
      </c>
      <c r="F111" s="181">
        <f t="shared" si="15"/>
        <v>0.3</v>
      </c>
      <c r="G111" s="182" t="s">
        <v>21</v>
      </c>
      <c r="H111" s="5">
        <f t="shared" si="14"/>
        <v>5.714285714285719E-2</v>
      </c>
    </row>
    <row r="112" spans="1:8" s="158" customFormat="1" ht="16.2" thickBot="1" x14ac:dyDescent="0.35">
      <c r="A112" s="177" t="s">
        <v>124</v>
      </c>
      <c r="B112" s="178" t="s">
        <v>29</v>
      </c>
      <c r="C112" s="179">
        <f t="shared" si="12"/>
        <v>1.37</v>
      </c>
      <c r="D112" s="179">
        <f t="shared" si="13"/>
        <v>1.32</v>
      </c>
      <c r="E112" s="181">
        <v>1.2</v>
      </c>
      <c r="F112" s="181">
        <f t="shared" si="15"/>
        <v>1.2</v>
      </c>
      <c r="G112" s="182" t="s">
        <v>21</v>
      </c>
      <c r="H112" s="5">
        <f t="shared" si="14"/>
        <v>3.6496350364963535E-2</v>
      </c>
    </row>
    <row r="113" spans="1:8" s="158" customFormat="1" ht="16.2" thickBot="1" x14ac:dyDescent="0.35">
      <c r="A113" s="177" t="s">
        <v>125</v>
      </c>
      <c r="B113" s="178" t="s">
        <v>29</v>
      </c>
      <c r="C113" s="179">
        <f t="shared" si="12"/>
        <v>0.57000000000000006</v>
      </c>
      <c r="D113" s="179">
        <f t="shared" si="13"/>
        <v>0.55000000000000004</v>
      </c>
      <c r="E113" s="181">
        <v>0.5</v>
      </c>
      <c r="F113" s="181">
        <f t="shared" si="15"/>
        <v>0.5</v>
      </c>
      <c r="G113" s="182" t="s">
        <v>21</v>
      </c>
      <c r="H113" s="5">
        <f t="shared" si="14"/>
        <v>3.508771929824564E-2</v>
      </c>
    </row>
    <row r="114" spans="1:8" s="158" customFormat="1" ht="16.2" thickBot="1" x14ac:dyDescent="0.35">
      <c r="A114" s="177" t="s">
        <v>126</v>
      </c>
      <c r="B114" s="178" t="s">
        <v>29</v>
      </c>
      <c r="C114" s="179">
        <f t="shared" si="12"/>
        <v>0.46</v>
      </c>
      <c r="D114" s="179">
        <f t="shared" si="13"/>
        <v>0.44</v>
      </c>
      <c r="E114" s="181">
        <v>0.4</v>
      </c>
      <c r="F114" s="181">
        <f t="shared" si="15"/>
        <v>0.4</v>
      </c>
      <c r="G114" s="182" t="s">
        <v>21</v>
      </c>
      <c r="H114" s="5">
        <f t="shared" si="14"/>
        <v>4.3478260869565251E-2</v>
      </c>
    </row>
    <row r="115" spans="1:8" s="158" customFormat="1" ht="16.2" thickBot="1" x14ac:dyDescent="0.35">
      <c r="A115" s="177" t="s">
        <v>127</v>
      </c>
      <c r="B115" s="178" t="s">
        <v>29</v>
      </c>
      <c r="C115" s="179">
        <f t="shared" si="12"/>
        <v>0.46</v>
      </c>
      <c r="D115" s="179">
        <f t="shared" si="13"/>
        <v>0.44</v>
      </c>
      <c r="E115" s="181">
        <v>0.4</v>
      </c>
      <c r="F115" s="181">
        <f t="shared" si="15"/>
        <v>0.4</v>
      </c>
      <c r="G115" s="182" t="s">
        <v>21</v>
      </c>
      <c r="H115" s="5">
        <f t="shared" si="14"/>
        <v>4.3478260869565251E-2</v>
      </c>
    </row>
    <row r="116" spans="1:8" s="158" customFormat="1" ht="16.2" thickBot="1" x14ac:dyDescent="0.35">
      <c r="A116" s="177" t="s">
        <v>128</v>
      </c>
      <c r="B116" s="178" t="s">
        <v>29</v>
      </c>
      <c r="C116" s="179">
        <f t="shared" si="12"/>
        <v>0.57000000000000006</v>
      </c>
      <c r="D116" s="179">
        <f t="shared" si="13"/>
        <v>0.55000000000000004</v>
      </c>
      <c r="E116" s="181">
        <v>0.5</v>
      </c>
      <c r="F116" s="181">
        <f t="shared" si="15"/>
        <v>0.5</v>
      </c>
      <c r="G116" s="182" t="s">
        <v>21</v>
      </c>
      <c r="H116" s="5">
        <f t="shared" si="14"/>
        <v>3.508771929824564E-2</v>
      </c>
    </row>
    <row r="117" spans="1:8" s="158" customFormat="1" ht="16.2" thickBot="1" x14ac:dyDescent="0.35">
      <c r="A117" s="177" t="s">
        <v>129</v>
      </c>
      <c r="B117" s="178" t="s">
        <v>29</v>
      </c>
      <c r="C117" s="179">
        <f t="shared" si="12"/>
        <v>1.83</v>
      </c>
      <c r="D117" s="179">
        <f t="shared" si="13"/>
        <v>1.76</v>
      </c>
      <c r="E117" s="180">
        <v>1.6</v>
      </c>
      <c r="F117" s="181">
        <f t="shared" si="15"/>
        <v>1.6</v>
      </c>
      <c r="G117" s="182" t="s">
        <v>21</v>
      </c>
      <c r="H117" s="5">
        <f t="shared" si="14"/>
        <v>3.8251366120218615E-2</v>
      </c>
    </row>
    <row r="118" spans="1:8" s="158" customFormat="1" ht="16.2" thickBot="1" x14ac:dyDescent="0.35">
      <c r="A118" s="177" t="s">
        <v>130</v>
      </c>
      <c r="B118" s="178" t="s">
        <v>29</v>
      </c>
      <c r="C118" s="179">
        <f t="shared" si="12"/>
        <v>3.42</v>
      </c>
      <c r="D118" s="179">
        <f t="shared" si="13"/>
        <v>3.3</v>
      </c>
      <c r="E118" s="180">
        <v>3</v>
      </c>
      <c r="F118" s="181">
        <f t="shared" si="15"/>
        <v>3</v>
      </c>
      <c r="G118" s="182" t="s">
        <v>21</v>
      </c>
      <c r="H118" s="5">
        <f t="shared" si="14"/>
        <v>3.5087719298245647E-2</v>
      </c>
    </row>
    <row r="119" spans="1:8" s="158" customFormat="1" ht="16.2" thickBot="1" x14ac:dyDescent="0.35">
      <c r="A119" s="177" t="s">
        <v>131</v>
      </c>
      <c r="B119" s="178" t="s">
        <v>29</v>
      </c>
      <c r="C119" s="179">
        <f t="shared" si="12"/>
        <v>0.12</v>
      </c>
      <c r="D119" s="179">
        <f t="shared" si="13"/>
        <v>0.11</v>
      </c>
      <c r="E119" s="180">
        <v>0.1</v>
      </c>
      <c r="F119" s="181">
        <f t="shared" si="15"/>
        <v>0.1</v>
      </c>
      <c r="G119" s="182" t="s">
        <v>21</v>
      </c>
      <c r="H119" s="5">
        <f t="shared" si="14"/>
        <v>8.3333333333333301E-2</v>
      </c>
    </row>
    <row r="120" spans="1:8" s="158" customFormat="1" ht="16.2" thickBot="1" x14ac:dyDescent="0.35">
      <c r="A120" s="177" t="s">
        <v>132</v>
      </c>
      <c r="B120" s="178" t="s">
        <v>29</v>
      </c>
      <c r="C120" s="179">
        <f t="shared" si="12"/>
        <v>0.12</v>
      </c>
      <c r="D120" s="179">
        <f t="shared" si="13"/>
        <v>0.11</v>
      </c>
      <c r="E120" s="180">
        <v>0.1</v>
      </c>
      <c r="F120" s="181">
        <f t="shared" si="15"/>
        <v>0.1</v>
      </c>
      <c r="G120" s="182" t="s">
        <v>21</v>
      </c>
      <c r="H120" s="5">
        <f t="shared" si="14"/>
        <v>8.3333333333333301E-2</v>
      </c>
    </row>
    <row r="121" spans="1:8" s="158" customFormat="1" ht="16.2" thickBot="1" x14ac:dyDescent="0.35">
      <c r="A121" s="177" t="s">
        <v>133</v>
      </c>
      <c r="B121" s="178" t="s">
        <v>29</v>
      </c>
      <c r="C121" s="179">
        <f t="shared" si="12"/>
        <v>0.12</v>
      </c>
      <c r="D121" s="179">
        <f t="shared" si="13"/>
        <v>0.11</v>
      </c>
      <c r="E121" s="180">
        <v>0.1</v>
      </c>
      <c r="F121" s="181">
        <f t="shared" si="15"/>
        <v>0.1</v>
      </c>
      <c r="G121" s="182" t="s">
        <v>21</v>
      </c>
      <c r="H121" s="5">
        <f t="shared" si="14"/>
        <v>8.3333333333333301E-2</v>
      </c>
    </row>
    <row r="122" spans="1:8" s="158" customFormat="1" ht="16.2" thickBot="1" x14ac:dyDescent="0.35">
      <c r="A122" s="177" t="s">
        <v>134</v>
      </c>
      <c r="B122" s="178" t="s">
        <v>29</v>
      </c>
      <c r="C122" s="179">
        <f t="shared" si="12"/>
        <v>0.12</v>
      </c>
      <c r="D122" s="179">
        <f t="shared" si="13"/>
        <v>0.11</v>
      </c>
      <c r="E122" s="180">
        <v>0.1</v>
      </c>
      <c r="F122" s="181">
        <f t="shared" si="15"/>
        <v>0.1</v>
      </c>
      <c r="G122" s="182" t="s">
        <v>21</v>
      </c>
      <c r="H122" s="5">
        <f t="shared" si="14"/>
        <v>8.3333333333333301E-2</v>
      </c>
    </row>
    <row r="123" spans="1:8" s="158" customFormat="1" ht="16.2" thickBot="1" x14ac:dyDescent="0.35">
      <c r="A123" s="177" t="s">
        <v>199</v>
      </c>
      <c r="B123" s="178" t="s">
        <v>135</v>
      </c>
      <c r="C123" s="179">
        <f t="shared" si="12"/>
        <v>15.26</v>
      </c>
      <c r="D123" s="179">
        <f t="shared" si="13"/>
        <v>14.3</v>
      </c>
      <c r="E123" s="180">
        <f>+F123*1.03</f>
        <v>13.39</v>
      </c>
      <c r="F123" s="181">
        <v>13</v>
      </c>
      <c r="G123" s="182" t="s">
        <v>51</v>
      </c>
      <c r="H123" s="5">
        <f t="shared" si="14"/>
        <v>6.2909567496723398E-2</v>
      </c>
    </row>
    <row r="124" spans="1:8" s="158" customFormat="1" ht="16.2" thickBot="1" x14ac:dyDescent="0.35">
      <c r="A124" s="177" t="s">
        <v>200</v>
      </c>
      <c r="B124" s="178" t="s">
        <v>135</v>
      </c>
      <c r="C124" s="179">
        <f t="shared" si="12"/>
        <v>19.950000000000003</v>
      </c>
      <c r="D124" s="179">
        <f t="shared" si="13"/>
        <v>18.7</v>
      </c>
      <c r="E124" s="180">
        <f t="shared" ref="E124:E130" si="16">+F124*1.03</f>
        <v>17.510000000000002</v>
      </c>
      <c r="F124" s="181">
        <v>17</v>
      </c>
      <c r="G124" s="182" t="s">
        <v>51</v>
      </c>
      <c r="H124" s="5">
        <f t="shared" si="14"/>
        <v>6.2656641604010188E-2</v>
      </c>
    </row>
    <row r="125" spans="1:8" s="158" customFormat="1" ht="16.2" thickBot="1" x14ac:dyDescent="0.35">
      <c r="A125" s="177" t="s">
        <v>201</v>
      </c>
      <c r="B125" s="178" t="s">
        <v>135</v>
      </c>
      <c r="C125" s="179">
        <f t="shared" si="12"/>
        <v>22.3</v>
      </c>
      <c r="D125" s="179">
        <f t="shared" si="13"/>
        <v>20.9</v>
      </c>
      <c r="E125" s="180">
        <f t="shared" si="16"/>
        <v>19.57</v>
      </c>
      <c r="F125" s="181">
        <v>19</v>
      </c>
      <c r="G125" s="182" t="s">
        <v>51</v>
      </c>
      <c r="H125" s="5">
        <f t="shared" si="14"/>
        <v>6.2780269058296062E-2</v>
      </c>
    </row>
    <row r="126" spans="1:8" s="158" customFormat="1" ht="16.2" thickBot="1" x14ac:dyDescent="0.35">
      <c r="A126" s="177" t="s">
        <v>202</v>
      </c>
      <c r="B126" s="178" t="s">
        <v>135</v>
      </c>
      <c r="C126" s="179">
        <f t="shared" si="12"/>
        <v>28.17</v>
      </c>
      <c r="D126" s="179">
        <f t="shared" si="13"/>
        <v>26.4</v>
      </c>
      <c r="E126" s="180">
        <f t="shared" si="16"/>
        <v>24.72</v>
      </c>
      <c r="F126" s="181">
        <v>24</v>
      </c>
      <c r="G126" s="182" t="s">
        <v>51</v>
      </c>
      <c r="H126" s="5">
        <f t="shared" si="14"/>
        <v>6.2832800851970294E-2</v>
      </c>
    </row>
    <row r="127" spans="1:8" s="158" customFormat="1" ht="16.2" thickBot="1" x14ac:dyDescent="0.35">
      <c r="A127" s="177" t="s">
        <v>203</v>
      </c>
      <c r="B127" s="178" t="s">
        <v>135</v>
      </c>
      <c r="C127" s="179">
        <f t="shared" si="12"/>
        <v>30.520000000000003</v>
      </c>
      <c r="D127" s="179">
        <f t="shared" si="13"/>
        <v>28.6</v>
      </c>
      <c r="E127" s="180">
        <f t="shared" si="16"/>
        <v>26.78</v>
      </c>
      <c r="F127" s="181">
        <v>26</v>
      </c>
      <c r="G127" s="182" t="s">
        <v>51</v>
      </c>
      <c r="H127" s="5">
        <f t="shared" si="14"/>
        <v>6.2909567496723509E-2</v>
      </c>
    </row>
    <row r="128" spans="1:8" s="158" customFormat="1" ht="16.2" thickBot="1" x14ac:dyDescent="0.35">
      <c r="A128" s="177" t="s">
        <v>204</v>
      </c>
      <c r="B128" s="178" t="s">
        <v>135</v>
      </c>
      <c r="C128" s="179">
        <f t="shared" si="12"/>
        <v>38.729999999999997</v>
      </c>
      <c r="D128" s="179">
        <f t="shared" si="13"/>
        <v>36.299999999999997</v>
      </c>
      <c r="E128" s="180">
        <f t="shared" si="16"/>
        <v>33.99</v>
      </c>
      <c r="F128" s="181">
        <v>33</v>
      </c>
      <c r="G128" s="182" t="s">
        <v>51</v>
      </c>
      <c r="H128" s="5">
        <f t="shared" si="14"/>
        <v>6.2742060418280399E-2</v>
      </c>
    </row>
    <row r="129" spans="1:8" s="158" customFormat="1" ht="16.2" thickBot="1" x14ac:dyDescent="0.35">
      <c r="A129" s="177" t="s">
        <v>205</v>
      </c>
      <c r="B129" s="178" t="s">
        <v>135</v>
      </c>
      <c r="C129" s="179">
        <f t="shared" si="12"/>
        <v>43.419999999999995</v>
      </c>
      <c r="D129" s="179">
        <f t="shared" si="13"/>
        <v>40.700000000000003</v>
      </c>
      <c r="E129" s="180">
        <f t="shared" si="16"/>
        <v>38.11</v>
      </c>
      <c r="F129" s="181">
        <v>37</v>
      </c>
      <c r="G129" s="182" t="s">
        <v>51</v>
      </c>
      <c r="H129" s="5">
        <f t="shared" si="14"/>
        <v>6.2643942883463657E-2</v>
      </c>
    </row>
    <row r="130" spans="1:8" s="158" customFormat="1" ht="16.2" thickBot="1" x14ac:dyDescent="0.35">
      <c r="A130" s="177" t="s">
        <v>206</v>
      </c>
      <c r="B130" s="178" t="s">
        <v>135</v>
      </c>
      <c r="C130" s="179">
        <f t="shared" si="12"/>
        <v>52.809999999999995</v>
      </c>
      <c r="D130" s="179">
        <f t="shared" si="13"/>
        <v>49.5</v>
      </c>
      <c r="E130" s="180">
        <f t="shared" si="16"/>
        <v>46.35</v>
      </c>
      <c r="F130" s="181">
        <v>45</v>
      </c>
      <c r="G130" s="182" t="s">
        <v>51</v>
      </c>
      <c r="H130" s="5">
        <f t="shared" si="14"/>
        <v>6.2677523196364243E-2</v>
      </c>
    </row>
    <row r="131" spans="1:8" s="158" customFormat="1" ht="16.2" thickBot="1" x14ac:dyDescent="0.35">
      <c r="A131" s="177" t="s">
        <v>136</v>
      </c>
      <c r="B131" s="178" t="s">
        <v>29</v>
      </c>
      <c r="C131" s="179">
        <f t="shared" si="12"/>
        <v>2.0599999999999996</v>
      </c>
      <c r="D131" s="179">
        <f t="shared" si="13"/>
        <v>1.98</v>
      </c>
      <c r="E131" s="180">
        <v>1.8</v>
      </c>
      <c r="F131" s="181">
        <f t="shared" si="15"/>
        <v>1.8</v>
      </c>
      <c r="G131" s="182" t="s">
        <v>21</v>
      </c>
      <c r="H131" s="5">
        <f t="shared" si="14"/>
        <v>3.8834951456310503E-2</v>
      </c>
    </row>
    <row r="132" spans="1:8" s="158" customFormat="1" ht="16.2" thickBot="1" x14ac:dyDescent="0.35">
      <c r="A132" s="177" t="s">
        <v>137</v>
      </c>
      <c r="B132" s="178" t="s">
        <v>29</v>
      </c>
      <c r="C132" s="179">
        <f t="shared" si="12"/>
        <v>1.71</v>
      </c>
      <c r="D132" s="179">
        <f t="shared" si="13"/>
        <v>1.65</v>
      </c>
      <c r="E132" s="180">
        <v>1.5</v>
      </c>
      <c r="F132" s="181">
        <f t="shared" si="15"/>
        <v>1.5</v>
      </c>
      <c r="G132" s="182" t="s">
        <v>21</v>
      </c>
      <c r="H132" s="5">
        <f t="shared" si="14"/>
        <v>3.5087719298245647E-2</v>
      </c>
    </row>
    <row r="133" spans="1:8" s="158" customFormat="1" ht="16.2" thickBot="1" x14ac:dyDescent="0.35">
      <c r="A133" s="177" t="s">
        <v>138</v>
      </c>
      <c r="B133" s="178" t="s">
        <v>29</v>
      </c>
      <c r="C133" s="179">
        <f t="shared" si="12"/>
        <v>2.8499999999999996</v>
      </c>
      <c r="D133" s="179">
        <f t="shared" si="13"/>
        <v>2.75</v>
      </c>
      <c r="E133" s="180">
        <v>2.5</v>
      </c>
      <c r="F133" s="181">
        <f t="shared" si="15"/>
        <v>2.5</v>
      </c>
      <c r="G133" s="182" t="s">
        <v>21</v>
      </c>
      <c r="H133" s="5">
        <f t="shared" si="14"/>
        <v>3.5087719298245494E-2</v>
      </c>
    </row>
    <row r="134" spans="1:8" s="158" customFormat="1" ht="16.2" thickBot="1" x14ac:dyDescent="0.35">
      <c r="A134" s="177" t="s">
        <v>139</v>
      </c>
      <c r="B134" s="178" t="s">
        <v>135</v>
      </c>
      <c r="C134" s="179">
        <f t="shared" si="12"/>
        <v>11.17</v>
      </c>
      <c r="D134" s="179">
        <f t="shared" si="13"/>
        <v>10.78</v>
      </c>
      <c r="E134" s="180">
        <v>9.8000000000000007</v>
      </c>
      <c r="F134" s="181">
        <f t="shared" si="15"/>
        <v>9.8000000000000007</v>
      </c>
      <c r="G134" s="182" t="s">
        <v>21</v>
      </c>
      <c r="H134" s="5">
        <f t="shared" si="14"/>
        <v>3.4914950760966929E-2</v>
      </c>
    </row>
    <row r="135" spans="1:8" s="158" customFormat="1" ht="16.2" thickBot="1" x14ac:dyDescent="0.35">
      <c r="A135" s="177" t="s">
        <v>140</v>
      </c>
      <c r="B135" s="178" t="s">
        <v>135</v>
      </c>
      <c r="C135" s="179">
        <f t="shared" si="12"/>
        <v>17.150000000000002</v>
      </c>
      <c r="D135" s="179">
        <f t="shared" si="13"/>
        <v>16.560000000000002</v>
      </c>
      <c r="E135" s="180">
        <v>15.05</v>
      </c>
      <c r="F135" s="181">
        <f t="shared" si="15"/>
        <v>15.05</v>
      </c>
      <c r="G135" s="182" t="s">
        <v>21</v>
      </c>
      <c r="H135" s="5">
        <f t="shared" si="14"/>
        <v>3.4402332361516019E-2</v>
      </c>
    </row>
    <row r="136" spans="1:8" s="158" customFormat="1" ht="16.2" thickBot="1" x14ac:dyDescent="0.35">
      <c r="A136" s="177" t="s">
        <v>141</v>
      </c>
      <c r="B136" s="178" t="s">
        <v>135</v>
      </c>
      <c r="C136" s="179">
        <f t="shared" si="12"/>
        <v>21.080000000000002</v>
      </c>
      <c r="D136" s="179">
        <f t="shared" si="13"/>
        <v>20.350000000000001</v>
      </c>
      <c r="E136" s="180">
        <v>18.5</v>
      </c>
      <c r="F136" s="181">
        <f t="shared" si="15"/>
        <v>18.5</v>
      </c>
      <c r="G136" s="182" t="s">
        <v>21</v>
      </c>
      <c r="H136" s="5">
        <f t="shared" si="14"/>
        <v>3.4629981024667945E-2</v>
      </c>
    </row>
    <row r="137" spans="1:8" s="158" customFormat="1" ht="16.2" thickBot="1" x14ac:dyDescent="0.35">
      <c r="A137" s="177" t="s">
        <v>142</v>
      </c>
      <c r="B137" s="178" t="s">
        <v>135</v>
      </c>
      <c r="C137" s="179">
        <f t="shared" si="12"/>
        <v>25.23</v>
      </c>
      <c r="D137" s="179">
        <f t="shared" si="13"/>
        <v>24.360000000000003</v>
      </c>
      <c r="E137" s="180">
        <v>22.14</v>
      </c>
      <c r="F137" s="181">
        <f t="shared" si="15"/>
        <v>22.14</v>
      </c>
      <c r="G137" s="182" t="s">
        <v>21</v>
      </c>
      <c r="H137" s="5">
        <f t="shared" si="14"/>
        <v>3.4482758620689551E-2</v>
      </c>
    </row>
    <row r="138" spans="1:8" s="158" customFormat="1" ht="16.2" thickBot="1" x14ac:dyDescent="0.35">
      <c r="A138" s="177" t="s">
        <v>143</v>
      </c>
      <c r="B138" s="178" t="s">
        <v>135</v>
      </c>
      <c r="C138" s="179">
        <f t="shared" si="12"/>
        <v>31.240000000000002</v>
      </c>
      <c r="D138" s="179">
        <f t="shared" si="13"/>
        <v>30.17</v>
      </c>
      <c r="E138" s="180">
        <v>27.42</v>
      </c>
      <c r="F138" s="181">
        <f t="shared" si="15"/>
        <v>27.42</v>
      </c>
      <c r="G138" s="182" t="s">
        <v>21</v>
      </c>
      <c r="H138" s="5">
        <f t="shared" si="14"/>
        <v>3.4250960307298343E-2</v>
      </c>
    </row>
    <row r="139" spans="1:8" s="158" customFormat="1" ht="16.2" thickBot="1" x14ac:dyDescent="0.35">
      <c r="A139" s="177" t="s">
        <v>144</v>
      </c>
      <c r="B139" s="178" t="s">
        <v>135</v>
      </c>
      <c r="C139" s="179">
        <f t="shared" si="12"/>
        <v>45.1</v>
      </c>
      <c r="D139" s="179">
        <f t="shared" si="13"/>
        <v>43.54</v>
      </c>
      <c r="E139" s="180">
        <v>39.58</v>
      </c>
      <c r="F139" s="181">
        <f t="shared" si="15"/>
        <v>39.58</v>
      </c>
      <c r="G139" s="182" t="s">
        <v>21</v>
      </c>
      <c r="H139" s="5">
        <f t="shared" si="14"/>
        <v>3.458980044345903E-2</v>
      </c>
    </row>
    <row r="140" spans="1:8" s="158" customFormat="1" ht="16.2" thickBot="1" x14ac:dyDescent="0.35">
      <c r="A140" s="177" t="s">
        <v>145</v>
      </c>
      <c r="B140" s="178" t="s">
        <v>29</v>
      </c>
      <c r="C140" s="179">
        <f t="shared" si="12"/>
        <v>3.4699999999999998</v>
      </c>
      <c r="D140" s="179">
        <f t="shared" si="13"/>
        <v>3.3499999999999996</v>
      </c>
      <c r="E140" s="180">
        <v>3.04</v>
      </c>
      <c r="F140" s="181">
        <f t="shared" si="15"/>
        <v>3.04</v>
      </c>
      <c r="G140" s="182" t="s">
        <v>21</v>
      </c>
      <c r="H140" s="5">
        <f t="shared" si="14"/>
        <v>3.4582132564841529E-2</v>
      </c>
    </row>
    <row r="141" spans="1:8" s="158" customFormat="1" ht="16.2" thickBot="1" x14ac:dyDescent="0.35">
      <c r="A141" s="177" t="s">
        <v>146</v>
      </c>
      <c r="B141" s="178" t="s">
        <v>29</v>
      </c>
      <c r="C141" s="179">
        <f t="shared" si="12"/>
        <v>24.16</v>
      </c>
      <c r="D141" s="179">
        <f t="shared" si="13"/>
        <v>22</v>
      </c>
      <c r="E141" s="180">
        <f t="shared" ref="E141:E147" si="17">+F141*1.06</f>
        <v>21.200000000000003</v>
      </c>
      <c r="F141" s="180">
        <v>20</v>
      </c>
      <c r="G141" s="182" t="s">
        <v>51</v>
      </c>
      <c r="H141" s="5">
        <f t="shared" si="14"/>
        <v>8.9403973509933773E-2</v>
      </c>
    </row>
    <row r="142" spans="1:8" s="158" customFormat="1" ht="16.2" thickBot="1" x14ac:dyDescent="0.35">
      <c r="A142" s="177" t="s">
        <v>147</v>
      </c>
      <c r="B142" s="178" t="s">
        <v>36</v>
      </c>
      <c r="C142" s="179">
        <f t="shared" si="12"/>
        <v>12.08</v>
      </c>
      <c r="D142" s="179">
        <f t="shared" si="13"/>
        <v>11</v>
      </c>
      <c r="E142" s="180">
        <f t="shared" si="17"/>
        <v>10.600000000000001</v>
      </c>
      <c r="F142" s="181">
        <v>10</v>
      </c>
      <c r="G142" s="182" t="s">
        <v>232</v>
      </c>
      <c r="H142" s="5">
        <f t="shared" si="14"/>
        <v>8.9403973509933773E-2</v>
      </c>
    </row>
    <row r="143" spans="1:8" s="158" customFormat="1" ht="16.2" thickBot="1" x14ac:dyDescent="0.35">
      <c r="A143" s="177" t="s">
        <v>148</v>
      </c>
      <c r="B143" s="178" t="s">
        <v>36</v>
      </c>
      <c r="C143" s="179">
        <f t="shared" si="12"/>
        <v>13.68</v>
      </c>
      <c r="D143" s="179">
        <f t="shared" si="13"/>
        <v>13.2</v>
      </c>
      <c r="E143" s="181">
        <v>12</v>
      </c>
      <c r="F143" s="181">
        <v>12</v>
      </c>
      <c r="G143" s="182" t="s">
        <v>233</v>
      </c>
      <c r="H143" s="5">
        <f t="shared" si="14"/>
        <v>3.5087719298245647E-2</v>
      </c>
    </row>
    <row r="144" spans="1:8" s="158" customFormat="1" ht="16.2" thickBot="1" x14ac:dyDescent="0.35">
      <c r="A144" s="177" t="s">
        <v>149</v>
      </c>
      <c r="B144" s="178" t="s">
        <v>36</v>
      </c>
      <c r="C144" s="179">
        <f t="shared" si="12"/>
        <v>12.08</v>
      </c>
      <c r="D144" s="179">
        <f t="shared" si="13"/>
        <v>11</v>
      </c>
      <c r="E144" s="180">
        <f t="shared" si="17"/>
        <v>10.600000000000001</v>
      </c>
      <c r="F144" s="181">
        <v>10</v>
      </c>
      <c r="G144" s="182" t="s">
        <v>234</v>
      </c>
      <c r="H144" s="5">
        <f t="shared" si="14"/>
        <v>8.9403973509933773E-2</v>
      </c>
    </row>
    <row r="145" spans="1:8" s="158" customFormat="1" ht="16.2" thickBot="1" x14ac:dyDescent="0.35">
      <c r="A145" s="177" t="s">
        <v>150</v>
      </c>
      <c r="B145" s="178" t="s">
        <v>36</v>
      </c>
      <c r="C145" s="179">
        <f t="shared" si="12"/>
        <v>12.08</v>
      </c>
      <c r="D145" s="179">
        <f t="shared" si="13"/>
        <v>11</v>
      </c>
      <c r="E145" s="180">
        <f t="shared" si="17"/>
        <v>10.600000000000001</v>
      </c>
      <c r="F145" s="181">
        <v>10</v>
      </c>
      <c r="G145" s="182" t="s">
        <v>232</v>
      </c>
      <c r="H145" s="5">
        <f t="shared" si="14"/>
        <v>8.9403973509933773E-2</v>
      </c>
    </row>
    <row r="146" spans="1:8" s="158" customFormat="1" ht="16.2" thickBot="1" x14ac:dyDescent="0.35">
      <c r="A146" s="177" t="s">
        <v>151</v>
      </c>
      <c r="B146" s="178" t="s">
        <v>36</v>
      </c>
      <c r="C146" s="179">
        <f t="shared" si="12"/>
        <v>4.84</v>
      </c>
      <c r="D146" s="179">
        <f t="shared" si="13"/>
        <v>4.4000000000000004</v>
      </c>
      <c r="E146" s="180">
        <f t="shared" si="17"/>
        <v>4.24</v>
      </c>
      <c r="F146" s="181">
        <v>4</v>
      </c>
      <c r="G146" s="182" t="s">
        <v>234</v>
      </c>
      <c r="H146" s="5">
        <f t="shared" si="14"/>
        <v>9.0909090909090814E-2</v>
      </c>
    </row>
    <row r="147" spans="1:8" s="158" customFormat="1" ht="16.2" thickBot="1" x14ac:dyDescent="0.35">
      <c r="A147" s="177" t="s">
        <v>152</v>
      </c>
      <c r="B147" s="178" t="s">
        <v>36</v>
      </c>
      <c r="C147" s="179">
        <f t="shared" si="12"/>
        <v>4.84</v>
      </c>
      <c r="D147" s="179">
        <f t="shared" si="13"/>
        <v>4.4000000000000004</v>
      </c>
      <c r="E147" s="180">
        <f t="shared" si="17"/>
        <v>4.24</v>
      </c>
      <c r="F147" s="181">
        <v>4</v>
      </c>
      <c r="G147" s="182" t="s">
        <v>234</v>
      </c>
      <c r="H147" s="5">
        <f t="shared" si="14"/>
        <v>9.0909090909090814E-2</v>
      </c>
    </row>
    <row r="148" spans="1:8" s="158" customFormat="1" ht="16.2" thickBot="1" x14ac:dyDescent="0.35">
      <c r="A148" s="177" t="s">
        <v>153</v>
      </c>
      <c r="B148" s="178" t="s">
        <v>29</v>
      </c>
      <c r="C148" s="179">
        <f t="shared" si="12"/>
        <v>4.5599999999999996</v>
      </c>
      <c r="D148" s="179">
        <f t="shared" si="13"/>
        <v>4.4000000000000004</v>
      </c>
      <c r="E148" s="180">
        <v>4</v>
      </c>
      <c r="F148" s="181">
        <v>4</v>
      </c>
      <c r="G148" s="182" t="s">
        <v>30</v>
      </c>
      <c r="H148" s="5">
        <f t="shared" si="14"/>
        <v>3.5087719298245452E-2</v>
      </c>
    </row>
    <row r="149" spans="1:8" s="158" customFormat="1" ht="16.2" thickBot="1" x14ac:dyDescent="0.35">
      <c r="A149" s="177" t="s">
        <v>154</v>
      </c>
      <c r="B149" s="178" t="s">
        <v>36</v>
      </c>
      <c r="C149" s="179">
        <f t="shared" si="12"/>
        <v>3.65</v>
      </c>
      <c r="D149" s="179">
        <f t="shared" si="13"/>
        <v>3.15</v>
      </c>
      <c r="E149" s="180">
        <v>3.2</v>
      </c>
      <c r="F149" s="181">
        <f>20/7</f>
        <v>2.8571428571428572</v>
      </c>
      <c r="G149" s="182" t="s">
        <v>222</v>
      </c>
      <c r="H149" s="5">
        <f t="shared" si="14"/>
        <v>0.13698630136986301</v>
      </c>
    </row>
    <row r="150" spans="1:8" s="158" customFormat="1" ht="16.2" thickBot="1" x14ac:dyDescent="0.35">
      <c r="A150" s="177" t="s">
        <v>155</v>
      </c>
      <c r="B150" s="178" t="s">
        <v>20</v>
      </c>
      <c r="C150" s="179">
        <f t="shared" si="12"/>
        <v>3.42</v>
      </c>
      <c r="D150" s="179">
        <f t="shared" si="13"/>
        <v>3.3</v>
      </c>
      <c r="E150" s="180">
        <v>3</v>
      </c>
      <c r="F150" s="181">
        <v>3</v>
      </c>
      <c r="G150" s="182" t="s">
        <v>156</v>
      </c>
      <c r="H150" s="5">
        <f t="shared" si="14"/>
        <v>3.5087719298245647E-2</v>
      </c>
    </row>
    <row r="151" spans="1:8" s="158" customFormat="1" ht="16.2" thickBot="1" x14ac:dyDescent="0.35">
      <c r="A151" s="177" t="s">
        <v>157</v>
      </c>
      <c r="B151" s="178" t="s">
        <v>29</v>
      </c>
      <c r="C151" s="179">
        <f t="shared" si="12"/>
        <v>0.18000000000000002</v>
      </c>
      <c r="D151" s="179">
        <f t="shared" si="13"/>
        <v>0.17</v>
      </c>
      <c r="E151" s="180">
        <v>0.15</v>
      </c>
      <c r="F151" s="181">
        <v>0.15</v>
      </c>
      <c r="G151" s="182" t="s">
        <v>21</v>
      </c>
      <c r="H151" s="5">
        <f t="shared" si="14"/>
        <v>5.5555555555555601E-2</v>
      </c>
    </row>
    <row r="152" spans="1:8" s="158" customFormat="1" ht="16.2" thickBot="1" x14ac:dyDescent="0.35">
      <c r="A152" s="177" t="s">
        <v>158</v>
      </c>
      <c r="B152" s="178" t="s">
        <v>36</v>
      </c>
      <c r="C152" s="179">
        <f t="shared" si="12"/>
        <v>12.31</v>
      </c>
      <c r="D152" s="179">
        <f t="shared" si="13"/>
        <v>10.69</v>
      </c>
      <c r="E152" s="180">
        <f>9.15*1.18</f>
        <v>10.797000000000001</v>
      </c>
      <c r="F152" s="181">
        <f>+E152*0.9</f>
        <v>9.7173000000000016</v>
      </c>
      <c r="G152" s="182" t="s">
        <v>159</v>
      </c>
      <c r="H152" s="5">
        <f t="shared" si="14"/>
        <v>0.131600324939074</v>
      </c>
    </row>
    <row r="153" spans="1:8" s="158" customFormat="1" ht="16.2" thickBot="1" x14ac:dyDescent="0.35">
      <c r="A153" s="177" t="s">
        <v>160</v>
      </c>
      <c r="B153" s="178" t="s">
        <v>36</v>
      </c>
      <c r="C153" s="179">
        <f t="shared" si="12"/>
        <v>14.77</v>
      </c>
      <c r="D153" s="179">
        <f t="shared" si="13"/>
        <v>12.83</v>
      </c>
      <c r="E153" s="180">
        <f>10.98*1.18</f>
        <v>12.9564</v>
      </c>
      <c r="F153" s="181">
        <f>+E153*0.9</f>
        <v>11.66076</v>
      </c>
      <c r="G153" s="182" t="s">
        <v>161</v>
      </c>
      <c r="H153" s="5">
        <f t="shared" si="14"/>
        <v>0.13134732566012183</v>
      </c>
    </row>
    <row r="154" spans="1:8" s="158" customFormat="1" ht="16.2" thickBot="1" x14ac:dyDescent="0.35">
      <c r="A154" s="177" t="s">
        <v>162</v>
      </c>
      <c r="B154" s="178" t="s">
        <v>20</v>
      </c>
      <c r="C154" s="179">
        <f t="shared" si="12"/>
        <v>1.94</v>
      </c>
      <c r="D154" s="179">
        <f t="shared" si="13"/>
        <v>1.87</v>
      </c>
      <c r="E154" s="180">
        <v>1.7</v>
      </c>
      <c r="F154" s="181">
        <v>1.7</v>
      </c>
      <c r="G154" s="182" t="s">
        <v>37</v>
      </c>
      <c r="H154" s="5">
        <f t="shared" si="14"/>
        <v>3.6082474226804044E-2</v>
      </c>
    </row>
    <row r="155" spans="1:8" s="158" customFormat="1" ht="16.2" thickBot="1" x14ac:dyDescent="0.35">
      <c r="A155" s="177" t="s">
        <v>163</v>
      </c>
      <c r="B155" s="178" t="s">
        <v>164</v>
      </c>
      <c r="C155" s="179">
        <f t="shared" ref="C155:C170" si="18">ROUNDUP(E155*0.87*1.1/0.84,2)</f>
        <v>6.38</v>
      </c>
      <c r="D155" s="179">
        <f t="shared" ref="D155:D170" si="19">ROUNDUP(F155*1.1,2)</f>
        <v>6.16</v>
      </c>
      <c r="E155" s="180">
        <v>5.6</v>
      </c>
      <c r="F155" s="181">
        <v>5.6</v>
      </c>
      <c r="G155" s="182" t="s">
        <v>37</v>
      </c>
      <c r="H155" s="5">
        <f t="shared" si="14"/>
        <v>3.448275862068962E-2</v>
      </c>
    </row>
    <row r="156" spans="1:8" s="158" customFormat="1" ht="16.2" thickBot="1" x14ac:dyDescent="0.35">
      <c r="A156" s="177" t="s">
        <v>223</v>
      </c>
      <c r="B156" s="178" t="s">
        <v>29</v>
      </c>
      <c r="C156" s="179">
        <f t="shared" si="18"/>
        <v>8.4599999999999991</v>
      </c>
      <c r="D156" s="179">
        <f t="shared" si="19"/>
        <v>7.7</v>
      </c>
      <c r="E156" s="180">
        <f>1.06*F156</f>
        <v>7.42</v>
      </c>
      <c r="F156" s="181">
        <v>7</v>
      </c>
      <c r="G156" s="182" t="s">
        <v>98</v>
      </c>
      <c r="H156" s="5">
        <f t="shared" si="14"/>
        <v>8.983451536643014E-2</v>
      </c>
    </row>
    <row r="157" spans="1:8" s="158" customFormat="1" ht="16.2" thickBot="1" x14ac:dyDescent="0.35">
      <c r="A157" s="177" t="s">
        <v>224</v>
      </c>
      <c r="B157" s="178" t="s">
        <v>29</v>
      </c>
      <c r="C157" s="179">
        <f t="shared" si="18"/>
        <v>2.2799999999999998</v>
      </c>
      <c r="D157" s="179">
        <f t="shared" si="19"/>
        <v>1.98</v>
      </c>
      <c r="E157" s="180">
        <v>2</v>
      </c>
      <c r="F157" s="181">
        <v>1.8</v>
      </c>
      <c r="G157" s="182"/>
      <c r="H157" s="5">
        <f t="shared" si="14"/>
        <v>0.13157894736842099</v>
      </c>
    </row>
    <row r="158" spans="1:8" s="158" customFormat="1" ht="16.2" thickBot="1" x14ac:dyDescent="0.35">
      <c r="A158" s="177" t="s">
        <v>235</v>
      </c>
      <c r="B158" s="178" t="s">
        <v>29</v>
      </c>
      <c r="C158" s="179">
        <f t="shared" si="18"/>
        <v>13.68</v>
      </c>
      <c r="D158" s="179">
        <f t="shared" si="19"/>
        <v>13.2</v>
      </c>
      <c r="E158" s="180">
        <v>12</v>
      </c>
      <c r="F158" s="181">
        <v>12</v>
      </c>
      <c r="G158" s="182"/>
      <c r="H158" s="5">
        <f t="shared" si="14"/>
        <v>3.5087719298245647E-2</v>
      </c>
    </row>
    <row r="159" spans="1:8" s="158" customFormat="1" ht="16.2" thickBot="1" x14ac:dyDescent="0.35">
      <c r="A159" s="197" t="s">
        <v>236</v>
      </c>
      <c r="B159" s="178" t="s">
        <v>29</v>
      </c>
      <c r="C159" s="179">
        <f t="shared" si="18"/>
        <v>3.42</v>
      </c>
      <c r="D159" s="179">
        <f t="shared" si="19"/>
        <v>3.3</v>
      </c>
      <c r="E159" s="180">
        <v>3</v>
      </c>
      <c r="F159" s="181">
        <v>3</v>
      </c>
      <c r="G159" s="182"/>
      <c r="H159" s="5">
        <f t="shared" si="14"/>
        <v>3.5087719298245647E-2</v>
      </c>
    </row>
    <row r="160" spans="1:8" s="158" customFormat="1" ht="16.2" thickBot="1" x14ac:dyDescent="0.35">
      <c r="A160" s="197" t="s">
        <v>237</v>
      </c>
      <c r="B160" s="178" t="s">
        <v>29</v>
      </c>
      <c r="C160" s="179">
        <f t="shared" si="18"/>
        <v>1.1399999999999999</v>
      </c>
      <c r="D160" s="179">
        <f t="shared" si="19"/>
        <v>1.1000000000000001</v>
      </c>
      <c r="E160" s="180">
        <v>1</v>
      </c>
      <c r="F160" s="181">
        <v>1</v>
      </c>
      <c r="G160" s="182"/>
      <c r="H160" s="5">
        <f t="shared" si="14"/>
        <v>3.5087719298245452E-2</v>
      </c>
    </row>
    <row r="161" spans="1:9" s="158" customFormat="1" ht="16.2" thickBot="1" x14ac:dyDescent="0.35">
      <c r="A161" s="197" t="s">
        <v>238</v>
      </c>
      <c r="B161" s="178" t="s">
        <v>36</v>
      </c>
      <c r="C161" s="179">
        <f t="shared" si="18"/>
        <v>24.16</v>
      </c>
      <c r="D161" s="179">
        <f t="shared" si="19"/>
        <v>22</v>
      </c>
      <c r="E161" s="180">
        <f t="shared" ref="E161:E166" si="20">1.06*F161</f>
        <v>21.200000000000003</v>
      </c>
      <c r="F161" s="198">
        <v>20</v>
      </c>
      <c r="G161" s="182" t="s">
        <v>239</v>
      </c>
      <c r="H161" s="5">
        <f t="shared" si="14"/>
        <v>8.9403973509933773E-2</v>
      </c>
    </row>
    <row r="162" spans="1:9" s="158" customFormat="1" ht="16.2" thickBot="1" x14ac:dyDescent="0.35">
      <c r="A162" s="197" t="s">
        <v>240</v>
      </c>
      <c r="B162" s="178" t="s">
        <v>36</v>
      </c>
      <c r="C162" s="179">
        <f t="shared" si="18"/>
        <v>36.229999999999997</v>
      </c>
      <c r="D162" s="179">
        <f t="shared" si="19"/>
        <v>33</v>
      </c>
      <c r="E162" s="180">
        <f t="shared" si="20"/>
        <v>31.8</v>
      </c>
      <c r="F162" s="198">
        <v>30</v>
      </c>
      <c r="G162" s="182" t="s">
        <v>241</v>
      </c>
      <c r="H162" s="5">
        <f t="shared" si="14"/>
        <v>8.9152635937068653E-2</v>
      </c>
    </row>
    <row r="163" spans="1:9" s="158" customFormat="1" ht="16.2" thickBot="1" x14ac:dyDescent="0.35">
      <c r="A163" s="197" t="s">
        <v>242</v>
      </c>
      <c r="B163" s="178" t="s">
        <v>36</v>
      </c>
      <c r="C163" s="179">
        <f t="shared" si="18"/>
        <v>18.12</v>
      </c>
      <c r="D163" s="179">
        <f t="shared" si="19"/>
        <v>16.5</v>
      </c>
      <c r="E163" s="180">
        <f t="shared" si="20"/>
        <v>15.9</v>
      </c>
      <c r="F163" s="198">
        <v>15</v>
      </c>
      <c r="G163" s="182" t="s">
        <v>243</v>
      </c>
      <c r="H163" s="5">
        <f t="shared" si="14"/>
        <v>8.9403973509933829E-2</v>
      </c>
    </row>
    <row r="164" spans="1:9" s="158" customFormat="1" ht="16.2" thickBot="1" x14ac:dyDescent="0.35">
      <c r="A164" s="197" t="s">
        <v>244</v>
      </c>
      <c r="B164" s="178" t="s">
        <v>36</v>
      </c>
      <c r="C164" s="179">
        <f t="shared" si="18"/>
        <v>24.16</v>
      </c>
      <c r="D164" s="179">
        <f t="shared" si="19"/>
        <v>22</v>
      </c>
      <c r="E164" s="180">
        <f t="shared" si="20"/>
        <v>21.200000000000003</v>
      </c>
      <c r="F164" s="198">
        <v>20</v>
      </c>
      <c r="G164" s="182" t="s">
        <v>245</v>
      </c>
      <c r="H164" s="5">
        <f t="shared" si="14"/>
        <v>8.9403973509933773E-2</v>
      </c>
    </row>
    <row r="165" spans="1:9" s="158" customFormat="1" ht="16.2" thickBot="1" x14ac:dyDescent="0.35">
      <c r="A165" s="197" t="s">
        <v>246</v>
      </c>
      <c r="B165" s="178" t="s">
        <v>36</v>
      </c>
      <c r="C165" s="179">
        <f t="shared" si="18"/>
        <v>16.91</v>
      </c>
      <c r="D165" s="179">
        <f t="shared" si="19"/>
        <v>15.4</v>
      </c>
      <c r="E165" s="180">
        <f t="shared" si="20"/>
        <v>14.84</v>
      </c>
      <c r="F165" s="198">
        <v>14</v>
      </c>
      <c r="G165" s="182" t="s">
        <v>247</v>
      </c>
      <c r="H165" s="5">
        <f t="shared" si="14"/>
        <v>8.9296274393849781E-2</v>
      </c>
    </row>
    <row r="166" spans="1:9" s="199" customFormat="1" ht="16.2" thickBot="1" x14ac:dyDescent="0.35">
      <c r="A166" s="53" t="s">
        <v>321</v>
      </c>
      <c r="B166" s="178" t="s">
        <v>29</v>
      </c>
      <c r="C166" s="179">
        <f t="shared" si="18"/>
        <v>8.4599999999999991</v>
      </c>
      <c r="D166" s="179">
        <f t="shared" si="19"/>
        <v>7.7</v>
      </c>
      <c r="E166" s="180">
        <f t="shared" si="20"/>
        <v>7.42</v>
      </c>
      <c r="F166" s="198">
        <v>7</v>
      </c>
      <c r="G166" s="182"/>
      <c r="H166" s="5">
        <f t="shared" si="14"/>
        <v>8.983451536643014E-2</v>
      </c>
      <c r="I166" s="158"/>
    </row>
    <row r="167" spans="1:9" s="199" customFormat="1" ht="16.2" thickBot="1" x14ac:dyDescent="0.35">
      <c r="A167" s="200" t="s">
        <v>322</v>
      </c>
      <c r="B167" s="178" t="s">
        <v>36</v>
      </c>
      <c r="C167" s="179">
        <f t="shared" si="18"/>
        <v>39.379999999999995</v>
      </c>
      <c r="D167" s="179">
        <f t="shared" si="19"/>
        <v>38.019999999999996</v>
      </c>
      <c r="E167" s="181">
        <f>28.8*1.2</f>
        <v>34.56</v>
      </c>
      <c r="F167" s="181">
        <f>28.8*1.2</f>
        <v>34.56</v>
      </c>
      <c r="G167" s="195" t="s">
        <v>323</v>
      </c>
      <c r="H167" s="5">
        <f t="shared" si="14"/>
        <v>3.4535297105129495E-2</v>
      </c>
      <c r="I167" s="158"/>
    </row>
    <row r="168" spans="1:9" s="199" customFormat="1" ht="16.2" thickBot="1" x14ac:dyDescent="0.35">
      <c r="A168" s="177" t="s">
        <v>324</v>
      </c>
      <c r="B168" s="178" t="s">
        <v>36</v>
      </c>
      <c r="C168" s="179">
        <f t="shared" si="18"/>
        <v>63.69</v>
      </c>
      <c r="D168" s="179">
        <f t="shared" si="19"/>
        <v>61.49</v>
      </c>
      <c r="E168" s="181">
        <f>43*1.3</f>
        <v>55.9</v>
      </c>
      <c r="F168" s="181">
        <f>43*1.3</f>
        <v>55.9</v>
      </c>
      <c r="G168" s="196" t="s">
        <v>325</v>
      </c>
      <c r="H168" s="5">
        <f t="shared" si="14"/>
        <v>3.4542314335060387E-2</v>
      </c>
      <c r="I168" s="158"/>
    </row>
    <row r="169" spans="1:9" s="199" customFormat="1" ht="16.2" thickBot="1" x14ac:dyDescent="0.35">
      <c r="A169" s="177" t="s">
        <v>326</v>
      </c>
      <c r="B169" s="178" t="s">
        <v>36</v>
      </c>
      <c r="C169" s="179">
        <f t="shared" si="18"/>
        <v>68.13000000000001</v>
      </c>
      <c r="D169" s="179">
        <f t="shared" si="19"/>
        <v>65.78</v>
      </c>
      <c r="E169" s="181">
        <f>46*1.3</f>
        <v>59.800000000000004</v>
      </c>
      <c r="F169" s="181">
        <f>46*1.3</f>
        <v>59.800000000000004</v>
      </c>
      <c r="G169" s="196" t="s">
        <v>327</v>
      </c>
      <c r="H169" s="5">
        <f t="shared" si="14"/>
        <v>3.4492881256421665E-2</v>
      </c>
      <c r="I169" s="158"/>
    </row>
    <row r="170" spans="1:9" s="199" customFormat="1" ht="16.2" thickBot="1" x14ac:dyDescent="0.35">
      <c r="A170" s="177" t="s">
        <v>328</v>
      </c>
      <c r="B170" s="178" t="s">
        <v>36</v>
      </c>
      <c r="C170" s="179">
        <f t="shared" si="18"/>
        <v>35.549999999999997</v>
      </c>
      <c r="D170" s="179">
        <f t="shared" si="19"/>
        <v>34.32</v>
      </c>
      <c r="E170" s="181">
        <f>24*1.3</f>
        <v>31.200000000000003</v>
      </c>
      <c r="F170" s="181">
        <f>24*1.3</f>
        <v>31.200000000000003</v>
      </c>
      <c r="G170" s="196" t="s">
        <v>329</v>
      </c>
      <c r="H170" s="5"/>
      <c r="I170" s="158"/>
    </row>
    <row r="171" spans="1:9" s="199" customFormat="1" ht="16.2" thickBot="1" x14ac:dyDescent="0.35">
      <c r="A171" s="53" t="s">
        <v>330</v>
      </c>
      <c r="B171" s="178" t="s">
        <v>29</v>
      </c>
      <c r="C171" s="179">
        <f>ROUNDUP(E171*0.87*1.1/0.84,2)</f>
        <v>8.4599999999999991</v>
      </c>
      <c r="D171" s="179">
        <f>ROUNDUP(F171*1.1,2)</f>
        <v>7.7</v>
      </c>
      <c r="E171" s="180">
        <f>1.06*F171</f>
        <v>7.42</v>
      </c>
      <c r="F171" s="198">
        <v>7</v>
      </c>
      <c r="G171" s="182"/>
      <c r="H171" s="5">
        <f>(-D171+C171)/C171</f>
        <v>8.983451536643014E-2</v>
      </c>
      <c r="I171" s="158"/>
    </row>
    <row r="172" spans="1:9" s="199" customFormat="1" x14ac:dyDescent="0.3">
      <c r="A172" s="157"/>
      <c r="B172" s="156"/>
      <c r="C172" s="157"/>
      <c r="D172" s="157"/>
      <c r="E172" s="158"/>
      <c r="F172" s="158"/>
      <c r="G172" s="159"/>
      <c r="H172" s="5"/>
      <c r="I172" s="158"/>
    </row>
    <row r="173" spans="1:9" s="199" customFormat="1" x14ac:dyDescent="0.3">
      <c r="A173" s="157"/>
      <c r="B173" s="156"/>
      <c r="C173" s="157"/>
      <c r="D173" s="157"/>
      <c r="E173" s="158"/>
      <c r="F173" s="158"/>
      <c r="G173" s="159"/>
      <c r="H173" s="5"/>
      <c r="I173" s="158"/>
    </row>
    <row r="174" spans="1:9" s="199" customFormat="1" x14ac:dyDescent="0.3">
      <c r="A174" s="157"/>
      <c r="B174" s="156"/>
      <c r="C174" s="157"/>
      <c r="D174" s="157"/>
      <c r="E174" s="158"/>
      <c r="F174" s="158"/>
      <c r="G174" s="159"/>
      <c r="H174" s="5"/>
      <c r="I174" s="158"/>
    </row>
    <row r="175" spans="1:9" s="199" customFormat="1" x14ac:dyDescent="0.3">
      <c r="A175" s="157"/>
      <c r="B175" s="156"/>
      <c r="C175" s="157"/>
      <c r="D175" s="157"/>
      <c r="E175" s="158"/>
      <c r="F175" s="158"/>
      <c r="G175" s="159"/>
      <c r="H175" s="5"/>
      <c r="I175" s="158"/>
    </row>
  </sheetData>
  <mergeCells count="1">
    <mergeCell ref="E3:F3"/>
  </mergeCells>
  <phoneticPr fontId="0" type="noConversion"/>
  <pageMargins left="0.75" right="0.75" top="0.21" bottom="0.34" header="0" footer="0"/>
  <pageSetup scale="60" orientation="portrait" horizontalDpi="18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zoomScale="70" zoomScaleNormal="70" workbookViewId="0"/>
  </sheetViews>
  <sheetFormatPr baseColWidth="10" defaultRowHeight="13.2" x14ac:dyDescent="0.25"/>
  <cols>
    <col min="5" max="5" width="39.44140625" bestFit="1" customWidth="1"/>
    <col min="10" max="10" width="9" customWidth="1"/>
    <col min="12" max="12" width="43.44140625" customWidth="1"/>
  </cols>
  <sheetData>
    <row r="1" spans="1:16" ht="15.6" x14ac:dyDescent="0.3">
      <c r="E1" s="145"/>
      <c r="F1" s="146" t="s">
        <v>272</v>
      </c>
      <c r="G1" s="146" t="s">
        <v>273</v>
      </c>
      <c r="H1" s="146" t="s">
        <v>271</v>
      </c>
      <c r="I1" s="146" t="s">
        <v>270</v>
      </c>
      <c r="L1" s="145"/>
      <c r="M1" s="146" t="s">
        <v>272</v>
      </c>
      <c r="N1" s="146" t="s">
        <v>273</v>
      </c>
      <c r="O1" s="146" t="s">
        <v>271</v>
      </c>
      <c r="P1" s="146" t="s">
        <v>295</v>
      </c>
    </row>
    <row r="2" spans="1:16" ht="15.6" x14ac:dyDescent="0.3">
      <c r="A2" s="153" t="s">
        <v>303</v>
      </c>
      <c r="B2" s="153" t="s">
        <v>304</v>
      </c>
      <c r="C2" s="153" t="s">
        <v>305</v>
      </c>
      <c r="E2" s="66" t="s">
        <v>288</v>
      </c>
      <c r="F2" s="144"/>
      <c r="G2" s="144"/>
      <c r="H2" s="144"/>
      <c r="I2" s="144"/>
      <c r="L2" s="66" t="s">
        <v>227</v>
      </c>
      <c r="M2" s="144"/>
      <c r="N2" s="144"/>
      <c r="O2" s="144"/>
      <c r="P2" s="144"/>
    </row>
    <row r="3" spans="1:16" x14ac:dyDescent="0.25">
      <c r="A3" s="209">
        <v>2</v>
      </c>
      <c r="B3" s="209">
        <v>2.1</v>
      </c>
      <c r="C3" s="209">
        <v>1</v>
      </c>
      <c r="E3" s="53" t="s">
        <v>35</v>
      </c>
      <c r="F3" s="128">
        <f>+'P-V.Corrediza'!C128</f>
        <v>38.510000000000005</v>
      </c>
      <c r="G3" s="128">
        <f>+'P-V.Corrediza'!D128</f>
        <v>13.574760000000001</v>
      </c>
      <c r="H3" s="128">
        <f>+'P-V.Corrediza'!E128</f>
        <v>48.54</v>
      </c>
      <c r="I3" s="128">
        <f>+'P-V.Corrediza'!G128</f>
        <v>39.11</v>
      </c>
      <c r="J3" s="154">
        <f>+F3*$A$3+G3*$B$3+H3*$A$3*$B$3+$C$3*I3</f>
        <v>348.50499600000001</v>
      </c>
      <c r="L3" s="53" t="s">
        <v>35</v>
      </c>
      <c r="M3" s="124">
        <f>+'Pano Fijo'!C130</f>
        <v>20.1892</v>
      </c>
      <c r="N3" s="124">
        <f>+'Pano Fijo'!D130</f>
        <v>20.1892</v>
      </c>
      <c r="O3" s="124">
        <f>+'Pano Fijo'!F130</f>
        <v>49.68</v>
      </c>
      <c r="P3" s="124">
        <f>+'Pano Fijo'!G130</f>
        <v>1.1159999999999999</v>
      </c>
    </row>
    <row r="4" spans="1:16" x14ac:dyDescent="0.25">
      <c r="A4" s="209"/>
      <c r="B4" s="209"/>
      <c r="C4" s="209"/>
      <c r="E4" s="53" t="s">
        <v>42</v>
      </c>
      <c r="F4" s="128">
        <f>+'P-V.Corrediza'!C129</f>
        <v>38.510000000000005</v>
      </c>
      <c r="G4" s="128">
        <f>+'P-V.Corrediza'!D129</f>
        <v>13.574760000000001</v>
      </c>
      <c r="H4" s="128">
        <f>+'P-V.Corrediza'!E129</f>
        <v>64.489999999999995</v>
      </c>
      <c r="I4" s="128">
        <f>+'P-V.Corrediza'!G129</f>
        <v>39.11</v>
      </c>
      <c r="J4" s="154">
        <f>+F4*$A$3+G4*$B$3+H4*$A$3*$B$3+$C$3*I4</f>
        <v>415.49499600000001</v>
      </c>
      <c r="L4" s="53" t="s">
        <v>42</v>
      </c>
      <c r="M4" s="124">
        <f>+'Pano Fijo'!C131</f>
        <v>20.1892</v>
      </c>
      <c r="N4" s="124">
        <f>+'Pano Fijo'!D131</f>
        <v>20.1892</v>
      </c>
      <c r="O4" s="124">
        <f>+'Pano Fijo'!F131</f>
        <v>65.63</v>
      </c>
      <c r="P4" s="124">
        <f>+'Pano Fijo'!G131</f>
        <v>1.1159999999999999</v>
      </c>
    </row>
    <row r="5" spans="1:16" x14ac:dyDescent="0.25">
      <c r="E5" s="53" t="s">
        <v>38</v>
      </c>
      <c r="F5" s="128">
        <f>+'P-V.Corrediza'!C130</f>
        <v>38.510000000000005</v>
      </c>
      <c r="G5" s="128">
        <f>+'P-V.Corrediza'!D130</f>
        <v>13.574760000000001</v>
      </c>
      <c r="H5" s="128">
        <f>+'P-V.Corrediza'!E130</f>
        <v>46.26</v>
      </c>
      <c r="I5" s="128">
        <f>+'P-V.Corrediza'!G130</f>
        <v>39.11</v>
      </c>
      <c r="J5" s="154">
        <f>+F5*$A$3+G5*$B$3+H5*$A$3*$B$3+$C$3*I5</f>
        <v>338.92899600000004</v>
      </c>
      <c r="L5" s="53" t="s">
        <v>38</v>
      </c>
      <c r="M5" s="124">
        <f>+'Pano Fijo'!C132</f>
        <v>20.1892</v>
      </c>
      <c r="N5" s="124">
        <f>+'Pano Fijo'!D132</f>
        <v>20.1892</v>
      </c>
      <c r="O5" s="124">
        <f>+'Pano Fijo'!F132</f>
        <v>47.4</v>
      </c>
      <c r="P5" s="124">
        <f>+'Pano Fijo'!G132</f>
        <v>1.1159999999999999</v>
      </c>
    </row>
    <row r="6" spans="1:16" x14ac:dyDescent="0.25">
      <c r="E6" s="53" t="s">
        <v>43</v>
      </c>
      <c r="F6" s="128">
        <f>+'P-V.Corrediza'!C131</f>
        <v>38.510000000000005</v>
      </c>
      <c r="G6" s="128">
        <f>+'P-V.Corrediza'!D131</f>
        <v>13.574760000000001</v>
      </c>
      <c r="H6" s="128">
        <f>+'P-V.Corrediza'!E131</f>
        <v>62.209999999999994</v>
      </c>
      <c r="I6" s="128">
        <f>+'P-V.Corrediza'!G131</f>
        <v>39.11</v>
      </c>
      <c r="J6" s="154">
        <f>+F6*$A$3+G6*$B$3+H6*$A$3*$B$3+$C$3*I6</f>
        <v>405.91899599999999</v>
      </c>
      <c r="L6" s="53" t="s">
        <v>43</v>
      </c>
      <c r="M6" s="124">
        <f>+'Pano Fijo'!C133</f>
        <v>20.1892</v>
      </c>
      <c r="N6" s="124">
        <f>+'Pano Fijo'!D133</f>
        <v>20.1892</v>
      </c>
      <c r="O6" s="124">
        <f>+'Pano Fijo'!F133</f>
        <v>63.349999999999994</v>
      </c>
      <c r="P6" s="124">
        <f>+'Pano Fijo'!G133</f>
        <v>1.1159999999999999</v>
      </c>
    </row>
    <row r="7" spans="1:16" ht="15.6" x14ac:dyDescent="0.3">
      <c r="E7" s="66" t="s">
        <v>289</v>
      </c>
      <c r="F7" s="144"/>
      <c r="G7" s="144"/>
      <c r="H7" s="144"/>
      <c r="I7" s="144"/>
    </row>
    <row r="8" spans="1:16" ht="15.6" x14ac:dyDescent="0.3">
      <c r="E8" s="53" t="s">
        <v>35</v>
      </c>
      <c r="F8" s="124">
        <f>+'P-V.Corrediza'!C162</f>
        <v>38.36</v>
      </c>
      <c r="G8" s="124">
        <f>+'P-V.Corrediza'!D162</f>
        <v>9.5703600000000009</v>
      </c>
      <c r="H8" s="124">
        <f>+'P-V.Corrediza'!E162</f>
        <v>48.54</v>
      </c>
      <c r="I8" s="124">
        <f>+'P-V.Corrediza'!G162</f>
        <v>59.809999999999995</v>
      </c>
      <c r="J8" s="154">
        <f t="shared" ref="J8:J21" si="0">+F8*$A$3+G8*$B$3+H8*$A$3*$B$3+$C$3*I8</f>
        <v>360.49575599999997</v>
      </c>
      <c r="L8" s="145"/>
      <c r="M8" s="146" t="s">
        <v>272</v>
      </c>
      <c r="N8" s="146" t="s">
        <v>273</v>
      </c>
      <c r="O8" s="146" t="s">
        <v>271</v>
      </c>
      <c r="P8" s="146" t="s">
        <v>270</v>
      </c>
    </row>
    <row r="9" spans="1:16" ht="15.6" x14ac:dyDescent="0.3">
      <c r="E9" s="53" t="s">
        <v>42</v>
      </c>
      <c r="F9" s="124">
        <f>+'P-V.Corrediza'!C163</f>
        <v>38.36</v>
      </c>
      <c r="G9" s="124">
        <f>+'P-V.Corrediza'!D163</f>
        <v>9.5703600000000009</v>
      </c>
      <c r="H9" s="124">
        <f>+'P-V.Corrediza'!E163</f>
        <v>64.489999999999995</v>
      </c>
      <c r="I9" s="124">
        <f>+'P-V.Corrediza'!G163</f>
        <v>59.809999999999995</v>
      </c>
      <c r="J9" s="154">
        <f t="shared" si="0"/>
        <v>427.48575599999998</v>
      </c>
      <c r="L9" s="66" t="s">
        <v>292</v>
      </c>
      <c r="M9" s="144"/>
      <c r="N9" s="144"/>
      <c r="O9" s="144"/>
      <c r="P9" s="144"/>
    </row>
    <row r="10" spans="1:16" x14ac:dyDescent="0.25">
      <c r="E10" s="53" t="s">
        <v>38</v>
      </c>
      <c r="F10" s="124">
        <f>+'P-V.Corrediza'!C164</f>
        <v>38.36</v>
      </c>
      <c r="G10" s="124">
        <f>+'P-V.Corrediza'!D164</f>
        <v>9.5703600000000009</v>
      </c>
      <c r="H10" s="124">
        <f>+'P-V.Corrediza'!E164</f>
        <v>46.26</v>
      </c>
      <c r="I10" s="124">
        <f>+'P-V.Corrediza'!G164</f>
        <v>59.809999999999995</v>
      </c>
      <c r="J10" s="154">
        <f t="shared" si="0"/>
        <v>350.91975600000001</v>
      </c>
      <c r="L10" s="53" t="s">
        <v>35</v>
      </c>
      <c r="M10" s="128">
        <f>+P.Batiente!D157</f>
        <v>0</v>
      </c>
      <c r="N10" s="128">
        <f>+P.Batiente!E157</f>
        <v>0</v>
      </c>
      <c r="O10" s="128">
        <f>+P.Batiente!F157</f>
        <v>48.54</v>
      </c>
      <c r="P10" s="128">
        <f>+P.Batiente!H157</f>
        <v>146.07</v>
      </c>
    </row>
    <row r="11" spans="1:16" x14ac:dyDescent="0.25">
      <c r="E11" s="53" t="s">
        <v>43</v>
      </c>
      <c r="F11" s="124">
        <f>+'P-V.Corrediza'!C165</f>
        <v>38.36</v>
      </c>
      <c r="G11" s="124">
        <f>+'P-V.Corrediza'!D165</f>
        <v>9.5703600000000009</v>
      </c>
      <c r="H11" s="124">
        <f>+'P-V.Corrediza'!E165</f>
        <v>62.209999999999994</v>
      </c>
      <c r="I11" s="124">
        <f>+'P-V.Corrediza'!G165</f>
        <v>59.809999999999995</v>
      </c>
      <c r="J11" s="154">
        <f t="shared" si="0"/>
        <v>417.90975599999996</v>
      </c>
      <c r="L11" s="53" t="s">
        <v>42</v>
      </c>
      <c r="M11" s="128">
        <f>+P.Batiente!D158</f>
        <v>0</v>
      </c>
      <c r="N11" s="128">
        <f>+P.Batiente!E158</f>
        <v>0</v>
      </c>
      <c r="O11" s="128">
        <f>+P.Batiente!F158</f>
        <v>64.489999999999995</v>
      </c>
      <c r="P11" s="128">
        <f>+P.Batiente!H158</f>
        <v>146.07</v>
      </c>
    </row>
    <row r="12" spans="1:16" ht="15.6" x14ac:dyDescent="0.3">
      <c r="E12" s="66" t="s">
        <v>290</v>
      </c>
      <c r="F12" s="144"/>
      <c r="G12" s="144"/>
      <c r="H12" s="144"/>
      <c r="I12" s="144"/>
      <c r="L12" s="66" t="s">
        <v>293</v>
      </c>
      <c r="M12" s="144"/>
      <c r="N12" s="144"/>
      <c r="O12" s="144"/>
      <c r="P12" s="144"/>
    </row>
    <row r="13" spans="1:16" x14ac:dyDescent="0.25">
      <c r="E13" s="53" t="s">
        <v>35</v>
      </c>
      <c r="F13" s="128">
        <f>+'P-V.Corrediza'!C196</f>
        <v>38.36</v>
      </c>
      <c r="G13" s="128">
        <f>+'P-V.Corrediza'!D196</f>
        <v>13.274760000000001</v>
      </c>
      <c r="H13" s="128">
        <f>+'P-V.Corrediza'!E196</f>
        <v>48.54</v>
      </c>
      <c r="I13" s="128">
        <f>+'P-V.Corrediza'!G196</f>
        <v>18.54</v>
      </c>
      <c r="J13" s="154">
        <f t="shared" si="0"/>
        <v>327.00499600000001</v>
      </c>
      <c r="L13" s="53" t="s">
        <v>35</v>
      </c>
      <c r="M13" s="124">
        <f>+P.Batiente!D139</f>
        <v>0</v>
      </c>
      <c r="N13" s="124">
        <f>+P.Batiente!E139</f>
        <v>9</v>
      </c>
      <c r="O13" s="124">
        <f>+P.Batiente!F139</f>
        <v>48.54</v>
      </c>
      <c r="P13" s="124">
        <f>+P.Batiente!H139</f>
        <v>290.43</v>
      </c>
    </row>
    <row r="14" spans="1:16" x14ac:dyDescent="0.25">
      <c r="E14" s="53" t="s">
        <v>42</v>
      </c>
      <c r="F14" s="128">
        <f>+'P-V.Corrediza'!C197</f>
        <v>38.36</v>
      </c>
      <c r="G14" s="128">
        <f>+'P-V.Corrediza'!D197</f>
        <v>13.274760000000001</v>
      </c>
      <c r="H14" s="128">
        <f>+'P-V.Corrediza'!E197</f>
        <v>64.489999999999995</v>
      </c>
      <c r="I14" s="128">
        <f>+'P-V.Corrediza'!G197</f>
        <v>18.54</v>
      </c>
      <c r="J14" s="154">
        <f t="shared" si="0"/>
        <v>393.99499600000001</v>
      </c>
      <c r="L14" s="53" t="s">
        <v>42</v>
      </c>
      <c r="M14" s="124">
        <f>+P.Batiente!D140</f>
        <v>0</v>
      </c>
      <c r="N14" s="124">
        <f>+P.Batiente!E140</f>
        <v>9</v>
      </c>
      <c r="O14" s="124">
        <f>+P.Batiente!F140</f>
        <v>64.489999999999995</v>
      </c>
      <c r="P14" s="124">
        <f>+P.Batiente!H140</f>
        <v>290.43</v>
      </c>
    </row>
    <row r="15" spans="1:16" ht="15.6" x14ac:dyDescent="0.3">
      <c r="E15" s="53" t="s">
        <v>38</v>
      </c>
      <c r="F15" s="128">
        <f>+'P-V.Corrediza'!C198</f>
        <v>38.36</v>
      </c>
      <c r="G15" s="128">
        <f>+'P-V.Corrediza'!D198</f>
        <v>13.274760000000001</v>
      </c>
      <c r="H15" s="128">
        <f>+'P-V.Corrediza'!E198</f>
        <v>46.26</v>
      </c>
      <c r="I15" s="128">
        <f>+'P-V.Corrediza'!G198</f>
        <v>18.54</v>
      </c>
      <c r="J15" s="154">
        <f t="shared" si="0"/>
        <v>317.42899600000004</v>
      </c>
      <c r="L15" s="66" t="s">
        <v>294</v>
      </c>
      <c r="M15" s="144"/>
      <c r="N15" s="144"/>
      <c r="O15" s="144"/>
      <c r="P15" s="144"/>
    </row>
    <row r="16" spans="1:16" x14ac:dyDescent="0.25">
      <c r="E16" s="53" t="s">
        <v>43</v>
      </c>
      <c r="F16" s="128">
        <f>+'P-V.Corrediza'!C199</f>
        <v>38.36</v>
      </c>
      <c r="G16" s="128">
        <f>+'P-V.Corrediza'!D199</f>
        <v>13.274760000000001</v>
      </c>
      <c r="H16" s="128">
        <f>+'P-V.Corrediza'!E199</f>
        <v>62.209999999999994</v>
      </c>
      <c r="I16" s="128">
        <f>+'P-V.Corrediza'!G199</f>
        <v>18.54</v>
      </c>
      <c r="J16" s="154">
        <f t="shared" si="0"/>
        <v>384.41899599999999</v>
      </c>
      <c r="L16" s="53" t="s">
        <v>35</v>
      </c>
      <c r="M16" s="128">
        <f>+P.Batiente!D117</f>
        <v>4.0239000000000003</v>
      </c>
      <c r="N16" s="128">
        <f>+P.Batiente!E117</f>
        <v>11.29195</v>
      </c>
      <c r="O16" s="128">
        <f>+P.Batiente!F117</f>
        <v>48.54</v>
      </c>
      <c r="P16" s="128">
        <f>+P.Batiente!H117</f>
        <v>290.43</v>
      </c>
    </row>
    <row r="17" spans="5:16" ht="15.6" x14ac:dyDescent="0.3">
      <c r="E17" s="66" t="s">
        <v>291</v>
      </c>
      <c r="F17" s="144"/>
      <c r="G17" s="144"/>
      <c r="H17" s="144"/>
      <c r="I17" s="144"/>
      <c r="L17" s="53" t="s">
        <v>42</v>
      </c>
      <c r="M17" s="128">
        <f>+P.Batiente!D118</f>
        <v>4.0239000000000003</v>
      </c>
      <c r="N17" s="128">
        <f>+P.Batiente!E118</f>
        <v>11.29195</v>
      </c>
      <c r="O17" s="128">
        <f>+P.Batiente!F118</f>
        <v>64.489999999999995</v>
      </c>
      <c r="P17" s="128">
        <f>+P.Batiente!H118</f>
        <v>290.43</v>
      </c>
    </row>
    <row r="18" spans="5:16" x14ac:dyDescent="0.25">
      <c r="E18" s="53" t="s">
        <v>35</v>
      </c>
      <c r="F18" s="124">
        <f>+'P-V.Corrediza'!C230</f>
        <v>38.36</v>
      </c>
      <c r="G18" s="124">
        <f>+'P-V.Corrediza'!D230</f>
        <v>9.5703600000000009</v>
      </c>
      <c r="H18" s="124">
        <f>+'P-V.Corrediza'!E230</f>
        <v>48.54</v>
      </c>
      <c r="I18" s="124">
        <f>+'P-V.Corrediza'!G230</f>
        <v>37.08</v>
      </c>
      <c r="J18" s="154">
        <f t="shared" si="0"/>
        <v>337.76575599999995</v>
      </c>
    </row>
    <row r="19" spans="5:16" x14ac:dyDescent="0.25">
      <c r="E19" s="53" t="s">
        <v>42</v>
      </c>
      <c r="F19" s="124">
        <f>+'P-V.Corrediza'!C231</f>
        <v>38.36</v>
      </c>
      <c r="G19" s="124">
        <f>+'P-V.Corrediza'!D231</f>
        <v>9.5703600000000009</v>
      </c>
      <c r="H19" s="124">
        <f>+'P-V.Corrediza'!E231</f>
        <v>64.489999999999995</v>
      </c>
      <c r="I19" s="124">
        <f>+'P-V.Corrediza'!G231</f>
        <v>37.08</v>
      </c>
      <c r="J19" s="154">
        <f t="shared" si="0"/>
        <v>404.75575599999996</v>
      </c>
    </row>
    <row r="20" spans="5:16" x14ac:dyDescent="0.25">
      <c r="E20" s="53" t="s">
        <v>38</v>
      </c>
      <c r="F20" s="124">
        <f>+'P-V.Corrediza'!C232</f>
        <v>38.36</v>
      </c>
      <c r="G20" s="124">
        <f>+'P-V.Corrediza'!D232</f>
        <v>9.5703600000000009</v>
      </c>
      <c r="H20" s="124">
        <f>+'P-V.Corrediza'!E232</f>
        <v>46.26</v>
      </c>
      <c r="I20" s="124">
        <f>+'P-V.Corrediza'!G232</f>
        <v>37.08</v>
      </c>
      <c r="J20" s="154">
        <f t="shared" si="0"/>
        <v>328.18975599999999</v>
      </c>
    </row>
    <row r="21" spans="5:16" x14ac:dyDescent="0.25">
      <c r="E21" s="53" t="s">
        <v>43</v>
      </c>
      <c r="F21" s="124">
        <f>+'P-V.Corrediza'!C233</f>
        <v>38.36</v>
      </c>
      <c r="G21" s="124">
        <f>+'P-V.Corrediza'!D233</f>
        <v>9.5703600000000009</v>
      </c>
      <c r="H21" s="124">
        <f>+'P-V.Corrediza'!E233</f>
        <v>62.209999999999994</v>
      </c>
      <c r="I21" s="124">
        <f>+'P-V.Corrediza'!G233</f>
        <v>37.08</v>
      </c>
      <c r="J21" s="154">
        <f t="shared" si="0"/>
        <v>395.17975599999994</v>
      </c>
    </row>
    <row r="23" spans="5:16" ht="15.6" x14ac:dyDescent="0.3">
      <c r="E23" s="145"/>
      <c r="F23" s="147" t="s">
        <v>272</v>
      </c>
      <c r="G23" s="147" t="s">
        <v>273</v>
      </c>
      <c r="H23" s="147" t="s">
        <v>282</v>
      </c>
      <c r="I23" s="152" t="s">
        <v>298</v>
      </c>
      <c r="J23" s="147" t="s">
        <v>299</v>
      </c>
      <c r="K23" s="147" t="s">
        <v>295</v>
      </c>
      <c r="L23" s="147" t="s">
        <v>300</v>
      </c>
    </row>
    <row r="24" spans="5:16" ht="15.6" x14ac:dyDescent="0.3">
      <c r="E24" s="66" t="s">
        <v>296</v>
      </c>
      <c r="F24" s="144"/>
      <c r="G24" s="144"/>
      <c r="H24" s="144"/>
      <c r="I24" s="144"/>
    </row>
    <row r="25" spans="5:16" x14ac:dyDescent="0.25">
      <c r="E25" s="53" t="s">
        <v>35</v>
      </c>
      <c r="F25" s="124">
        <f>+'Fachada tub.herr.'!C107</f>
        <v>4.4431600000000007</v>
      </c>
      <c r="G25" s="124">
        <f>+'Fachada tub.herr.'!E107</f>
        <v>4.4431600000000007</v>
      </c>
      <c r="H25" s="124">
        <f>+'Fachada tub.herr.'!I107</f>
        <v>49.68</v>
      </c>
      <c r="I25" s="124">
        <f>+'Fachada tub.herr.'!J107</f>
        <v>159.51</v>
      </c>
      <c r="J25" s="124">
        <f>+'Fachada tub.herr.'!B132</f>
        <v>27.36</v>
      </c>
      <c r="K25" s="124">
        <f>+'Fachada tub.herr.'!C132</f>
        <v>30.445</v>
      </c>
      <c r="L25" s="124">
        <f>+'Fachada tub.herr.'!E132</f>
        <v>0.54420000000000002</v>
      </c>
    </row>
    <row r="26" spans="5:16" x14ac:dyDescent="0.25">
      <c r="E26" s="53" t="s">
        <v>42</v>
      </c>
      <c r="F26" s="124">
        <f>+'Fachada tub.herr.'!C108</f>
        <v>4.4431600000000007</v>
      </c>
      <c r="G26" s="124">
        <f>+'Fachada tub.herr.'!E108</f>
        <v>4.4431600000000007</v>
      </c>
      <c r="H26" s="124">
        <f>+'Fachada tub.herr.'!I108</f>
        <v>65.63</v>
      </c>
      <c r="I26" s="124">
        <f>+'Fachada tub.herr.'!J108</f>
        <v>159.51</v>
      </c>
      <c r="J26" s="124">
        <f>+'Fachada tub.herr.'!B133</f>
        <v>27.36</v>
      </c>
      <c r="K26" s="124">
        <f>+'Fachada tub.herr.'!C133</f>
        <v>30.445</v>
      </c>
      <c r="L26" s="124">
        <f>+'Fachada tub.herr.'!E133</f>
        <v>0.54420000000000002</v>
      </c>
    </row>
    <row r="27" spans="5:16" x14ac:dyDescent="0.25">
      <c r="E27" s="53" t="s">
        <v>38</v>
      </c>
      <c r="F27" s="124">
        <f>+'Fachada tub.herr.'!C109</f>
        <v>4.4431600000000007</v>
      </c>
      <c r="G27" s="124">
        <f>+'Fachada tub.herr.'!E109</f>
        <v>4.4431600000000007</v>
      </c>
      <c r="H27" s="124">
        <f>+'Fachada tub.herr.'!I109</f>
        <v>47.4</v>
      </c>
      <c r="I27" s="124">
        <f>+'Fachada tub.herr.'!J109</f>
        <v>159.51</v>
      </c>
      <c r="J27" s="124">
        <f>+'Fachada tub.herr.'!B134</f>
        <v>27.36</v>
      </c>
      <c r="K27" s="124">
        <f>+'Fachada tub.herr.'!C134</f>
        <v>30.445</v>
      </c>
      <c r="L27" s="124">
        <f>+'Fachada tub.herr.'!E134</f>
        <v>0.54420000000000002</v>
      </c>
    </row>
    <row r="28" spans="5:16" x14ac:dyDescent="0.25">
      <c r="E28" s="53" t="s">
        <v>43</v>
      </c>
      <c r="F28" s="124">
        <f>+'Fachada tub.herr.'!C110</f>
        <v>4.4431600000000007</v>
      </c>
      <c r="G28" s="124">
        <f>+'Fachada tub.herr.'!E110</f>
        <v>4.4431600000000007</v>
      </c>
      <c r="H28" s="124">
        <f>+'Fachada tub.herr.'!I110</f>
        <v>63.349999999999994</v>
      </c>
      <c r="I28" s="124">
        <f>+'Fachada tub.herr.'!J110</f>
        <v>159.51</v>
      </c>
      <c r="J28" s="124">
        <f>+'Fachada tub.herr.'!B135</f>
        <v>27.36</v>
      </c>
      <c r="K28" s="124">
        <f>+'Fachada tub.herr.'!C135</f>
        <v>30.445</v>
      </c>
      <c r="L28" s="124">
        <f>+'Fachada tub.herr.'!E135</f>
        <v>0.54420000000000002</v>
      </c>
    </row>
    <row r="29" spans="5:16" ht="15.6" x14ac:dyDescent="0.3">
      <c r="E29" s="66" t="s">
        <v>297</v>
      </c>
      <c r="F29" s="144"/>
      <c r="G29" s="144"/>
      <c r="H29" s="144"/>
      <c r="I29" s="144"/>
    </row>
    <row r="30" spans="5:16" x14ac:dyDescent="0.25">
      <c r="E30" s="53" t="s">
        <v>35</v>
      </c>
      <c r="F30" s="124">
        <f>+'Fachada tub.herr.'!C158</f>
        <v>4.4431600000000007</v>
      </c>
      <c r="G30" s="124">
        <f>+'Fachada tub.herr.'!E158</f>
        <v>4.4431600000000007</v>
      </c>
      <c r="H30" s="124">
        <f>+'Fachada tub.herr.'!I158</f>
        <v>49.68</v>
      </c>
      <c r="I30" s="124">
        <f>+'Fachada tub.herr.'!J158</f>
        <v>17.060000000000002</v>
      </c>
      <c r="J30" s="124">
        <f>+'Fachada tub.herr.'!B183</f>
        <v>35.54</v>
      </c>
      <c r="K30" s="124">
        <f>+'Fachada tub.herr.'!C183</f>
        <v>2.347</v>
      </c>
      <c r="L30" s="124">
        <f>+'Fachada tub.herr.'!E183</f>
        <v>0.54420000000000002</v>
      </c>
    </row>
    <row r="31" spans="5:16" x14ac:dyDescent="0.25">
      <c r="E31" s="53" t="s">
        <v>42</v>
      </c>
      <c r="F31" s="124">
        <f>+'Fachada tub.herr.'!C159</f>
        <v>4.4431600000000007</v>
      </c>
      <c r="G31" s="124">
        <f>+'Fachada tub.herr.'!E159</f>
        <v>4.4431600000000007</v>
      </c>
      <c r="H31" s="124">
        <f>+'Fachada tub.herr.'!I159</f>
        <v>65.63</v>
      </c>
      <c r="I31" s="124">
        <f>+'Fachada tub.herr.'!J159</f>
        <v>17.060000000000002</v>
      </c>
      <c r="J31" s="124">
        <f>+'Fachada tub.herr.'!B184</f>
        <v>35.54</v>
      </c>
      <c r="K31" s="124">
        <f>+'Fachada tub.herr.'!C184</f>
        <v>2.347</v>
      </c>
      <c r="L31" s="124">
        <f>+'Fachada tub.herr.'!E184</f>
        <v>0.54420000000000002</v>
      </c>
    </row>
    <row r="32" spans="5:16" x14ac:dyDescent="0.25">
      <c r="E32" s="53" t="s">
        <v>38</v>
      </c>
      <c r="F32" s="124">
        <f>+'Fachada tub.herr.'!C160</f>
        <v>4.4431600000000007</v>
      </c>
      <c r="G32" s="124">
        <f>+'Fachada tub.herr.'!E160</f>
        <v>4.4431600000000007</v>
      </c>
      <c r="H32" s="124">
        <f>+'Fachada tub.herr.'!I160</f>
        <v>47.4</v>
      </c>
      <c r="I32" s="124">
        <f>+'Fachada tub.herr.'!J160</f>
        <v>17.060000000000002</v>
      </c>
      <c r="J32" s="124">
        <f>+'Fachada tub.herr.'!B185</f>
        <v>35.54</v>
      </c>
      <c r="K32" s="124">
        <f>+'Fachada tub.herr.'!C185</f>
        <v>2.347</v>
      </c>
      <c r="L32" s="124">
        <f>+'Fachada tub.herr.'!E185</f>
        <v>0.54420000000000002</v>
      </c>
    </row>
    <row r="33" spans="5:12" x14ac:dyDescent="0.25">
      <c r="E33" s="53" t="s">
        <v>43</v>
      </c>
      <c r="F33" s="124">
        <f>+'Fachada tub.herr.'!C161</f>
        <v>4.4431600000000007</v>
      </c>
      <c r="G33" s="124">
        <f>+'Fachada tub.herr.'!E161</f>
        <v>4.4431600000000007</v>
      </c>
      <c r="H33" s="124">
        <f>+'Fachada tub.herr.'!I161</f>
        <v>63.349999999999994</v>
      </c>
      <c r="I33" s="124">
        <f>+'Fachada tub.herr.'!J161</f>
        <v>17.060000000000002</v>
      </c>
      <c r="J33" s="124">
        <f>+'Fachada tub.herr.'!B186</f>
        <v>35.54</v>
      </c>
      <c r="K33" s="124">
        <f>+'Fachada tub.herr.'!C186</f>
        <v>2.347</v>
      </c>
      <c r="L33" s="124">
        <f>+'Fachada tub.herr.'!E186</f>
        <v>0.54420000000000002</v>
      </c>
    </row>
  </sheetData>
  <mergeCells count="3">
    <mergeCell ref="A3:A4"/>
    <mergeCell ref="B3:B4"/>
    <mergeCell ref="C3:C4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6"/>
  <sheetViews>
    <sheetView tabSelected="1" topLeftCell="E16" zoomScale="62" zoomScaleNormal="70" workbookViewId="0">
      <selection activeCell="M23" sqref="M23"/>
    </sheetView>
  </sheetViews>
  <sheetFormatPr baseColWidth="10" defaultColWidth="11.44140625" defaultRowHeight="13.2" x14ac:dyDescent="0.25"/>
  <cols>
    <col min="1" max="1" width="48" style="25" bestFit="1" customWidth="1"/>
    <col min="2" max="2" width="8.33203125" style="25" customWidth="1"/>
    <col min="3" max="3" width="10" style="25" customWidth="1"/>
    <col min="4" max="7" width="12.33203125" style="25" customWidth="1"/>
    <col min="8" max="8" width="2.33203125" style="64" customWidth="1"/>
    <col min="9" max="9" width="13.6640625" style="25" customWidth="1"/>
    <col min="10" max="10" width="12.44140625" style="25" customWidth="1"/>
    <col min="11" max="12" width="12.33203125" style="25" customWidth="1"/>
    <col min="13" max="16384" width="11.44140625" style="25"/>
  </cols>
  <sheetData>
    <row r="1" spans="1:12" ht="70.5" customHeight="1" thickBot="1" x14ac:dyDescent="0.4">
      <c r="A1" s="75"/>
      <c r="B1" s="76"/>
      <c r="C1" s="76"/>
      <c r="D1" s="77"/>
      <c r="E1" s="77"/>
      <c r="F1" s="77"/>
      <c r="G1" s="77"/>
      <c r="K1" s="77"/>
      <c r="L1" s="77"/>
    </row>
    <row r="2" spans="1:12" ht="18.600000000000001" x14ac:dyDescent="0.35">
      <c r="A2" s="215" t="s">
        <v>253</v>
      </c>
      <c r="B2" s="216"/>
      <c r="C2" s="217"/>
      <c r="D2" s="78" t="s">
        <v>225</v>
      </c>
      <c r="E2" s="78" t="s">
        <v>225</v>
      </c>
      <c r="F2" s="78" t="s">
        <v>225</v>
      </c>
      <c r="G2" s="78" t="s">
        <v>225</v>
      </c>
      <c r="H2" s="79"/>
      <c r="I2" s="210" t="s">
        <v>165</v>
      </c>
      <c r="J2" s="211"/>
      <c r="K2" s="78" t="s">
        <v>225</v>
      </c>
      <c r="L2" s="78" t="s">
        <v>225</v>
      </c>
    </row>
    <row r="3" spans="1:12" s="84" customFormat="1" ht="67.5" customHeight="1" thickBot="1" x14ac:dyDescent="0.3">
      <c r="A3" s="212" t="s">
        <v>256</v>
      </c>
      <c r="B3" s="213"/>
      <c r="C3" s="214"/>
      <c r="D3" s="80" t="str">
        <f>IF(D11=8,"8 mm.","10 mm.")</f>
        <v>10 mm.</v>
      </c>
      <c r="E3" s="80" t="str">
        <f>IF(E11=8,"8 mm.","10 mm.")</f>
        <v>10 mm.</v>
      </c>
      <c r="F3" s="80" t="str">
        <f>IF(F11=8,"8 mm.","10 mm.")</f>
        <v>8 mm.</v>
      </c>
      <c r="G3" s="80" t="str">
        <f>IF(G11=8,"8 mm.","10 mm.")</f>
        <v>8 mm.</v>
      </c>
      <c r="H3" s="81"/>
      <c r="I3" s="82"/>
      <c r="J3" s="83"/>
      <c r="K3" s="80" t="str">
        <f>IF(K11=8,"8 mm.","10 mm.")</f>
        <v>10 mm.</v>
      </c>
      <c r="L3" s="80" t="str">
        <f>IF(L11=8,"8 mm.","10 mm.")</f>
        <v>10 mm.</v>
      </c>
    </row>
    <row r="4" spans="1:12" s="85" customFormat="1" ht="13.8" thickBot="1" x14ac:dyDescent="0.3">
      <c r="A4" s="85" t="s">
        <v>166</v>
      </c>
      <c r="C4" s="86"/>
      <c r="D4" s="87" t="str">
        <f>IF(D10=1,"INCOLORO","COLOR")</f>
        <v>INCOLORO</v>
      </c>
      <c r="E4" s="87" t="str">
        <f>IF(E10=1,"INCOLORO","COLOR")</f>
        <v>COLOR</v>
      </c>
      <c r="F4" s="87" t="str">
        <f>IF(F10=1,"INCOLORO","COLOR")</f>
        <v>INCOLORO</v>
      </c>
      <c r="G4" s="87" t="str">
        <f>IF(G10=1,"INCOLORO","COLOR")</f>
        <v>COLOR</v>
      </c>
      <c r="H4" s="88"/>
      <c r="I4" s="89"/>
      <c r="J4" s="90"/>
      <c r="K4" s="87" t="str">
        <f>IF(K10=1,"INCOLORO","COLOR")</f>
        <v>INCOLORO</v>
      </c>
      <c r="L4" s="87" t="str">
        <f>IF(L10=1,"INCOLORO","COLOR")</f>
        <v>INCOLORO</v>
      </c>
    </row>
    <row r="5" spans="1:12" ht="15.6" x14ac:dyDescent="0.3">
      <c r="A5" s="91" t="s">
        <v>167</v>
      </c>
      <c r="B5" s="92" t="s">
        <v>272</v>
      </c>
      <c r="C5" s="93"/>
      <c r="D5" s="28">
        <v>6</v>
      </c>
      <c r="E5" s="28">
        <v>6</v>
      </c>
      <c r="F5" s="28">
        <v>6</v>
      </c>
      <c r="G5" s="28">
        <v>6</v>
      </c>
      <c r="H5" s="94"/>
      <c r="I5" s="95"/>
      <c r="J5" s="96"/>
      <c r="K5" s="28">
        <v>6</v>
      </c>
      <c r="L5" s="28">
        <v>6</v>
      </c>
    </row>
    <row r="6" spans="1:12" ht="15.6" x14ac:dyDescent="0.3">
      <c r="A6" s="97" t="s">
        <v>168</v>
      </c>
      <c r="B6" s="98" t="s">
        <v>273</v>
      </c>
      <c r="C6" s="99"/>
      <c r="D6" s="28">
        <v>6</v>
      </c>
      <c r="E6" s="28">
        <v>6</v>
      </c>
      <c r="F6" s="28">
        <v>6</v>
      </c>
      <c r="G6" s="28">
        <v>6</v>
      </c>
      <c r="H6" s="94"/>
      <c r="I6" s="95"/>
      <c r="J6" s="96"/>
      <c r="K6" s="28">
        <v>6</v>
      </c>
      <c r="L6" s="28">
        <v>6</v>
      </c>
    </row>
    <row r="7" spans="1:12" ht="15.6" x14ac:dyDescent="0.3">
      <c r="A7" s="97" t="s">
        <v>169</v>
      </c>
      <c r="B7" s="98" t="s">
        <v>335</v>
      </c>
      <c r="C7" s="99"/>
      <c r="D7" s="28">
        <v>1</v>
      </c>
      <c r="E7" s="28">
        <v>1</v>
      </c>
      <c r="F7" s="28">
        <v>1</v>
      </c>
      <c r="G7" s="28">
        <v>1</v>
      </c>
      <c r="H7" s="94"/>
      <c r="I7" s="23">
        <f>SUM(K7:IV7)</f>
        <v>32</v>
      </c>
      <c r="J7" s="24" t="s">
        <v>220</v>
      </c>
      <c r="K7" s="28">
        <v>16</v>
      </c>
      <c r="L7" s="28">
        <v>16</v>
      </c>
    </row>
    <row r="8" spans="1:12" ht="15.6" x14ac:dyDescent="0.3">
      <c r="A8" s="10" t="s">
        <v>248</v>
      </c>
      <c r="B8" s="98" t="s">
        <v>336</v>
      </c>
      <c r="C8" s="99"/>
      <c r="D8" s="28">
        <v>4</v>
      </c>
      <c r="E8" s="28">
        <v>4</v>
      </c>
      <c r="F8" s="28">
        <v>4</v>
      </c>
      <c r="G8" s="28">
        <v>4</v>
      </c>
      <c r="H8" s="94"/>
      <c r="I8" s="23"/>
      <c r="J8" s="24"/>
      <c r="K8" s="28">
        <v>5</v>
      </c>
      <c r="L8" s="28">
        <v>5</v>
      </c>
    </row>
    <row r="9" spans="1:12" ht="15.6" x14ac:dyDescent="0.3">
      <c r="A9" s="10" t="s">
        <v>249</v>
      </c>
      <c r="B9" s="98" t="s">
        <v>337</v>
      </c>
      <c r="D9" s="28">
        <v>4</v>
      </c>
      <c r="E9" s="28">
        <v>4</v>
      </c>
      <c r="F9" s="28">
        <v>4</v>
      </c>
      <c r="G9" s="28">
        <v>4</v>
      </c>
      <c r="H9" s="94"/>
      <c r="I9" s="23"/>
      <c r="J9" s="24"/>
      <c r="K9" s="28">
        <v>3</v>
      </c>
      <c r="L9" s="28">
        <v>3</v>
      </c>
    </row>
    <row r="10" spans="1:12" ht="15.6" x14ac:dyDescent="0.3">
      <c r="A10" s="100" t="s">
        <v>186</v>
      </c>
      <c r="B10" s="98" t="s">
        <v>333</v>
      </c>
      <c r="C10" s="99"/>
      <c r="D10" s="28">
        <v>1</v>
      </c>
      <c r="E10" s="28">
        <v>2</v>
      </c>
      <c r="F10" s="28">
        <v>1</v>
      </c>
      <c r="G10" s="28">
        <v>2</v>
      </c>
      <c r="H10" s="94"/>
      <c r="I10" s="23"/>
      <c r="J10" s="24"/>
      <c r="K10" s="28">
        <v>1</v>
      </c>
      <c r="L10" s="28">
        <v>1</v>
      </c>
    </row>
    <row r="11" spans="1:12" ht="15.6" x14ac:dyDescent="0.3">
      <c r="A11" s="100" t="s">
        <v>207</v>
      </c>
      <c r="B11" s="98" t="s">
        <v>334</v>
      </c>
      <c r="C11" s="99"/>
      <c r="D11" s="28">
        <v>10</v>
      </c>
      <c r="E11" s="28">
        <v>10</v>
      </c>
      <c r="F11" s="28">
        <v>8</v>
      </c>
      <c r="G11" s="28">
        <v>8</v>
      </c>
      <c r="H11" s="94"/>
      <c r="I11" s="23"/>
      <c r="J11" s="24"/>
      <c r="K11" s="28">
        <v>10</v>
      </c>
      <c r="L11" s="28">
        <v>10</v>
      </c>
    </row>
    <row r="12" spans="1:12" ht="16.2" thickBot="1" x14ac:dyDescent="0.35">
      <c r="A12" s="101" t="s">
        <v>229</v>
      </c>
      <c r="B12" s="102" t="s">
        <v>338</v>
      </c>
      <c r="C12" s="103"/>
      <c r="D12" s="104"/>
      <c r="E12" s="104"/>
      <c r="F12" s="104"/>
      <c r="G12" s="104"/>
      <c r="H12" s="94"/>
      <c r="I12" s="23"/>
      <c r="J12" s="24"/>
      <c r="K12" s="104"/>
      <c r="L12" s="104"/>
    </row>
    <row r="13" spans="1:12" ht="15.6" x14ac:dyDescent="0.3">
      <c r="A13" s="218" t="s">
        <v>255</v>
      </c>
      <c r="B13" s="218"/>
      <c r="C13" s="219"/>
      <c r="D13" s="74">
        <v>2</v>
      </c>
      <c r="E13" s="74">
        <v>1</v>
      </c>
      <c r="F13" s="74">
        <v>2</v>
      </c>
      <c r="G13" s="74">
        <v>2</v>
      </c>
      <c r="H13" s="94"/>
      <c r="I13" s="23"/>
      <c r="J13" s="24"/>
      <c r="K13" s="74">
        <v>1</v>
      </c>
      <c r="L13" s="74">
        <v>2</v>
      </c>
    </row>
    <row r="14" spans="1:12" ht="18" x14ac:dyDescent="0.35">
      <c r="A14" s="11" t="s">
        <v>250</v>
      </c>
      <c r="B14" s="12"/>
      <c r="C14" s="12"/>
      <c r="D14" s="13"/>
      <c r="E14" s="13"/>
      <c r="F14" s="13"/>
      <c r="G14" s="13"/>
      <c r="H14" s="94"/>
      <c r="I14" s="23"/>
      <c r="J14" s="24"/>
      <c r="K14" s="13"/>
      <c r="L14" s="13"/>
    </row>
    <row r="15" spans="1:12" ht="18" x14ac:dyDescent="0.35">
      <c r="A15" s="14" t="s">
        <v>251</v>
      </c>
      <c r="B15" s="15"/>
      <c r="C15" s="15"/>
      <c r="D15" s="16">
        <f>+D5/D8</f>
        <v>1.5</v>
      </c>
      <c r="E15" s="16">
        <f>+E5/E8</f>
        <v>1.5</v>
      </c>
      <c r="F15" s="16">
        <f>+F5/F8</f>
        <v>1.5</v>
      </c>
      <c r="G15" s="16">
        <f>+G5/G8</f>
        <v>1.5</v>
      </c>
      <c r="H15" s="94"/>
      <c r="I15" s="23"/>
      <c r="J15" s="24"/>
      <c r="K15" s="16">
        <f>+K5/K8</f>
        <v>1.2</v>
      </c>
      <c r="L15" s="16">
        <f>+L5/L8</f>
        <v>1.2</v>
      </c>
    </row>
    <row r="16" spans="1:12" ht="18" x14ac:dyDescent="0.35">
      <c r="A16" s="18" t="s">
        <v>252</v>
      </c>
      <c r="B16" s="19"/>
      <c r="C16" s="19"/>
      <c r="D16" s="17">
        <f>+D6/D9</f>
        <v>1.5</v>
      </c>
      <c r="E16" s="17">
        <f>+E6/E9</f>
        <v>1.5</v>
      </c>
      <c r="F16" s="17">
        <f>+F6/F9</f>
        <v>1.5</v>
      </c>
      <c r="G16" s="17">
        <f>+G6/G9</f>
        <v>1.5</v>
      </c>
      <c r="H16" s="94"/>
      <c r="I16" s="23"/>
      <c r="J16" s="24"/>
      <c r="K16" s="17">
        <f>+K6/K9</f>
        <v>2</v>
      </c>
      <c r="L16" s="17">
        <f>+L6/L9</f>
        <v>2</v>
      </c>
    </row>
    <row r="17" spans="1:12" ht="15.6" x14ac:dyDescent="0.3">
      <c r="A17" s="105" t="s">
        <v>170</v>
      </c>
      <c r="B17" s="41"/>
      <c r="C17" s="106" t="s">
        <v>219</v>
      </c>
      <c r="D17" s="21">
        <f>+D46</f>
        <v>4008.864</v>
      </c>
      <c r="E17" s="21">
        <f>+E46</f>
        <v>2944.2329999999997</v>
      </c>
      <c r="F17" s="21">
        <f>+F46</f>
        <v>3926.1000000000004</v>
      </c>
      <c r="G17" s="21">
        <f>+G46</f>
        <v>4490.0459999999994</v>
      </c>
      <c r="H17" s="22"/>
      <c r="I17" s="23">
        <f>SUM(K17:IV17)</f>
        <v>150891.84000000003</v>
      </c>
      <c r="J17" s="24" t="s">
        <v>171</v>
      </c>
      <c r="K17" s="21">
        <f>+K46</f>
        <v>40178.335999999996</v>
      </c>
      <c r="L17" s="21">
        <f>+L46</f>
        <v>110713.50400000002</v>
      </c>
    </row>
    <row r="18" spans="1:12" ht="15.6" x14ac:dyDescent="0.3">
      <c r="A18" s="26" t="s">
        <v>172</v>
      </c>
      <c r="B18" s="20"/>
      <c r="C18" s="27"/>
      <c r="D18" s="28">
        <f>+D5*D6*D$7+IF(D13=1,D7*D6*(D8-1)*0.2,0)</f>
        <v>36</v>
      </c>
      <c r="E18" s="28">
        <f>+E5*E6*E$7+IF(E13=1,E7*E6*(E8-1)*0.2,0)</f>
        <v>39.6</v>
      </c>
      <c r="F18" s="28">
        <f>+F5*F6*F$7+IF(F13=1,F7*F6*(F8-1)*0.2,0)</f>
        <v>36</v>
      </c>
      <c r="G18" s="28">
        <f>+G5*G6*G$7+IF(G13=1,G7*G6*(G8-1)*0.2,0)</f>
        <v>36</v>
      </c>
      <c r="H18" s="29"/>
      <c r="I18" s="23">
        <f>SUM(K18:IV18)</f>
        <v>1228.8</v>
      </c>
      <c r="J18" s="24" t="s">
        <v>36</v>
      </c>
      <c r="K18" s="28">
        <f>+K5*K6*K$7+IF(K13=1,K7*K6*(K8-1)*0.2,0)</f>
        <v>652.79999999999995</v>
      </c>
      <c r="L18" s="28">
        <f>+L5*L6*L$7+IF(L13=1,L7*L6*(L8-1)*0.2,0)</f>
        <v>576</v>
      </c>
    </row>
    <row r="19" spans="1:12" ht="15.6" x14ac:dyDescent="0.3">
      <c r="A19" s="26" t="s">
        <v>173</v>
      </c>
      <c r="B19" s="20"/>
      <c r="C19" s="27"/>
      <c r="D19" s="21">
        <f>+D17/D18</f>
        <v>111.35733333333333</v>
      </c>
      <c r="E19" s="21">
        <f>+E17/E18</f>
        <v>74.349318181818177</v>
      </c>
      <c r="F19" s="21">
        <f>+F17/F18</f>
        <v>109.05833333333334</v>
      </c>
      <c r="G19" s="21">
        <f>+G17/G18</f>
        <v>124.72349999999999</v>
      </c>
      <c r="H19" s="22"/>
      <c r="I19" s="23">
        <f>+I17/I18</f>
        <v>122.79609375000003</v>
      </c>
      <c r="J19" s="24" t="s">
        <v>174</v>
      </c>
      <c r="K19" s="21">
        <f>+K17/K18</f>
        <v>61.547696078431372</v>
      </c>
      <c r="L19" s="21">
        <f>+L17/L18</f>
        <v>192.21094444444446</v>
      </c>
    </row>
    <row r="20" spans="1:12" ht="15.6" x14ac:dyDescent="0.3">
      <c r="A20" s="26" t="s">
        <v>175</v>
      </c>
      <c r="B20" s="20"/>
      <c r="C20" s="27"/>
      <c r="D20" s="21">
        <f>+D67</f>
        <v>3704.3339999999998</v>
      </c>
      <c r="E20" s="21">
        <f>+E67</f>
        <v>2722.0139999999992</v>
      </c>
      <c r="F20" s="21">
        <f>+F67</f>
        <v>3624.4740000000002</v>
      </c>
      <c r="G20" s="21">
        <f>+G67</f>
        <v>4169.634</v>
      </c>
      <c r="H20" s="22"/>
      <c r="I20" s="23">
        <f>SUM(K20:IV20)</f>
        <v>142475.008</v>
      </c>
      <c r="J20" s="24" t="s">
        <v>171</v>
      </c>
      <c r="K20" s="21">
        <f>+K67</f>
        <v>36793.343999999997</v>
      </c>
      <c r="L20" s="21">
        <f>+L67</f>
        <v>105681.664</v>
      </c>
    </row>
    <row r="21" spans="1:12" ht="15.6" x14ac:dyDescent="0.3">
      <c r="A21" s="26" t="s">
        <v>176</v>
      </c>
      <c r="B21" s="20"/>
      <c r="C21" s="27"/>
      <c r="D21" s="21">
        <f>+D20/D18</f>
        <v>102.89816666666667</v>
      </c>
      <c r="E21" s="21">
        <f>+E20/E18</f>
        <v>68.737727272727255</v>
      </c>
      <c r="F21" s="21">
        <f>+F20/F18</f>
        <v>100.67983333333333</v>
      </c>
      <c r="G21" s="21">
        <f>+G20/G18</f>
        <v>115.82316666666667</v>
      </c>
      <c r="H21" s="22"/>
      <c r="I21" s="23">
        <f>+I20/I18</f>
        <v>115.94645833333334</v>
      </c>
      <c r="J21" s="24" t="s">
        <v>174</v>
      </c>
      <c r="K21" s="21">
        <f>+K20/K18</f>
        <v>56.362352941176468</v>
      </c>
      <c r="L21" s="21">
        <f>+L20/L18</f>
        <v>183.47511111111112</v>
      </c>
    </row>
    <row r="22" spans="1:12" ht="15.6" x14ac:dyDescent="0.3">
      <c r="A22" s="30" t="s">
        <v>178</v>
      </c>
      <c r="B22" s="31"/>
      <c r="C22" s="32"/>
      <c r="D22" s="33">
        <f>+(D17-D20)/D17</f>
        <v>7.5964163413874908E-2</v>
      </c>
      <c r="E22" s="33">
        <f>+(E17-E20)/E17</f>
        <v>7.5476023806539949E-2</v>
      </c>
      <c r="F22" s="33">
        <f>+(F17-F20)/F17</f>
        <v>7.6825857721402963E-2</v>
      </c>
      <c r="G22" s="33">
        <f>+(G17-G20)/G17</f>
        <v>7.1360516128342433E-2</v>
      </c>
      <c r="H22" s="34"/>
      <c r="I22" s="35">
        <f>+(I17-I20)/I17</f>
        <v>5.5780564409579889E-2</v>
      </c>
      <c r="J22" s="36"/>
      <c r="K22" s="33">
        <f>+(K17-K20)/K17</f>
        <v>8.4249183440548631E-2</v>
      </c>
      <c r="L22" s="33">
        <f>+(L17-L20)/L17</f>
        <v>4.5449198320017134E-2</v>
      </c>
    </row>
    <row r="23" spans="1:12" ht="15.6" x14ac:dyDescent="0.3">
      <c r="A23" s="37"/>
      <c r="B23" s="31"/>
      <c r="C23" s="38"/>
      <c r="D23" s="39"/>
      <c r="E23" s="39"/>
      <c r="F23" s="39"/>
      <c r="G23" s="39"/>
      <c r="H23" s="40"/>
      <c r="I23" s="39"/>
      <c r="J23" s="39"/>
      <c r="K23" s="39"/>
      <c r="L23" s="39"/>
    </row>
    <row r="24" spans="1:12" x14ac:dyDescent="0.25">
      <c r="A24" s="41" t="s">
        <v>179</v>
      </c>
      <c r="B24" s="42"/>
      <c r="C24" s="43"/>
      <c r="D24" s="44"/>
      <c r="E24" s="44"/>
      <c r="F24" s="44"/>
      <c r="G24" s="44"/>
      <c r="H24" s="45"/>
      <c r="I24" s="42"/>
      <c r="J24" s="42"/>
      <c r="K24" s="44"/>
      <c r="L24" s="44"/>
    </row>
    <row r="25" spans="1:12" x14ac:dyDescent="0.25">
      <c r="A25" s="46" t="s">
        <v>180</v>
      </c>
      <c r="B25" s="47"/>
      <c r="C25" s="48" t="s">
        <v>2</v>
      </c>
      <c r="D25" s="49" t="str">
        <f>+D2</f>
        <v>PF</v>
      </c>
      <c r="E25" s="49" t="str">
        <f>+E2</f>
        <v>PF</v>
      </c>
      <c r="F25" s="49" t="str">
        <f>+F2</f>
        <v>PF</v>
      </c>
      <c r="G25" s="49" t="str">
        <f>+G2</f>
        <v>PF</v>
      </c>
      <c r="H25" s="50"/>
      <c r="I25" s="51" t="s">
        <v>181</v>
      </c>
      <c r="J25" s="52" t="s">
        <v>2</v>
      </c>
      <c r="K25" s="49" t="str">
        <f>+K2</f>
        <v>PF</v>
      </c>
      <c r="L25" s="49" t="str">
        <f>+L2</f>
        <v>PF</v>
      </c>
    </row>
    <row r="26" spans="1:12" ht="15.6" x14ac:dyDescent="0.3">
      <c r="A26" s="53" t="s">
        <v>35</v>
      </c>
      <c r="B26" s="54"/>
      <c r="C26" s="55" t="s">
        <v>36</v>
      </c>
      <c r="D26" s="56">
        <f>IF(D$10=1,IF(D$11=10,((D$6*0.05)+(D$5*D$6))*D$7+IF(D13=1,D$7*D6*(D8-1)*0.2,0),0),0)</f>
        <v>36.299999999999997</v>
      </c>
      <c r="E26" s="56">
        <f>IF(E$10=1,IF(E$11=10,((E$6*0.05)+(E$5*E$6))*E$7+IF(E13=1,E$7*E6*(E8-1)*0.2,0),0),0)</f>
        <v>0</v>
      </c>
      <c r="F26" s="56">
        <f>IF(F$10=1,IF(F$11=10,((F$6*0.05)+(F$5*F$6))*F$7+IF(F13=1,F$7*F6*(F8-1)*0.2,0),0),0)</f>
        <v>0</v>
      </c>
      <c r="G26" s="56">
        <f>IF(G$10=1,IF(G$11=10,((G$6*0.05)+(G$5*G$6))*G$7+IF(G13=1,G$7*G6*(G8-1)*0.2,0),0),0)</f>
        <v>0</v>
      </c>
      <c r="H26" s="57"/>
      <c r="I26" s="58">
        <f>ROUNDUP(SUM(K26:IV26),1)</f>
        <v>1238.4000000000001</v>
      </c>
      <c r="J26" s="55" t="s">
        <v>36</v>
      </c>
      <c r="K26" s="56">
        <f>IF(K$10=1,IF(K$11=10,((K$6*0.05)+(K$5*K$6))*K$7+IF(K13=1,K$7*K6*(K8-1)*0.2,0),0),0)</f>
        <v>657.59999999999991</v>
      </c>
      <c r="L26" s="56">
        <f>IF(L$10=1,IF(L$11=10,((L$6*0.05)+(L$5*L$6))*L$7+IF(L13=1,L$7*L6*(L8-1)*0.2,0),0),0)</f>
        <v>580.79999999999995</v>
      </c>
    </row>
    <row r="27" spans="1:12" ht="15.6" x14ac:dyDescent="0.3">
      <c r="A27" s="53" t="s">
        <v>42</v>
      </c>
      <c r="B27" s="54"/>
      <c r="C27" s="55" t="s">
        <v>36</v>
      </c>
      <c r="D27" s="56">
        <f>IF(D$10=2,IF(D$11=10,((D$6*0.05)+(D$5*D$6))*D$7+IF(D13=1,D7*D6*(D8-1)*0.2,0),0),0)</f>
        <v>0</v>
      </c>
      <c r="E27" s="56">
        <f>IF(E$10=2,IF(E$11=10,((E$6*0.05)+(E$5*E$6))*E$7+IF(E13=1,E7*E6*(E8-1)*0.2,0),0),0)</f>
        <v>39.9</v>
      </c>
      <c r="F27" s="56">
        <f>IF(F$10=2,IF(F$11=10,((F$6*0.05)+(F$5*F$6))*F$7+IF(F13=1,F7*F6*(F8-1)*0.2,0),0),0)</f>
        <v>0</v>
      </c>
      <c r="G27" s="56">
        <f>IF(G$10=2,IF(G$11=10,((G$6*0.05)+(G$5*G$6))*G$7+IF(G13=1,G7*G6*(G8-1)*0.2,0),0),0)</f>
        <v>0</v>
      </c>
      <c r="H27" s="57"/>
      <c r="I27" s="58">
        <f>ROUNDUP(SUM(K27:IV27),1)</f>
        <v>0</v>
      </c>
      <c r="J27" s="55" t="s">
        <v>36</v>
      </c>
      <c r="K27" s="56">
        <f>IF(K$10=2,IF(K$11=10,((K$6*0.05)+(K$5*K$6))*K$7+IF(K13=1,K7*K6*(K8-1)*0.2,0),0),0)</f>
        <v>0</v>
      </c>
      <c r="L27" s="56">
        <f>IF(L$10=2,IF(L$11=10,((L$6*0.05)+(L$5*L$6))*L$7+IF(L13=1,L7*L6*(L8-1)*0.2,0),0),0)</f>
        <v>0</v>
      </c>
    </row>
    <row r="28" spans="1:12" ht="15.6" x14ac:dyDescent="0.3">
      <c r="A28" s="53" t="s">
        <v>38</v>
      </c>
      <c r="B28" s="54"/>
      <c r="C28" s="55" t="s">
        <v>36</v>
      </c>
      <c r="D28" s="56">
        <f>IF(D$10=1,IF(D$11=8,((D$6*0.05)+(D$5*D$6))*D$7+IF(D13=1,D7*D6*(D8-1)*0.2,0),0),0)</f>
        <v>0</v>
      </c>
      <c r="E28" s="56">
        <f>IF(E$10=1,IF(E$11=8,((E$6*0.05)+(E$5*E$6))*E$7+IF(E13=1,E7*E6*(E8-1)*0.2,0),0),0)</f>
        <v>0</v>
      </c>
      <c r="F28" s="56">
        <f>IF(F$10=1,IF(F$11=8,((F$6*0.05)+(F$5*F$6))*F$7+IF(F13=1,F7*F6*(F8-1)*0.2,0),0),0)</f>
        <v>36.299999999999997</v>
      </c>
      <c r="G28" s="56">
        <f>IF(G$10=1,IF(G$11=8,((G$6*0.05)+(G$5*G$6))*G$7+IF(G13=1,G7*G6*(G8-1)*0.2,0),0),0)</f>
        <v>0</v>
      </c>
      <c r="H28" s="57"/>
      <c r="I28" s="58">
        <f>ROUNDUP(SUM(K28:IV28),1)</f>
        <v>0</v>
      </c>
      <c r="J28" s="55" t="s">
        <v>36</v>
      </c>
      <c r="K28" s="56">
        <f>IF(K$10=1,IF(K$11=8,((K$6*0.05)+(K$5*K$6))*K$7+IF(K13=1,K7*K6*(K8-1)*0.2,0),0),0)</f>
        <v>0</v>
      </c>
      <c r="L28" s="56">
        <f>IF(L$10=1,IF(L$11=8,((L$6*0.05)+(L$5*L$6))*L$7+IF(L13=1,L7*L6*(L8-1)*0.2,0),0),0)</f>
        <v>0</v>
      </c>
    </row>
    <row r="29" spans="1:12" ht="15.6" x14ac:dyDescent="0.3">
      <c r="A29" s="53" t="s">
        <v>43</v>
      </c>
      <c r="B29" s="54"/>
      <c r="C29" s="55" t="s">
        <v>36</v>
      </c>
      <c r="D29" s="56">
        <f>IF(D$10=2,IF(D$11=8,((D$5*D$6))*D$7+IF(D13=1,D7*D6*(D8-1)*0.2,0),0),0)</f>
        <v>0</v>
      </c>
      <c r="E29" s="56">
        <f>IF(E$10=2,IF(E$11=8,((E$5*E$6))*E$7+IF(E13=1,E7*E6*(E8-1)*0.2,0),0),0)</f>
        <v>0</v>
      </c>
      <c r="F29" s="56">
        <f>IF(F$10=2,IF(F$11=8,((F$5*F$6))*F$7+IF(F13=1,F7*F6*(F8-1)*0.2,0),0),0)</f>
        <v>0</v>
      </c>
      <c r="G29" s="56">
        <f>IF(G$10=2,IF(G$11=8,((G$5*G$6))*G$7+IF(G13=1,G7*G6*(G8-1)*0.2,0),0),0)</f>
        <v>36</v>
      </c>
      <c r="H29" s="57"/>
      <c r="I29" s="58">
        <f>ROUNDUP(SUM(K29:IV29),1)</f>
        <v>0</v>
      </c>
      <c r="J29" s="55" t="s">
        <v>36</v>
      </c>
      <c r="K29" s="56">
        <f>IF(K$10=2,IF(K$11=8,((K$5*K$6))*K$7+IF(K13=1,K7*K6*(K8-1)*0.2,0),0),0)</f>
        <v>0</v>
      </c>
      <c r="L29" s="56">
        <f>IF(L$10=2,IF(L$11=8,((L$5*L$6))*L$7+IF(L13=1,L7*L6*(L8-1)*0.2,0),0),0)</f>
        <v>0</v>
      </c>
    </row>
    <row r="30" spans="1:12" ht="15.6" x14ac:dyDescent="0.3">
      <c r="A30" s="53" t="s">
        <v>189</v>
      </c>
      <c r="B30" s="54"/>
      <c r="C30" s="55" t="s">
        <v>36</v>
      </c>
      <c r="D30" s="56">
        <f>+D18</f>
        <v>36</v>
      </c>
      <c r="E30" s="56">
        <f>+E18</f>
        <v>39.6</v>
      </c>
      <c r="F30" s="56">
        <f>+F18</f>
        <v>36</v>
      </c>
      <c r="G30" s="56">
        <f>+G18</f>
        <v>36</v>
      </c>
      <c r="H30" s="57"/>
      <c r="I30" s="58">
        <f>ROUNDUP(SUM(K30:IV30),1)</f>
        <v>1228.8</v>
      </c>
      <c r="J30" s="55" t="s">
        <v>36</v>
      </c>
      <c r="K30" s="56">
        <f>+K18</f>
        <v>652.79999999999995</v>
      </c>
      <c r="L30" s="56">
        <f>+L18</f>
        <v>576</v>
      </c>
    </row>
    <row r="31" spans="1:12" ht="15.6" x14ac:dyDescent="0.3">
      <c r="A31" s="53" t="s">
        <v>197</v>
      </c>
      <c r="B31" s="54"/>
      <c r="C31" s="55" t="s">
        <v>13</v>
      </c>
      <c r="D31" s="56">
        <f>D7*(4*D5+4*D6+(D8-1)*D6+(D9-1)*D5)/6</f>
        <v>14</v>
      </c>
      <c r="E31" s="56">
        <f>E7*(4*E5+4*E6+(E8-1)*E6+(E9-1)*E5)/6</f>
        <v>14</v>
      </c>
      <c r="F31" s="56">
        <f>F7*(4*F5+4*F6+(F8-1)*F6+(F9-1)*F5)/6</f>
        <v>14</v>
      </c>
      <c r="G31" s="56">
        <f>G7*(4*G5+4*G6+(G8-1)*G6+(G9-1)*G5)/6</f>
        <v>14</v>
      </c>
      <c r="H31" s="57"/>
      <c r="I31" s="58">
        <f>ROUNDUP(SUM(K31:IV31),1)</f>
        <v>448</v>
      </c>
      <c r="J31" s="55" t="s">
        <v>13</v>
      </c>
      <c r="K31" s="56">
        <f>K7*(4*K5+4*K6+(K8-1)*K6+(K9-1)*K5)/6</f>
        <v>224</v>
      </c>
      <c r="L31" s="56">
        <f>L7*(4*L5+4*L6+(L8-1)*L6+(L9-1)*L5)/6</f>
        <v>224</v>
      </c>
    </row>
    <row r="32" spans="1:12" ht="15.6" x14ac:dyDescent="0.3">
      <c r="A32" s="53" t="s">
        <v>16</v>
      </c>
      <c r="B32" s="54"/>
      <c r="C32" s="55" t="s">
        <v>17</v>
      </c>
      <c r="D32" s="56">
        <f>+D7*D31*12/20</f>
        <v>8.4</v>
      </c>
      <c r="E32" s="56">
        <f>+E7*E31*12/20</f>
        <v>8.4</v>
      </c>
      <c r="F32" s="56">
        <f>+F7*F31*12/20</f>
        <v>8.4</v>
      </c>
      <c r="G32" s="56">
        <f>+G7*G31*12/20</f>
        <v>8.4</v>
      </c>
      <c r="H32" s="57"/>
      <c r="I32" s="58">
        <f>ROUNDUP(SUM(K32:IV32),1)</f>
        <v>4300.8</v>
      </c>
      <c r="J32" s="55" t="s">
        <v>17</v>
      </c>
      <c r="K32" s="56">
        <f>+K7*K31*12/20</f>
        <v>2150.4</v>
      </c>
      <c r="L32" s="56">
        <f>+L7*L31*12/20</f>
        <v>2150.4</v>
      </c>
    </row>
    <row r="33" spans="1:12" ht="15.6" x14ac:dyDescent="0.3">
      <c r="A33" s="53" t="s">
        <v>331</v>
      </c>
      <c r="B33" s="54">
        <v>0.2</v>
      </c>
      <c r="C33" s="55" t="s">
        <v>193</v>
      </c>
      <c r="D33" s="56">
        <f>(2*D$6+2*D5)*$B33*D$7</f>
        <v>4.8000000000000007</v>
      </c>
      <c r="E33" s="56">
        <f>(2*E$6+2*E5)*$B33*E$7</f>
        <v>4.8000000000000007</v>
      </c>
      <c r="F33" s="56">
        <f>(2*F$6+2*F5)*$B33*F$7</f>
        <v>4.8000000000000007</v>
      </c>
      <c r="G33" s="56">
        <f>(2*G$6+2*G5)*$B33*G$7</f>
        <v>4.8000000000000007</v>
      </c>
      <c r="H33" s="57"/>
      <c r="I33" s="58">
        <f>ROUNDUP(SUM(K33:IV33)/(6*B33),1)</f>
        <v>128</v>
      </c>
      <c r="J33" s="55" t="s">
        <v>280</v>
      </c>
      <c r="K33" s="56">
        <f>(2*K$6+2*K5)*$B33*K$7</f>
        <v>76.800000000000011</v>
      </c>
      <c r="L33" s="56">
        <f>(2*L$6+2*L5)*$B33*L$7</f>
        <v>76.800000000000011</v>
      </c>
    </row>
    <row r="34" spans="1:12" ht="15.6" x14ac:dyDescent="0.3">
      <c r="A34" s="53" t="s">
        <v>228</v>
      </c>
      <c r="B34" s="54"/>
      <c r="C34" s="55" t="s">
        <v>36</v>
      </c>
      <c r="D34" s="56">
        <f>IF((D12="e"),D18*D7,IF( (D12="E"),D18*D7,0))</f>
        <v>0</v>
      </c>
      <c r="E34" s="56">
        <f>IF((E12="e"),E18*E7,IF( (E12="E"),E18*E7,0))</f>
        <v>0</v>
      </c>
      <c r="F34" s="56">
        <f>IF((F12="e"),F18*F7,IF( (F12="E"),F18*F7,0))</f>
        <v>0</v>
      </c>
      <c r="G34" s="56">
        <f>IF((G12="e"),G18*G7,IF( (G12="E"),G18*G7,0))</f>
        <v>0</v>
      </c>
      <c r="H34" s="57"/>
      <c r="I34" s="58">
        <f>ROUNDUP(SUM(K34:IV34),1)</f>
        <v>0</v>
      </c>
      <c r="J34" s="55" t="s">
        <v>36</v>
      </c>
      <c r="K34" s="56">
        <f>IF((K12="e"),K18*K7,IF( (K12="E"),K18*K7,0))</f>
        <v>0</v>
      </c>
      <c r="L34" s="56">
        <f>IF((L12="e"),L18*L7,IF( (L12="E"),L18*L7,0))</f>
        <v>0</v>
      </c>
    </row>
    <row r="35" spans="1:12" ht="15.6" x14ac:dyDescent="0.3">
      <c r="A35" s="53" t="s">
        <v>31</v>
      </c>
      <c r="B35" s="54"/>
      <c r="C35" s="55" t="s">
        <v>29</v>
      </c>
      <c r="D35" s="56">
        <f>D$7*(2*D$5+2*D$6)/0.4</f>
        <v>60</v>
      </c>
      <c r="E35" s="56">
        <f>E$7*(2*E$5+2*E$6)/0.4</f>
        <v>60</v>
      </c>
      <c r="F35" s="56">
        <f>F$7*(2*F$5+2*F$6)/0.4</f>
        <v>60</v>
      </c>
      <c r="G35" s="56">
        <f>G$7*(2*G$5+2*G$6)/0.4</f>
        <v>60</v>
      </c>
      <c r="H35" s="57"/>
      <c r="I35" s="58">
        <f>ROUNDUP(SUM(K35:IV35),1)</f>
        <v>1920</v>
      </c>
      <c r="J35" s="55" t="s">
        <v>29</v>
      </c>
      <c r="K35" s="56">
        <f>K$7*(2*K$5+2*K$6)/0.4</f>
        <v>960</v>
      </c>
      <c r="L35" s="56">
        <f>L$7*(2*L$5+2*L$6)/0.4</f>
        <v>960</v>
      </c>
    </row>
    <row r="36" spans="1:12" ht="15.6" x14ac:dyDescent="0.3">
      <c r="A36" s="53" t="s">
        <v>32</v>
      </c>
      <c r="B36" s="54"/>
      <c r="C36" s="55" t="s">
        <v>29</v>
      </c>
      <c r="D36" s="56">
        <f>D$7*(2*D$5+2*D$6)/0.4</f>
        <v>60</v>
      </c>
      <c r="E36" s="56">
        <f>E$7*(2*E$5+2*E$6)/0.4</f>
        <v>60</v>
      </c>
      <c r="F36" s="56">
        <f>F$7*(2*F$5+2*F$6)/0.4</f>
        <v>60</v>
      </c>
      <c r="G36" s="56">
        <f>G$7*(2*G$5+2*G$6)/0.4</f>
        <v>60</v>
      </c>
      <c r="H36" s="57"/>
      <c r="I36" s="58">
        <f>ROUNDUP(SUM(K36:IV36),1)</f>
        <v>1920</v>
      </c>
      <c r="J36" s="55" t="s">
        <v>29</v>
      </c>
      <c r="K36" s="56">
        <f>K$7*(2*K$5+2*K$6)/0.4</f>
        <v>960</v>
      </c>
      <c r="L36" s="56">
        <f>L$7*(2*L$5+2*L$6)/0.4</f>
        <v>960</v>
      </c>
    </row>
    <row r="37" spans="1:12" ht="15.6" x14ac:dyDescent="0.3">
      <c r="A37" s="53" t="s">
        <v>257</v>
      </c>
      <c r="B37" s="54"/>
      <c r="C37" s="55" t="s">
        <v>259</v>
      </c>
      <c r="D37" s="56">
        <f>IF(D13=2,D7*(D8-1)*D6,0)</f>
        <v>18</v>
      </c>
      <c r="E37" s="56">
        <f>IF(E13=2,E7*(E8-1)*E6,0)</f>
        <v>0</v>
      </c>
      <c r="F37" s="56">
        <f>IF(F13=2,F7*(F8-1)*F6,0)</f>
        <v>18</v>
      </c>
      <c r="G37" s="56">
        <f>IF(G13=2,G7*(G8-1)*G6,0)</f>
        <v>18</v>
      </c>
      <c r="H37" s="57"/>
      <c r="I37" s="58">
        <f>ROUNDUP(SUM(K37:IV37),1)</f>
        <v>384</v>
      </c>
      <c r="J37" s="55" t="s">
        <v>259</v>
      </c>
      <c r="K37" s="56">
        <f>IF(K13=2,K7*(K8-1)*K6,0)</f>
        <v>0</v>
      </c>
      <c r="L37" s="56">
        <f>IF(L13=2,L7*(L8-1)*L6,0)</f>
        <v>384</v>
      </c>
    </row>
    <row r="38" spans="1:12" ht="15.6" x14ac:dyDescent="0.3">
      <c r="A38" s="53" t="s">
        <v>258</v>
      </c>
      <c r="B38" s="54"/>
      <c r="C38" s="55" t="s">
        <v>29</v>
      </c>
      <c r="D38" s="56">
        <f>IF(D13=2,D7*(D8-1)*(D9-1),0)</f>
        <v>9</v>
      </c>
      <c r="E38" s="56">
        <f>IF(E13=2,E7*(E8-1)*(E9-1),0)</f>
        <v>0</v>
      </c>
      <c r="F38" s="56">
        <f>IF(F13=2,F7*(F8-1)*(F9-1),0)</f>
        <v>9</v>
      </c>
      <c r="G38" s="56">
        <f>IF(G13=2,G7*(G8-1)*(G9-1),0)</f>
        <v>9</v>
      </c>
      <c r="H38" s="57"/>
      <c r="I38" s="58">
        <f>ROUNDUP(SUM(K38:IV38),1)</f>
        <v>128</v>
      </c>
      <c r="J38" s="55" t="s">
        <v>29</v>
      </c>
      <c r="K38" s="56">
        <f>IF(K13=2,K7*(K8-1)*(K9-1),0)</f>
        <v>0</v>
      </c>
      <c r="L38" s="56">
        <f>IF(L13=2,L7*(L8-1)*(L9-1),0)</f>
        <v>128</v>
      </c>
    </row>
    <row r="39" spans="1:12" ht="15.6" x14ac:dyDescent="0.3">
      <c r="A39" s="53" t="s">
        <v>260</v>
      </c>
      <c r="B39" s="54"/>
      <c r="C39" s="55" t="s">
        <v>29</v>
      </c>
      <c r="D39" s="56">
        <f>+D38*D7</f>
        <v>9</v>
      </c>
      <c r="E39" s="56">
        <f>+E38*E7</f>
        <v>0</v>
      </c>
      <c r="F39" s="56">
        <f>+F38*F7</f>
        <v>9</v>
      </c>
      <c r="G39" s="56">
        <f>+G38*G7</f>
        <v>9</v>
      </c>
      <c r="H39" s="57"/>
      <c r="I39" s="58">
        <f>ROUNDUP(SUM(K39:IV39),1)</f>
        <v>2048</v>
      </c>
      <c r="J39" s="55" t="s">
        <v>29</v>
      </c>
      <c r="K39" s="56">
        <f>+K38*K7</f>
        <v>0</v>
      </c>
      <c r="L39" s="56">
        <f>+L38*L7</f>
        <v>2048</v>
      </c>
    </row>
    <row r="40" spans="1:12" ht="15.6" x14ac:dyDescent="0.3">
      <c r="A40" s="53" t="s">
        <v>263</v>
      </c>
      <c r="B40" s="54"/>
      <c r="C40" s="55" t="s">
        <v>29</v>
      </c>
      <c r="D40" s="56">
        <f>+(D8-1)*2*D7</f>
        <v>6</v>
      </c>
      <c r="E40" s="56">
        <f>+(E8-1)*2*E7</f>
        <v>6</v>
      </c>
      <c r="F40" s="56">
        <f>+(F8-1)*2*F7</f>
        <v>6</v>
      </c>
      <c r="G40" s="56">
        <f>+(G8-1)*2*G7</f>
        <v>6</v>
      </c>
      <c r="H40" s="57"/>
      <c r="I40" s="58">
        <f>ROUNDUP(SUM(K40:IV40),1)</f>
        <v>256</v>
      </c>
      <c r="J40" s="55" t="s">
        <v>29</v>
      </c>
      <c r="K40" s="56">
        <f>+(K8-1)*2*K7</f>
        <v>128</v>
      </c>
      <c r="L40" s="56">
        <f>+(L8-1)*2*L7</f>
        <v>128</v>
      </c>
    </row>
    <row r="41" spans="1:12" ht="15.6" x14ac:dyDescent="0.3">
      <c r="A41" s="53">
        <v>1318</v>
      </c>
      <c r="B41" s="54"/>
      <c r="C41" s="55" t="s">
        <v>29</v>
      </c>
      <c r="D41" s="56">
        <f>IF(D13=1,D7*(D8-1)*(D9-1),0)</f>
        <v>0</v>
      </c>
      <c r="E41" s="56">
        <f>IF(E13=1,E7*(E8-1)*(E9-1),0)</f>
        <v>9</v>
      </c>
      <c r="F41" s="56">
        <f>IF(F13=1,F7*(F8-1)*(F9-1),0)</f>
        <v>0</v>
      </c>
      <c r="G41" s="56">
        <f>IF(G13=1,G7*(G8-1)*(G9-1),0)</f>
        <v>0</v>
      </c>
      <c r="H41" s="57"/>
      <c r="I41" s="58">
        <f>ROUNDUP(SUM(K41:IV41),1)</f>
        <v>128</v>
      </c>
      <c r="J41" s="55" t="s">
        <v>29</v>
      </c>
      <c r="K41" s="56">
        <f>IF(K13=1,K7*(K8-1)*(K9-1),0)</f>
        <v>128</v>
      </c>
      <c r="L41" s="56">
        <f>IF(L13=1,L7*(L8-1)*(L9-1),0)</f>
        <v>0</v>
      </c>
    </row>
    <row r="42" spans="1:12" ht="15.6" x14ac:dyDescent="0.3">
      <c r="A42" s="60">
        <v>1302</v>
      </c>
      <c r="B42" s="54"/>
      <c r="C42" s="61" t="s">
        <v>29</v>
      </c>
      <c r="D42" s="56">
        <f>IF(D13=1,D7*2*(D8-1),0)</f>
        <v>0</v>
      </c>
      <c r="E42" s="56">
        <f>IF(E13=1,E7*2*(E8-1),0)</f>
        <v>6</v>
      </c>
      <c r="F42" s="56">
        <f>IF(F13=1,F7*2*(F8-1),0)</f>
        <v>0</v>
      </c>
      <c r="G42" s="56">
        <f>IF(G13=1,G7*2*(G8-1),0)</f>
        <v>0</v>
      </c>
      <c r="H42" s="57"/>
      <c r="I42" s="58">
        <f>ROUNDUP(SUM(K42:IV42),1)</f>
        <v>128</v>
      </c>
      <c r="J42" s="61" t="s">
        <v>29</v>
      </c>
      <c r="K42" s="56">
        <f>IF(K13=1,K7*2*(K8-1),0)</f>
        <v>128</v>
      </c>
      <c r="L42" s="56">
        <f>IF(L13=1,L7*2*(L8-1),0)</f>
        <v>0</v>
      </c>
    </row>
    <row r="43" spans="1:12" ht="15.6" x14ac:dyDescent="0.3">
      <c r="A43" s="53">
        <v>1304</v>
      </c>
      <c r="B43" s="54"/>
      <c r="C43" s="55" t="s">
        <v>29</v>
      </c>
      <c r="D43" s="56">
        <f>IF(D13=1,D7*(D8-1)*(D9-1),0)</f>
        <v>0</v>
      </c>
      <c r="E43" s="56">
        <f>IF(E13=1,E7*(E8-1)*(E9-1),0)</f>
        <v>9</v>
      </c>
      <c r="F43" s="56">
        <f>IF(F13=1,F7*(F8-1)*(F9-1),0)</f>
        <v>0</v>
      </c>
      <c r="G43" s="56">
        <f>IF(G13=1,G7*(G8-1)*(G9-1),0)</f>
        <v>0</v>
      </c>
      <c r="H43" s="57"/>
      <c r="I43" s="58">
        <f>ROUNDUP(SUM(K43:IV43),1)</f>
        <v>128</v>
      </c>
      <c r="J43" s="55" t="s">
        <v>29</v>
      </c>
      <c r="K43" s="56">
        <f>IF(K13=1,K7*(K8-1)*(K9-1),0)</f>
        <v>128</v>
      </c>
      <c r="L43" s="56">
        <f>IF(L13=1,L7*(L8-1)*(L9-1),0)</f>
        <v>0</v>
      </c>
    </row>
    <row r="44" spans="1:12" ht="15.6" x14ac:dyDescent="0.3">
      <c r="A44" s="201"/>
      <c r="B44" s="202"/>
      <c r="C44" s="206"/>
      <c r="D44" s="204"/>
      <c r="E44" s="204"/>
      <c r="F44" s="204"/>
      <c r="G44" s="204"/>
      <c r="H44" s="57"/>
      <c r="I44" s="205"/>
      <c r="J44" s="206"/>
      <c r="K44" s="204"/>
      <c r="L44" s="204"/>
    </row>
    <row r="45" spans="1:12" x14ac:dyDescent="0.25">
      <c r="C45" s="65"/>
      <c r="D45" s="65"/>
      <c r="E45" s="65"/>
      <c r="F45" s="65"/>
      <c r="G45" s="65"/>
      <c r="K45" s="65"/>
      <c r="L45" s="65"/>
    </row>
    <row r="46" spans="1:12" ht="15.6" x14ac:dyDescent="0.3">
      <c r="A46" s="66" t="s">
        <v>195</v>
      </c>
      <c r="B46" s="67"/>
      <c r="C46" s="68"/>
      <c r="D46" s="68">
        <f>SUM(D47:D64)</f>
        <v>4008.864</v>
      </c>
      <c r="E46" s="68">
        <f>SUM(E47:E64)</f>
        <v>2944.2329999999997</v>
      </c>
      <c r="F46" s="68">
        <f>SUM(F47:F64)</f>
        <v>3926.1000000000004</v>
      </c>
      <c r="G46" s="68">
        <f>SUM(G47:G64)</f>
        <v>4490.0459999999994</v>
      </c>
      <c r="I46" s="68">
        <f>SUM(I47:I63)</f>
        <v>150019.4</v>
      </c>
      <c r="K46" s="68">
        <f>SUM(K47:K64)</f>
        <v>40178.335999999996</v>
      </c>
      <c r="L46" s="68">
        <f>SUM(L47:L64)</f>
        <v>110713.50400000002</v>
      </c>
    </row>
    <row r="47" spans="1:12" ht="15.6" x14ac:dyDescent="0.3">
      <c r="A47" s="53" t="s">
        <v>35</v>
      </c>
      <c r="B47" s="54"/>
      <c r="C47" s="69">
        <f>+'Costo M.P.yMat.'!C26</f>
        <v>36.46</v>
      </c>
      <c r="D47" s="56">
        <f t="shared" ref="D47:E61" si="0">+$C47*D26</f>
        <v>1323.4979999999998</v>
      </c>
      <c r="E47" s="56">
        <f t="shared" si="0"/>
        <v>0</v>
      </c>
      <c r="F47" s="56">
        <f t="shared" ref="F47:G47" si="1">+$C47*F26</f>
        <v>0</v>
      </c>
      <c r="G47" s="56">
        <f t="shared" si="1"/>
        <v>0</v>
      </c>
      <c r="I47" s="58">
        <f>ROUNDUP(SUM(K47:IV47),1)</f>
        <v>45152.1</v>
      </c>
      <c r="K47" s="56">
        <f t="shared" ref="K47:L61" si="2">+$C47*K26</f>
        <v>23976.095999999998</v>
      </c>
      <c r="L47" s="56">
        <f t="shared" si="2"/>
        <v>21175.967999999997</v>
      </c>
    </row>
    <row r="48" spans="1:12" ht="15.6" x14ac:dyDescent="0.3">
      <c r="A48" s="53" t="s">
        <v>42</v>
      </c>
      <c r="B48" s="54"/>
      <c r="C48" s="69">
        <f>+'Costo M.P.yMat.'!C31</f>
        <v>52.41</v>
      </c>
      <c r="D48" s="56">
        <f t="shared" si="0"/>
        <v>0</v>
      </c>
      <c r="E48" s="56">
        <f t="shared" si="0"/>
        <v>2091.1589999999997</v>
      </c>
      <c r="F48" s="56">
        <f t="shared" ref="F48:G48" si="3">+$C48*F27</f>
        <v>0</v>
      </c>
      <c r="G48" s="56">
        <f t="shared" si="3"/>
        <v>0</v>
      </c>
      <c r="I48" s="58">
        <f>ROUNDUP(SUM(K48:IV48),1)</f>
        <v>0</v>
      </c>
      <c r="K48" s="56">
        <f t="shared" si="2"/>
        <v>0</v>
      </c>
      <c r="L48" s="56">
        <f t="shared" si="2"/>
        <v>0</v>
      </c>
    </row>
    <row r="49" spans="1:12" ht="15.6" x14ac:dyDescent="0.3">
      <c r="A49" s="53" t="s">
        <v>38</v>
      </c>
      <c r="B49" s="54"/>
      <c r="C49" s="69">
        <f>+'Costo M.P.yMat.'!C27</f>
        <v>34.18</v>
      </c>
      <c r="D49" s="56">
        <f t="shared" si="0"/>
        <v>0</v>
      </c>
      <c r="E49" s="56">
        <f t="shared" si="0"/>
        <v>0</v>
      </c>
      <c r="F49" s="56">
        <f t="shared" ref="F49:G49" si="4">+$C49*F28</f>
        <v>1240.7339999999999</v>
      </c>
      <c r="G49" s="56">
        <f t="shared" si="4"/>
        <v>0</v>
      </c>
      <c r="I49" s="58">
        <f>ROUNDUP(SUM(K49:IV49),1)</f>
        <v>0</v>
      </c>
      <c r="K49" s="56">
        <f t="shared" si="2"/>
        <v>0</v>
      </c>
      <c r="L49" s="56">
        <f t="shared" si="2"/>
        <v>0</v>
      </c>
    </row>
    <row r="50" spans="1:12" ht="15.6" x14ac:dyDescent="0.3">
      <c r="A50" s="53" t="s">
        <v>43</v>
      </c>
      <c r="B50" s="54"/>
      <c r="C50" s="69">
        <f>+'Costo M.P.yMat.'!C32</f>
        <v>50.129999999999995</v>
      </c>
      <c r="D50" s="56">
        <f t="shared" si="0"/>
        <v>0</v>
      </c>
      <c r="E50" s="56">
        <f t="shared" si="0"/>
        <v>0</v>
      </c>
      <c r="F50" s="56">
        <f t="shared" ref="F50:G50" si="5">+$C50*F29</f>
        <v>0</v>
      </c>
      <c r="G50" s="56">
        <f t="shared" si="5"/>
        <v>1804.6799999999998</v>
      </c>
      <c r="I50" s="58">
        <f>ROUNDUP(SUM(K50:IV50),1)</f>
        <v>0</v>
      </c>
      <c r="K50" s="56">
        <f t="shared" si="2"/>
        <v>0</v>
      </c>
      <c r="L50" s="56">
        <f t="shared" si="2"/>
        <v>0</v>
      </c>
    </row>
    <row r="51" spans="1:12" ht="15.6" x14ac:dyDescent="0.3">
      <c r="A51" s="53" t="s">
        <v>189</v>
      </c>
      <c r="B51" s="54"/>
      <c r="C51" s="69">
        <f>+'Costo M.P.yMat.'!C84</f>
        <v>12.08</v>
      </c>
      <c r="D51" s="56">
        <f t="shared" si="0"/>
        <v>434.88</v>
      </c>
      <c r="E51" s="56">
        <f t="shared" si="0"/>
        <v>478.36799999999999</v>
      </c>
      <c r="F51" s="56">
        <f t="shared" ref="F51:G51" si="6">+$C51*F30</f>
        <v>434.88</v>
      </c>
      <c r="G51" s="56">
        <f t="shared" si="6"/>
        <v>434.88</v>
      </c>
      <c r="I51" s="58">
        <f>ROUNDUP(SUM(K51:IV51),1)</f>
        <v>14844</v>
      </c>
      <c r="K51" s="56">
        <f t="shared" si="2"/>
        <v>7885.8239999999996</v>
      </c>
      <c r="L51" s="56">
        <f t="shared" si="2"/>
        <v>6958.08</v>
      </c>
    </row>
    <row r="52" spans="1:12" ht="15.6" x14ac:dyDescent="0.3">
      <c r="A52" s="53" t="s">
        <v>197</v>
      </c>
      <c r="B52" s="54"/>
      <c r="C52" s="69">
        <f>+'Costo M.P.yMat.'!C7</f>
        <v>2.76</v>
      </c>
      <c r="D52" s="56">
        <f t="shared" si="0"/>
        <v>38.64</v>
      </c>
      <c r="E52" s="56">
        <f t="shared" si="0"/>
        <v>38.64</v>
      </c>
      <c r="F52" s="56">
        <f t="shared" ref="F52:G52" si="7">+$C52*F31</f>
        <v>38.64</v>
      </c>
      <c r="G52" s="56">
        <f t="shared" si="7"/>
        <v>38.64</v>
      </c>
      <c r="I52" s="58">
        <f>ROUNDUP(SUM(K52:IV52),1)</f>
        <v>1236.5</v>
      </c>
      <c r="K52" s="56">
        <f t="shared" si="2"/>
        <v>618.24</v>
      </c>
      <c r="L52" s="56">
        <f t="shared" si="2"/>
        <v>618.24</v>
      </c>
    </row>
    <row r="53" spans="1:12" ht="15.6" x14ac:dyDescent="0.3">
      <c r="A53" s="53" t="s">
        <v>16</v>
      </c>
      <c r="B53" s="54"/>
      <c r="C53" s="69">
        <f>+'Costo M.P.yMat.'!C9</f>
        <v>0.75</v>
      </c>
      <c r="D53" s="56">
        <f t="shared" si="0"/>
        <v>6.3000000000000007</v>
      </c>
      <c r="E53" s="56">
        <f t="shared" si="0"/>
        <v>6.3000000000000007</v>
      </c>
      <c r="F53" s="56">
        <f t="shared" ref="F53:G53" si="8">+$C53*F32</f>
        <v>6.3000000000000007</v>
      </c>
      <c r="G53" s="56">
        <f t="shared" si="8"/>
        <v>6.3000000000000007</v>
      </c>
      <c r="I53" s="58">
        <f>ROUNDUP(SUM(K53:IV53),1)</f>
        <v>3225.6</v>
      </c>
      <c r="K53" s="56">
        <f t="shared" si="2"/>
        <v>1612.8000000000002</v>
      </c>
      <c r="L53" s="56">
        <f t="shared" si="2"/>
        <v>1612.8000000000002</v>
      </c>
    </row>
    <row r="54" spans="1:12" ht="15.6" x14ac:dyDescent="0.3">
      <c r="A54" s="53" t="s">
        <v>331</v>
      </c>
      <c r="B54" s="54">
        <v>0.2</v>
      </c>
      <c r="C54" s="69">
        <f>+'Costo M.P.yMat.'!$C$89</f>
        <v>8.82</v>
      </c>
      <c r="D54" s="56">
        <f t="shared" si="0"/>
        <v>42.336000000000006</v>
      </c>
      <c r="E54" s="56">
        <f t="shared" si="0"/>
        <v>42.336000000000006</v>
      </c>
      <c r="F54" s="56">
        <f t="shared" ref="F54:G54" si="9">+$C54*F33</f>
        <v>42.336000000000006</v>
      </c>
      <c r="G54" s="56">
        <f t="shared" si="9"/>
        <v>42.336000000000006</v>
      </c>
      <c r="I54" s="58">
        <f>ROUNDUP(SUM(K54:IV54),1)</f>
        <v>1354.8</v>
      </c>
      <c r="K54" s="56">
        <f t="shared" si="2"/>
        <v>677.37600000000009</v>
      </c>
      <c r="L54" s="56">
        <f t="shared" si="2"/>
        <v>677.37600000000009</v>
      </c>
    </row>
    <row r="55" spans="1:12" ht="15.6" x14ac:dyDescent="0.3">
      <c r="A55" s="53" t="s">
        <v>228</v>
      </c>
      <c r="B55" s="54"/>
      <c r="C55" s="69">
        <f>+'Costo M.P.yMat.'!C160</f>
        <v>1.1399999999999999</v>
      </c>
      <c r="D55" s="56">
        <f t="shared" si="0"/>
        <v>0</v>
      </c>
      <c r="E55" s="56">
        <f t="shared" si="0"/>
        <v>0</v>
      </c>
      <c r="F55" s="56">
        <f t="shared" ref="F55:G55" si="10">+$C55*F34</f>
        <v>0</v>
      </c>
      <c r="G55" s="56">
        <f t="shared" si="10"/>
        <v>0</v>
      </c>
      <c r="I55" s="58">
        <f>ROUNDUP(SUM(K55:IV55),1)</f>
        <v>0</v>
      </c>
      <c r="K55" s="56">
        <f t="shared" si="2"/>
        <v>0</v>
      </c>
      <c r="L55" s="56">
        <f t="shared" si="2"/>
        <v>0</v>
      </c>
    </row>
    <row r="56" spans="1:12" ht="15.6" x14ac:dyDescent="0.3">
      <c r="A56" s="53" t="s">
        <v>31</v>
      </c>
      <c r="B56" s="54"/>
      <c r="C56" s="69">
        <f>+'Costo M.P.yMat.'!C19</f>
        <v>0.04</v>
      </c>
      <c r="D56" s="56">
        <f t="shared" si="0"/>
        <v>2.4</v>
      </c>
      <c r="E56" s="56">
        <f t="shared" si="0"/>
        <v>2.4</v>
      </c>
      <c r="F56" s="56">
        <f t="shared" ref="F56:G56" si="11">+$C56*F35</f>
        <v>2.4</v>
      </c>
      <c r="G56" s="56">
        <f t="shared" si="11"/>
        <v>2.4</v>
      </c>
      <c r="I56" s="58">
        <f>ROUNDUP(SUM(K56:IV56),1)</f>
        <v>76.8</v>
      </c>
      <c r="K56" s="56">
        <f t="shared" si="2"/>
        <v>38.4</v>
      </c>
      <c r="L56" s="56">
        <f t="shared" si="2"/>
        <v>38.4</v>
      </c>
    </row>
    <row r="57" spans="1:12" ht="15.6" x14ac:dyDescent="0.3">
      <c r="A57" s="53" t="s">
        <v>32</v>
      </c>
      <c r="B57" s="54"/>
      <c r="C57" s="69">
        <f>+'Costo M.P.yMat.'!C20</f>
        <v>0.04</v>
      </c>
      <c r="D57" s="56">
        <f t="shared" si="0"/>
        <v>2.4</v>
      </c>
      <c r="E57" s="56">
        <f t="shared" si="0"/>
        <v>2.4</v>
      </c>
      <c r="F57" s="56">
        <f t="shared" ref="F57:G57" si="12">+$C57*F36</f>
        <v>2.4</v>
      </c>
      <c r="G57" s="56">
        <f t="shared" si="12"/>
        <v>2.4</v>
      </c>
      <c r="I57" s="58">
        <f>ROUNDUP(SUM(K57:IV57),1)</f>
        <v>76.8</v>
      </c>
      <c r="K57" s="56">
        <f t="shared" si="2"/>
        <v>38.4</v>
      </c>
      <c r="L57" s="56">
        <f t="shared" si="2"/>
        <v>38.4</v>
      </c>
    </row>
    <row r="58" spans="1:12" ht="15.6" x14ac:dyDescent="0.3">
      <c r="A58" s="53" t="s">
        <v>257</v>
      </c>
      <c r="B58" s="54"/>
      <c r="C58" s="69">
        <f>+'Costo M.P.yMat.'!C22</f>
        <v>29.91</v>
      </c>
      <c r="D58" s="56">
        <f t="shared" si="0"/>
        <v>538.38</v>
      </c>
      <c r="E58" s="56">
        <f t="shared" si="0"/>
        <v>0</v>
      </c>
      <c r="F58" s="56">
        <f t="shared" ref="F58:G58" si="13">+$C58*F37</f>
        <v>538.38</v>
      </c>
      <c r="G58" s="56">
        <f t="shared" si="13"/>
        <v>538.38</v>
      </c>
      <c r="I58" s="58">
        <f>ROUNDUP(SUM(K58:IV58),1)</f>
        <v>11485.5</v>
      </c>
      <c r="K58" s="56">
        <f t="shared" si="2"/>
        <v>0</v>
      </c>
      <c r="L58" s="56">
        <f t="shared" si="2"/>
        <v>11485.44</v>
      </c>
    </row>
    <row r="59" spans="1:12" ht="15.6" x14ac:dyDescent="0.3">
      <c r="A59" s="53" t="s">
        <v>258</v>
      </c>
      <c r="B59" s="54"/>
      <c r="C59" s="69">
        <f>+'Costo M.P.yMat.'!C85</f>
        <v>136.72</v>
      </c>
      <c r="D59" s="56">
        <f t="shared" si="0"/>
        <v>1230.48</v>
      </c>
      <c r="E59" s="56">
        <f t="shared" si="0"/>
        <v>0</v>
      </c>
      <c r="F59" s="56">
        <f t="shared" ref="F59:G59" si="14">+$C59*F38</f>
        <v>1230.48</v>
      </c>
      <c r="G59" s="56">
        <f t="shared" si="14"/>
        <v>1230.48</v>
      </c>
      <c r="I59" s="58">
        <f>ROUNDUP(SUM(K59:IV59),1)</f>
        <v>17500.199999999997</v>
      </c>
      <c r="K59" s="56">
        <f t="shared" si="2"/>
        <v>0</v>
      </c>
      <c r="L59" s="56">
        <f t="shared" si="2"/>
        <v>17500.16</v>
      </c>
    </row>
    <row r="60" spans="1:12" ht="15.6" x14ac:dyDescent="0.3">
      <c r="A60" s="53" t="s">
        <v>260</v>
      </c>
      <c r="B60" s="54"/>
      <c r="C60" s="69">
        <f>+'Costo M.P.yMat.'!C86</f>
        <v>22.790000000000003</v>
      </c>
      <c r="D60" s="56">
        <f t="shared" si="0"/>
        <v>205.11</v>
      </c>
      <c r="E60" s="56">
        <f t="shared" si="0"/>
        <v>0</v>
      </c>
      <c r="F60" s="56">
        <f t="shared" ref="F60:G60" si="15">+$C60*F39</f>
        <v>205.11</v>
      </c>
      <c r="G60" s="56">
        <f t="shared" si="15"/>
        <v>205.11</v>
      </c>
      <c r="I60" s="58">
        <f>ROUNDUP(SUM(K60:IV60),1)</f>
        <v>46674</v>
      </c>
      <c r="K60" s="56">
        <f t="shared" si="2"/>
        <v>0</v>
      </c>
      <c r="L60" s="56">
        <f t="shared" si="2"/>
        <v>46673.920000000006</v>
      </c>
    </row>
    <row r="61" spans="1:12" ht="15.6" x14ac:dyDescent="0.3">
      <c r="A61" s="53" t="s">
        <v>263</v>
      </c>
      <c r="B61" s="54"/>
      <c r="C61" s="69">
        <f>+'Costo M.P.yMat.'!C158</f>
        <v>13.68</v>
      </c>
      <c r="D61" s="56">
        <f t="shared" si="0"/>
        <v>82.08</v>
      </c>
      <c r="E61" s="56">
        <f t="shared" si="0"/>
        <v>82.08</v>
      </c>
      <c r="F61" s="56">
        <f t="shared" ref="F61:G61" si="16">+$C61*F40</f>
        <v>82.08</v>
      </c>
      <c r="G61" s="56">
        <f t="shared" si="16"/>
        <v>82.08</v>
      </c>
      <c r="I61" s="58">
        <f>ROUNDUP(SUM(K61:IV61),1)</f>
        <v>3502.1</v>
      </c>
      <c r="K61" s="56">
        <f t="shared" si="2"/>
        <v>1751.04</v>
      </c>
      <c r="L61" s="56">
        <f t="shared" si="2"/>
        <v>1751.04</v>
      </c>
    </row>
    <row r="62" spans="1:12" ht="15.6" x14ac:dyDescent="0.3">
      <c r="A62" s="53">
        <v>1318</v>
      </c>
      <c r="B62" s="54"/>
      <c r="C62" s="69">
        <f>+'Costo M.P.yMat.'!C68</f>
        <v>17.060000000000002</v>
      </c>
      <c r="D62" s="56">
        <f>+$C62*D40</f>
        <v>102.36000000000001</v>
      </c>
      <c r="E62" s="56">
        <f>+$C62*E40</f>
        <v>102.36000000000001</v>
      </c>
      <c r="F62" s="56">
        <f>+$C62*F40</f>
        <v>102.36000000000001</v>
      </c>
      <c r="G62" s="56">
        <f>+$C62*G40</f>
        <v>102.36000000000001</v>
      </c>
      <c r="I62" s="58">
        <f>ROUNDUP(SUM(K62:IV62),1)</f>
        <v>4367.4000000000005</v>
      </c>
      <c r="K62" s="56">
        <f>+$C62*K40</f>
        <v>2183.6800000000003</v>
      </c>
      <c r="L62" s="56">
        <f>+$C62*L40</f>
        <v>2183.6800000000003</v>
      </c>
    </row>
    <row r="63" spans="1:12" ht="15.6" x14ac:dyDescent="0.3">
      <c r="A63" s="60">
        <v>1302</v>
      </c>
      <c r="B63" s="54"/>
      <c r="C63" s="69">
        <f>+'Costo M.P.yMat.'!C64</f>
        <v>4.09</v>
      </c>
      <c r="D63" s="56">
        <f>+$C63*D41</f>
        <v>0</v>
      </c>
      <c r="E63" s="56">
        <f>+$C63*E41</f>
        <v>36.81</v>
      </c>
      <c r="F63" s="56">
        <f>+$C63*F41</f>
        <v>0</v>
      </c>
      <c r="G63" s="56">
        <f>+$C63*G41</f>
        <v>0</v>
      </c>
      <c r="I63" s="58">
        <f>ROUNDUP(SUM(K63:IV63),1)</f>
        <v>523.6</v>
      </c>
      <c r="K63" s="56">
        <f>+$C63*K41</f>
        <v>523.52</v>
      </c>
      <c r="L63" s="56">
        <f>+$C63*L41</f>
        <v>0</v>
      </c>
    </row>
    <row r="64" spans="1:12" ht="15.6" x14ac:dyDescent="0.3">
      <c r="A64" s="53">
        <v>1304</v>
      </c>
      <c r="B64" s="54"/>
      <c r="C64" s="69">
        <f>+'Costo M.P.yMat.'!C65</f>
        <v>6.8199999999999994</v>
      </c>
      <c r="D64" s="56">
        <f>+$C64*D43</f>
        <v>0</v>
      </c>
      <c r="E64" s="56">
        <f>+$C64*E43</f>
        <v>61.379999999999995</v>
      </c>
      <c r="F64" s="56">
        <f>+$C64*F43</f>
        <v>0</v>
      </c>
      <c r="G64" s="56">
        <f>+$C64*G43</f>
        <v>0</v>
      </c>
      <c r="I64" s="58">
        <f>ROUNDUP(SUM(K64:IV64),1)</f>
        <v>873</v>
      </c>
      <c r="K64" s="56">
        <f>+$C64*K43</f>
        <v>872.95999999999992</v>
      </c>
      <c r="L64" s="56">
        <f>+$C64*L43</f>
        <v>0</v>
      </c>
    </row>
    <row r="65" spans="1:12" ht="15.6" x14ac:dyDescent="0.3">
      <c r="A65" s="201"/>
      <c r="B65" s="202"/>
      <c r="C65" s="203"/>
      <c r="D65" s="204"/>
      <c r="E65" s="204"/>
      <c r="F65" s="204"/>
      <c r="G65" s="204"/>
      <c r="I65" s="205"/>
      <c r="K65" s="204"/>
      <c r="L65" s="204"/>
    </row>
    <row r="66" spans="1:12" x14ac:dyDescent="0.25">
      <c r="C66" s="70"/>
      <c r="D66" s="65"/>
      <c r="E66" s="65"/>
      <c r="F66" s="65"/>
      <c r="G66" s="65"/>
      <c r="K66" s="65"/>
      <c r="L66" s="65"/>
    </row>
    <row r="67" spans="1:12" s="72" customFormat="1" ht="15.6" x14ac:dyDescent="0.3">
      <c r="A67" s="66" t="s">
        <v>194</v>
      </c>
      <c r="B67" s="67"/>
      <c r="C67" s="68"/>
      <c r="D67" s="68">
        <f>SUM(D68:D85)</f>
        <v>3704.3339999999998</v>
      </c>
      <c r="E67" s="68">
        <f>SUM(E68:E85)</f>
        <v>2722.0139999999992</v>
      </c>
      <c r="F67" s="68">
        <f>SUM(F68:F85)</f>
        <v>3624.4740000000002</v>
      </c>
      <c r="G67" s="68">
        <f>SUM(G68:G85)</f>
        <v>4169.634</v>
      </c>
      <c r="H67" s="71"/>
      <c r="I67" s="68">
        <f>SUM(I68:I84)</f>
        <v>141680.50000000003</v>
      </c>
      <c r="K67" s="68">
        <f>SUM(K68:K85)</f>
        <v>36793.343999999997</v>
      </c>
      <c r="L67" s="68">
        <f>SUM(L68:L85)</f>
        <v>105681.664</v>
      </c>
    </row>
    <row r="68" spans="1:12" ht="15.6" x14ac:dyDescent="0.3">
      <c r="A68" s="53" t="s">
        <v>35</v>
      </c>
      <c r="B68" s="54"/>
      <c r="C68" s="69">
        <f>+'Costo M.P.yMat.'!D26</f>
        <v>33</v>
      </c>
      <c r="D68" s="56">
        <f t="shared" ref="D68:E82" si="17">+$C68*D26</f>
        <v>1197.8999999999999</v>
      </c>
      <c r="E68" s="56">
        <f t="shared" si="17"/>
        <v>0</v>
      </c>
      <c r="F68" s="56">
        <f t="shared" ref="F68:G68" si="18">+$C68*F26</f>
        <v>0</v>
      </c>
      <c r="G68" s="56">
        <f t="shared" si="18"/>
        <v>0</v>
      </c>
      <c r="I68" s="58">
        <f>ROUNDUP(SUM(K68:IV68),1)</f>
        <v>40867.199999999997</v>
      </c>
      <c r="K68" s="56">
        <f t="shared" ref="K68:L82" si="19">+$C68*K26</f>
        <v>21700.799999999996</v>
      </c>
      <c r="L68" s="56">
        <f t="shared" si="19"/>
        <v>19166.399999999998</v>
      </c>
    </row>
    <row r="69" spans="1:12" ht="15.6" x14ac:dyDescent="0.3">
      <c r="A69" s="53" t="s">
        <v>42</v>
      </c>
      <c r="B69" s="54"/>
      <c r="C69" s="69">
        <f>+'Costo M.P.yMat.'!D31</f>
        <v>48.4</v>
      </c>
      <c r="D69" s="56">
        <f t="shared" si="17"/>
        <v>0</v>
      </c>
      <c r="E69" s="56">
        <f t="shared" si="17"/>
        <v>1931.1599999999999</v>
      </c>
      <c r="F69" s="56">
        <f t="shared" ref="F69:G69" si="20">+$C69*F27</f>
        <v>0</v>
      </c>
      <c r="G69" s="56">
        <f t="shared" si="20"/>
        <v>0</v>
      </c>
      <c r="I69" s="58">
        <f>ROUNDUP(SUM(K69:IV69),1)</f>
        <v>0</v>
      </c>
      <c r="K69" s="56">
        <f t="shared" si="19"/>
        <v>0</v>
      </c>
      <c r="L69" s="56">
        <f t="shared" si="19"/>
        <v>0</v>
      </c>
    </row>
    <row r="70" spans="1:12" ht="15.6" x14ac:dyDescent="0.3">
      <c r="A70" s="53" t="s">
        <v>38</v>
      </c>
      <c r="B70" s="54"/>
      <c r="C70" s="69">
        <f>+'Costo M.P.yMat.'!D27</f>
        <v>30.8</v>
      </c>
      <c r="D70" s="56">
        <f t="shared" si="17"/>
        <v>0</v>
      </c>
      <c r="E70" s="56">
        <f t="shared" si="17"/>
        <v>0</v>
      </c>
      <c r="F70" s="56">
        <f t="shared" ref="F70:G70" si="21">+$C70*F28</f>
        <v>1118.04</v>
      </c>
      <c r="G70" s="56">
        <f t="shared" si="21"/>
        <v>0</v>
      </c>
      <c r="I70" s="58">
        <f>ROUNDUP(SUM(K70:IV70),1)</f>
        <v>0</v>
      </c>
      <c r="K70" s="56">
        <f t="shared" si="19"/>
        <v>0</v>
      </c>
      <c r="L70" s="56">
        <f t="shared" si="19"/>
        <v>0</v>
      </c>
    </row>
    <row r="71" spans="1:12" ht="15.6" x14ac:dyDescent="0.3">
      <c r="A71" s="53" t="s">
        <v>43</v>
      </c>
      <c r="B71" s="54"/>
      <c r="C71" s="69">
        <f>+'Costo M.P.yMat.'!D32</f>
        <v>46.2</v>
      </c>
      <c r="D71" s="56">
        <f t="shared" si="17"/>
        <v>0</v>
      </c>
      <c r="E71" s="56">
        <f t="shared" si="17"/>
        <v>0</v>
      </c>
      <c r="F71" s="56">
        <f t="shared" ref="F71:G71" si="22">+$C71*F29</f>
        <v>0</v>
      </c>
      <c r="G71" s="56">
        <f t="shared" si="22"/>
        <v>1663.2</v>
      </c>
      <c r="I71" s="58">
        <f>ROUNDUP(SUM(K71:IV71),1)</f>
        <v>0</v>
      </c>
      <c r="K71" s="56">
        <f t="shared" si="19"/>
        <v>0</v>
      </c>
      <c r="L71" s="56">
        <f t="shared" si="19"/>
        <v>0</v>
      </c>
    </row>
    <row r="72" spans="1:12" ht="15.6" x14ac:dyDescent="0.3">
      <c r="A72" s="53" t="s">
        <v>189</v>
      </c>
      <c r="B72" s="54"/>
      <c r="C72" s="69">
        <f>+'Costo M.P.yMat.'!D84</f>
        <v>11</v>
      </c>
      <c r="D72" s="56">
        <f t="shared" si="17"/>
        <v>396</v>
      </c>
      <c r="E72" s="56">
        <f t="shared" si="17"/>
        <v>435.6</v>
      </c>
      <c r="F72" s="56">
        <f t="shared" ref="F72:G72" si="23">+$C72*F30</f>
        <v>396</v>
      </c>
      <c r="G72" s="56">
        <f t="shared" si="23"/>
        <v>396</v>
      </c>
      <c r="I72" s="58">
        <f>ROUNDUP(SUM(K72:IV72),1)</f>
        <v>13516.8</v>
      </c>
      <c r="K72" s="56">
        <f t="shared" si="19"/>
        <v>7180.7999999999993</v>
      </c>
      <c r="L72" s="56">
        <f t="shared" si="19"/>
        <v>6336</v>
      </c>
    </row>
    <row r="73" spans="1:12" ht="15.6" x14ac:dyDescent="0.3">
      <c r="A73" s="53" t="s">
        <v>197</v>
      </c>
      <c r="B73" s="54"/>
      <c r="C73" s="69">
        <f>+'Costo M.P.yMat.'!D7</f>
        <v>2.67</v>
      </c>
      <c r="D73" s="56">
        <f t="shared" si="17"/>
        <v>37.379999999999995</v>
      </c>
      <c r="E73" s="56">
        <f t="shared" si="17"/>
        <v>37.379999999999995</v>
      </c>
      <c r="F73" s="56">
        <f t="shared" ref="F73:G73" si="24">+$C73*F31</f>
        <v>37.379999999999995</v>
      </c>
      <c r="G73" s="56">
        <f t="shared" si="24"/>
        <v>37.379999999999995</v>
      </c>
      <c r="I73" s="58">
        <f>ROUNDUP(SUM(K73:IV73),1)</f>
        <v>1196.1999999999998</v>
      </c>
      <c r="K73" s="56">
        <f t="shared" si="19"/>
        <v>598.07999999999993</v>
      </c>
      <c r="L73" s="56">
        <f t="shared" si="19"/>
        <v>598.07999999999993</v>
      </c>
    </row>
    <row r="74" spans="1:12" ht="15.6" x14ac:dyDescent="0.3">
      <c r="A74" s="53" t="s">
        <v>16</v>
      </c>
      <c r="B74" s="54"/>
      <c r="C74" s="69">
        <f>+'Costo M.P.yMat.'!D9</f>
        <v>0.72</v>
      </c>
      <c r="D74" s="56">
        <f t="shared" si="17"/>
        <v>6.048</v>
      </c>
      <c r="E74" s="56">
        <f t="shared" si="17"/>
        <v>6.048</v>
      </c>
      <c r="F74" s="56">
        <f t="shared" ref="F74:G74" si="25">+$C74*F32</f>
        <v>6.048</v>
      </c>
      <c r="G74" s="56">
        <f t="shared" si="25"/>
        <v>6.048</v>
      </c>
      <c r="I74" s="58">
        <f>ROUNDUP(SUM(K74:IV74),1)</f>
        <v>3096.6</v>
      </c>
      <c r="K74" s="56">
        <f t="shared" si="19"/>
        <v>1548.288</v>
      </c>
      <c r="L74" s="56">
        <f t="shared" si="19"/>
        <v>1548.288</v>
      </c>
    </row>
    <row r="75" spans="1:12" ht="15.6" x14ac:dyDescent="0.3">
      <c r="A75" s="53" t="s">
        <v>331</v>
      </c>
      <c r="B75" s="54">
        <v>0.2</v>
      </c>
      <c r="C75" s="69">
        <f>+'Costo M.P.yMat.'!$C$89</f>
        <v>8.82</v>
      </c>
      <c r="D75" s="56">
        <f t="shared" si="17"/>
        <v>42.336000000000006</v>
      </c>
      <c r="E75" s="56">
        <f t="shared" si="17"/>
        <v>42.336000000000006</v>
      </c>
      <c r="F75" s="56">
        <f t="shared" ref="F75:G75" si="26">+$C75*F33</f>
        <v>42.336000000000006</v>
      </c>
      <c r="G75" s="56">
        <f t="shared" si="26"/>
        <v>42.336000000000006</v>
      </c>
      <c r="I75" s="58">
        <f>ROUNDUP(SUM(K75:IV75),1)</f>
        <v>1354.8</v>
      </c>
      <c r="K75" s="56">
        <f t="shared" si="19"/>
        <v>677.37600000000009</v>
      </c>
      <c r="L75" s="56">
        <f t="shared" si="19"/>
        <v>677.37600000000009</v>
      </c>
    </row>
    <row r="76" spans="1:12" ht="15.6" x14ac:dyDescent="0.3">
      <c r="A76" s="53" t="s">
        <v>228</v>
      </c>
      <c r="B76" s="54"/>
      <c r="C76" s="69">
        <f>+'Costo M.P.yMat.'!D160</f>
        <v>1.1000000000000001</v>
      </c>
      <c r="D76" s="56">
        <f t="shared" si="17"/>
        <v>0</v>
      </c>
      <c r="E76" s="56">
        <f t="shared" si="17"/>
        <v>0</v>
      </c>
      <c r="F76" s="56">
        <f t="shared" ref="F76:G76" si="27">+$C76*F34</f>
        <v>0</v>
      </c>
      <c r="G76" s="56">
        <f t="shared" si="27"/>
        <v>0</v>
      </c>
      <c r="I76" s="58">
        <f>ROUNDUP(SUM(K76:IV76),1)</f>
        <v>0</v>
      </c>
      <c r="K76" s="56">
        <f t="shared" si="19"/>
        <v>0</v>
      </c>
      <c r="L76" s="56">
        <f t="shared" si="19"/>
        <v>0</v>
      </c>
    </row>
    <row r="77" spans="1:12" ht="15.6" x14ac:dyDescent="0.3">
      <c r="A77" s="53" t="s">
        <v>31</v>
      </c>
      <c r="B77" s="54"/>
      <c r="C77" s="69">
        <f>+'Costo M.P.yMat.'!D19</f>
        <v>0.04</v>
      </c>
      <c r="D77" s="56">
        <f t="shared" si="17"/>
        <v>2.4</v>
      </c>
      <c r="E77" s="56">
        <f t="shared" si="17"/>
        <v>2.4</v>
      </c>
      <c r="F77" s="56">
        <f t="shared" ref="F77:G77" si="28">+$C77*F35</f>
        <v>2.4</v>
      </c>
      <c r="G77" s="56">
        <f t="shared" si="28"/>
        <v>2.4</v>
      </c>
      <c r="I77" s="58">
        <f>ROUNDUP(SUM(K77:IV77),1)</f>
        <v>76.8</v>
      </c>
      <c r="K77" s="56">
        <f t="shared" si="19"/>
        <v>38.4</v>
      </c>
      <c r="L77" s="56">
        <f t="shared" si="19"/>
        <v>38.4</v>
      </c>
    </row>
    <row r="78" spans="1:12" ht="15.6" x14ac:dyDescent="0.3">
      <c r="A78" s="53" t="s">
        <v>32</v>
      </c>
      <c r="B78" s="54"/>
      <c r="C78" s="69">
        <f>+'Costo M.P.yMat.'!D20</f>
        <v>0.04</v>
      </c>
      <c r="D78" s="56">
        <f t="shared" si="17"/>
        <v>2.4</v>
      </c>
      <c r="E78" s="56">
        <f t="shared" si="17"/>
        <v>2.4</v>
      </c>
      <c r="F78" s="56">
        <f t="shared" ref="F78:G78" si="29">+$C78*F36</f>
        <v>2.4</v>
      </c>
      <c r="G78" s="56">
        <f t="shared" si="29"/>
        <v>2.4</v>
      </c>
      <c r="I78" s="58">
        <f>ROUNDUP(SUM(K78:IV78),1)</f>
        <v>76.8</v>
      </c>
      <c r="K78" s="56">
        <f t="shared" si="19"/>
        <v>38.4</v>
      </c>
      <c r="L78" s="56">
        <f t="shared" si="19"/>
        <v>38.4</v>
      </c>
    </row>
    <row r="79" spans="1:12" ht="15.6" x14ac:dyDescent="0.3">
      <c r="A79" s="53" t="s">
        <v>257</v>
      </c>
      <c r="B79" s="54"/>
      <c r="C79" s="69">
        <f>+'Costo M.P.yMat.'!D22</f>
        <v>27.72</v>
      </c>
      <c r="D79" s="56">
        <f t="shared" si="17"/>
        <v>498.96</v>
      </c>
      <c r="E79" s="56">
        <f t="shared" si="17"/>
        <v>0</v>
      </c>
      <c r="F79" s="56">
        <f t="shared" ref="F79:G79" si="30">+$C79*F37</f>
        <v>498.96</v>
      </c>
      <c r="G79" s="56">
        <f t="shared" si="30"/>
        <v>498.96</v>
      </c>
      <c r="I79" s="58">
        <f>ROUNDUP(SUM(K79:IV79),1)</f>
        <v>10644.5</v>
      </c>
      <c r="K79" s="56">
        <f t="shared" si="19"/>
        <v>0</v>
      </c>
      <c r="L79" s="56">
        <f t="shared" si="19"/>
        <v>10644.48</v>
      </c>
    </row>
    <row r="80" spans="1:12" ht="15.6" x14ac:dyDescent="0.3">
      <c r="A80" s="53" t="s">
        <v>258</v>
      </c>
      <c r="B80" s="54"/>
      <c r="C80" s="69">
        <f>+'Costo M.P.yMat.'!D85</f>
        <v>126.72</v>
      </c>
      <c r="D80" s="56">
        <f t="shared" si="17"/>
        <v>1140.48</v>
      </c>
      <c r="E80" s="56">
        <f t="shared" si="17"/>
        <v>0</v>
      </c>
      <c r="F80" s="56">
        <f t="shared" ref="F80:G80" si="31">+$C80*F38</f>
        <v>1140.48</v>
      </c>
      <c r="G80" s="56">
        <f t="shared" si="31"/>
        <v>1140.48</v>
      </c>
      <c r="I80" s="58">
        <f>ROUNDUP(SUM(K80:IV80),1)</f>
        <v>16220.2</v>
      </c>
      <c r="K80" s="56">
        <f t="shared" si="19"/>
        <v>0</v>
      </c>
      <c r="L80" s="56">
        <f t="shared" si="19"/>
        <v>16220.16</v>
      </c>
    </row>
    <row r="81" spans="1:12" ht="15.6" x14ac:dyDescent="0.3">
      <c r="A81" s="53" t="s">
        <v>260</v>
      </c>
      <c r="B81" s="54"/>
      <c r="C81" s="69">
        <f>+'Costo M.P.yMat.'!C86</f>
        <v>22.790000000000003</v>
      </c>
      <c r="D81" s="56">
        <f t="shared" si="17"/>
        <v>205.11</v>
      </c>
      <c r="E81" s="56">
        <f t="shared" si="17"/>
        <v>0</v>
      </c>
      <c r="F81" s="56">
        <f t="shared" ref="F81:G81" si="32">+$C81*F39</f>
        <v>205.11</v>
      </c>
      <c r="G81" s="56">
        <f t="shared" si="32"/>
        <v>205.11</v>
      </c>
      <c r="I81" s="58">
        <f>ROUNDUP(SUM(K81:IV81),1)</f>
        <v>46674</v>
      </c>
      <c r="K81" s="56">
        <f t="shared" si="19"/>
        <v>0</v>
      </c>
      <c r="L81" s="56">
        <f t="shared" si="19"/>
        <v>46673.920000000006</v>
      </c>
    </row>
    <row r="82" spans="1:12" ht="15.6" x14ac:dyDescent="0.3">
      <c r="A82" s="53" t="s">
        <v>263</v>
      </c>
      <c r="B82" s="54"/>
      <c r="C82" s="69">
        <f>+'Costo M.P.yMat.'!C158</f>
        <v>13.68</v>
      </c>
      <c r="D82" s="56">
        <f t="shared" si="17"/>
        <v>82.08</v>
      </c>
      <c r="E82" s="56">
        <f t="shared" si="17"/>
        <v>82.08</v>
      </c>
      <c r="F82" s="56">
        <f t="shared" ref="F82:G82" si="33">+$C82*F40</f>
        <v>82.08</v>
      </c>
      <c r="G82" s="56">
        <f t="shared" si="33"/>
        <v>82.08</v>
      </c>
      <c r="I82" s="58">
        <f>ROUNDUP(SUM(K82:IV82),1)</f>
        <v>3502.1</v>
      </c>
      <c r="K82" s="56">
        <f t="shared" si="19"/>
        <v>1751.04</v>
      </c>
      <c r="L82" s="56">
        <f t="shared" si="19"/>
        <v>1751.04</v>
      </c>
    </row>
    <row r="83" spans="1:12" ht="15.6" x14ac:dyDescent="0.3">
      <c r="A83" s="53">
        <v>1318</v>
      </c>
      <c r="B83" s="54"/>
      <c r="C83" s="69">
        <f>+'Costo M.P.yMat.'!D68</f>
        <v>15.54</v>
      </c>
      <c r="D83" s="56">
        <f>+$C83*D40</f>
        <v>93.24</v>
      </c>
      <c r="E83" s="56">
        <f>+$C83*E40</f>
        <v>93.24</v>
      </c>
      <c r="F83" s="56">
        <f>+$C83*F40</f>
        <v>93.24</v>
      </c>
      <c r="G83" s="56">
        <f>+$C83*G40</f>
        <v>93.24</v>
      </c>
      <c r="I83" s="58">
        <f>ROUNDUP(SUM(K83:IV83),1)</f>
        <v>3978.2999999999997</v>
      </c>
      <c r="K83" s="56">
        <f>+$C83*K40</f>
        <v>1989.12</v>
      </c>
      <c r="L83" s="56">
        <f>+$C83*L40</f>
        <v>1989.12</v>
      </c>
    </row>
    <row r="84" spans="1:12" ht="15.6" x14ac:dyDescent="0.3">
      <c r="A84" s="60">
        <v>1302</v>
      </c>
      <c r="B84" s="54"/>
      <c r="C84" s="69">
        <f>+'Costo M.P.yMat.'!D64</f>
        <v>3.7199999999999998</v>
      </c>
      <c r="D84" s="56">
        <f>+$C84*D41</f>
        <v>0</v>
      </c>
      <c r="E84" s="56">
        <f>+$C84*E41</f>
        <v>33.479999999999997</v>
      </c>
      <c r="F84" s="56">
        <f>+$C84*F41</f>
        <v>0</v>
      </c>
      <c r="G84" s="56">
        <f>+$C84*G41</f>
        <v>0</v>
      </c>
      <c r="I84" s="58">
        <f>ROUNDUP(SUM(K84:IV84),1)</f>
        <v>476.20000000000005</v>
      </c>
      <c r="K84" s="56">
        <f>+$C84*K41</f>
        <v>476.15999999999997</v>
      </c>
      <c r="L84" s="56">
        <f>+$C84*L41</f>
        <v>0</v>
      </c>
    </row>
    <row r="85" spans="1:12" ht="15.6" x14ac:dyDescent="0.3">
      <c r="A85" s="53">
        <v>1304</v>
      </c>
      <c r="B85" s="54"/>
      <c r="C85" s="69">
        <f>+'Costo M.P.yMat.'!D65</f>
        <v>6.21</v>
      </c>
      <c r="D85" s="56">
        <f>+$C85*D43</f>
        <v>0</v>
      </c>
      <c r="E85" s="56">
        <f>+$C85*E43</f>
        <v>55.89</v>
      </c>
      <c r="F85" s="56">
        <f>+$C85*F43</f>
        <v>0</v>
      </c>
      <c r="G85" s="56">
        <f>+$C85*G43</f>
        <v>0</v>
      </c>
      <c r="I85" s="58">
        <f>ROUNDUP(SUM(K85:IV85),1)</f>
        <v>794.9</v>
      </c>
      <c r="K85" s="56">
        <f>+$C85*K43</f>
        <v>794.88</v>
      </c>
      <c r="L85" s="56">
        <f>+$C85*L43</f>
        <v>0</v>
      </c>
    </row>
    <row r="86" spans="1:12" x14ac:dyDescent="0.25">
      <c r="C86" s="73"/>
      <c r="D86" s="63"/>
      <c r="E86" s="63"/>
      <c r="F86" s="63"/>
      <c r="G86" s="63"/>
      <c r="K86" s="63"/>
      <c r="L86" s="63"/>
    </row>
    <row r="87" spans="1:12" x14ac:dyDescent="0.25">
      <c r="C87" s="73"/>
      <c r="D87" s="63"/>
      <c r="E87" s="63"/>
      <c r="F87" s="63"/>
      <c r="G87" s="63"/>
      <c r="K87" s="63"/>
      <c r="L87" s="63"/>
    </row>
    <row r="88" spans="1:12" ht="15.6" x14ac:dyDescent="0.3">
      <c r="A88" s="145" t="s">
        <v>301</v>
      </c>
      <c r="B88" s="147"/>
      <c r="C88" s="147" t="s">
        <v>268</v>
      </c>
      <c r="D88" s="147" t="s">
        <v>269</v>
      </c>
      <c r="E88" s="147" t="s">
        <v>269</v>
      </c>
      <c r="F88" s="147" t="s">
        <v>269</v>
      </c>
      <c r="G88" s="147" t="s">
        <v>269</v>
      </c>
      <c r="H88" s="148"/>
      <c r="I88" s="147" t="s">
        <v>282</v>
      </c>
      <c r="J88" s="147" t="s">
        <v>298</v>
      </c>
      <c r="K88" s="147" t="s">
        <v>269</v>
      </c>
      <c r="L88" s="147" t="s">
        <v>269</v>
      </c>
    </row>
    <row r="89" spans="1:12" x14ac:dyDescent="0.25">
      <c r="A89" s="149" t="s">
        <v>35</v>
      </c>
      <c r="B89" s="150">
        <f t="shared" ref="B89:B105" si="34">+C47</f>
        <v>36.46</v>
      </c>
      <c r="C89" s="151"/>
      <c r="D89" s="151"/>
      <c r="E89" s="151"/>
      <c r="F89" s="151"/>
      <c r="G89" s="151"/>
      <c r="H89" s="148"/>
      <c r="I89" s="151"/>
      <c r="J89" s="151"/>
      <c r="K89" s="151"/>
      <c r="L89" s="151"/>
    </row>
    <row r="90" spans="1:12" x14ac:dyDescent="0.25">
      <c r="A90" s="149" t="s">
        <v>42</v>
      </c>
      <c r="B90" s="150">
        <f t="shared" si="34"/>
        <v>52.41</v>
      </c>
      <c r="C90" s="151"/>
      <c r="D90" s="151"/>
      <c r="E90" s="151"/>
      <c r="F90" s="151"/>
      <c r="G90" s="151"/>
      <c r="H90" s="148"/>
      <c r="I90" s="151"/>
      <c r="J90" s="151"/>
      <c r="K90" s="151"/>
      <c r="L90" s="151"/>
    </row>
    <row r="91" spans="1:12" x14ac:dyDescent="0.25">
      <c r="A91" s="149" t="s">
        <v>38</v>
      </c>
      <c r="B91" s="150">
        <f t="shared" si="34"/>
        <v>34.18</v>
      </c>
      <c r="C91" s="151"/>
      <c r="D91" s="151"/>
      <c r="E91" s="151"/>
      <c r="F91" s="151"/>
      <c r="G91" s="151"/>
      <c r="H91" s="148"/>
      <c r="I91" s="151"/>
      <c r="J91" s="151"/>
      <c r="K91" s="151"/>
      <c r="L91" s="151"/>
    </row>
    <row r="92" spans="1:12" x14ac:dyDescent="0.25">
      <c r="A92" s="149" t="s">
        <v>43</v>
      </c>
      <c r="B92" s="150">
        <f t="shared" si="34"/>
        <v>50.129999999999995</v>
      </c>
      <c r="C92" s="151"/>
      <c r="D92" s="151"/>
      <c r="E92" s="151"/>
      <c r="F92" s="151"/>
      <c r="G92" s="151"/>
      <c r="H92" s="148"/>
      <c r="I92" s="151"/>
      <c r="J92" s="151"/>
      <c r="K92" s="151"/>
      <c r="L92" s="151"/>
    </row>
    <row r="93" spans="1:12" x14ac:dyDescent="0.25">
      <c r="A93" s="149" t="s">
        <v>189</v>
      </c>
      <c r="B93" s="150">
        <f t="shared" si="34"/>
        <v>12.08</v>
      </c>
      <c r="C93" s="151"/>
      <c r="D93" s="151"/>
      <c r="E93" s="151"/>
      <c r="F93" s="151"/>
      <c r="G93" s="151"/>
      <c r="H93" s="148"/>
      <c r="I93" s="151">
        <v>1</v>
      </c>
      <c r="J93" s="151"/>
      <c r="K93" s="151"/>
      <c r="L93" s="151"/>
    </row>
    <row r="94" spans="1:12" x14ac:dyDescent="0.25">
      <c r="A94" s="149" t="s">
        <v>197</v>
      </c>
      <c r="B94" s="150">
        <f t="shared" si="34"/>
        <v>2.76</v>
      </c>
      <c r="C94" s="151">
        <v>0.34</v>
      </c>
      <c r="D94" s="151">
        <v>0.34</v>
      </c>
      <c r="E94" s="151">
        <v>0.34</v>
      </c>
      <c r="F94" s="151">
        <v>0.34</v>
      </c>
      <c r="G94" s="151">
        <v>0.34</v>
      </c>
      <c r="H94" s="148"/>
      <c r="I94" s="151"/>
      <c r="J94" s="151"/>
      <c r="K94" s="151">
        <v>0.34</v>
      </c>
      <c r="L94" s="151">
        <v>0.34</v>
      </c>
    </row>
    <row r="95" spans="1:12" x14ac:dyDescent="0.25">
      <c r="A95" s="149" t="s">
        <v>16</v>
      </c>
      <c r="B95" s="150">
        <f t="shared" si="34"/>
        <v>0.75</v>
      </c>
      <c r="C95" s="151">
        <v>0.4</v>
      </c>
      <c r="D95" s="151">
        <v>0.4</v>
      </c>
      <c r="E95" s="151">
        <v>0.4</v>
      </c>
      <c r="F95" s="151">
        <v>0.4</v>
      </c>
      <c r="G95" s="151">
        <v>0.4</v>
      </c>
      <c r="H95" s="148"/>
      <c r="I95" s="151"/>
      <c r="J95" s="151"/>
      <c r="K95" s="151">
        <v>0.4</v>
      </c>
      <c r="L95" s="151">
        <v>0.4</v>
      </c>
    </row>
    <row r="96" spans="1:12" x14ac:dyDescent="0.25">
      <c r="A96" s="149" t="s">
        <v>192</v>
      </c>
      <c r="B96" s="150">
        <f t="shared" si="34"/>
        <v>8.82</v>
      </c>
      <c r="C96" s="151">
        <f>2*0.159</f>
        <v>0.318</v>
      </c>
      <c r="D96" s="151">
        <f>2*0.159</f>
        <v>0.318</v>
      </c>
      <c r="E96" s="151">
        <f>2*0.159</f>
        <v>0.318</v>
      </c>
      <c r="F96" s="151">
        <f>2*0.159</f>
        <v>0.318</v>
      </c>
      <c r="G96" s="151">
        <f>2*0.159</f>
        <v>0.318</v>
      </c>
      <c r="H96" s="148"/>
      <c r="I96" s="151"/>
      <c r="J96" s="151"/>
      <c r="K96" s="151">
        <f>2*0.159</f>
        <v>0.318</v>
      </c>
      <c r="L96" s="151">
        <f>2*0.159</f>
        <v>0.318</v>
      </c>
    </row>
    <row r="97" spans="1:12" x14ac:dyDescent="0.25">
      <c r="A97" s="149" t="s">
        <v>228</v>
      </c>
      <c r="B97" s="150">
        <f t="shared" si="34"/>
        <v>1.1399999999999999</v>
      </c>
      <c r="C97" s="151"/>
      <c r="D97" s="151"/>
      <c r="E97" s="151"/>
      <c r="F97" s="151"/>
      <c r="G97" s="151"/>
      <c r="H97" s="148"/>
      <c r="I97" s="151">
        <v>1</v>
      </c>
      <c r="J97" s="151"/>
      <c r="K97" s="151"/>
      <c r="L97" s="151"/>
    </row>
    <row r="98" spans="1:12" x14ac:dyDescent="0.25">
      <c r="A98" s="149" t="s">
        <v>31</v>
      </c>
      <c r="B98" s="150">
        <f t="shared" si="34"/>
        <v>0.04</v>
      </c>
      <c r="C98" s="151">
        <v>5</v>
      </c>
      <c r="D98" s="151">
        <v>5</v>
      </c>
      <c r="E98" s="151">
        <v>5</v>
      </c>
      <c r="F98" s="151">
        <v>5</v>
      </c>
      <c r="G98" s="151">
        <v>5</v>
      </c>
      <c r="H98" s="148"/>
      <c r="I98" s="151"/>
      <c r="J98" s="151"/>
      <c r="K98" s="151">
        <v>5</v>
      </c>
      <c r="L98" s="151">
        <v>5</v>
      </c>
    </row>
    <row r="99" spans="1:12" x14ac:dyDescent="0.25">
      <c r="A99" s="149" t="s">
        <v>32</v>
      </c>
      <c r="B99" s="150">
        <f t="shared" si="34"/>
        <v>0.04</v>
      </c>
      <c r="C99" s="151">
        <v>5</v>
      </c>
      <c r="D99" s="151">
        <v>5</v>
      </c>
      <c r="E99" s="151">
        <v>5</v>
      </c>
      <c r="F99" s="151">
        <v>5</v>
      </c>
      <c r="G99" s="151">
        <v>5</v>
      </c>
      <c r="H99" s="148"/>
      <c r="I99" s="151"/>
      <c r="J99" s="151"/>
      <c r="K99" s="151">
        <v>5</v>
      </c>
      <c r="L99" s="151">
        <v>5</v>
      </c>
    </row>
    <row r="100" spans="1:12" x14ac:dyDescent="0.25">
      <c r="A100" s="149" t="s">
        <v>257</v>
      </c>
      <c r="B100" s="150">
        <f t="shared" si="34"/>
        <v>29.91</v>
      </c>
      <c r="C100" s="151"/>
      <c r="D100" s="151"/>
      <c r="E100" s="151"/>
      <c r="F100" s="151"/>
      <c r="G100" s="151"/>
      <c r="H100" s="148"/>
      <c r="I100" s="151"/>
      <c r="J100" s="151"/>
      <c r="K100" s="151"/>
      <c r="L100" s="151"/>
    </row>
    <row r="101" spans="1:12" x14ac:dyDescent="0.25">
      <c r="A101" s="149" t="s">
        <v>258</v>
      </c>
      <c r="B101" s="150">
        <f t="shared" si="34"/>
        <v>136.72</v>
      </c>
      <c r="C101" s="151"/>
      <c r="D101" s="151"/>
      <c r="E101" s="151"/>
      <c r="F101" s="151"/>
      <c r="G101" s="151"/>
      <c r="H101" s="148"/>
      <c r="I101" s="151"/>
      <c r="J101" s="151">
        <v>1</v>
      </c>
      <c r="K101" s="151"/>
      <c r="L101" s="151"/>
    </row>
    <row r="102" spans="1:12" x14ac:dyDescent="0.25">
      <c r="A102" s="149" t="s">
        <v>260</v>
      </c>
      <c r="B102" s="150">
        <f t="shared" si="34"/>
        <v>22.790000000000003</v>
      </c>
      <c r="C102" s="151"/>
      <c r="D102" s="151"/>
      <c r="E102" s="151"/>
      <c r="F102" s="151"/>
      <c r="G102" s="151"/>
      <c r="H102" s="148"/>
      <c r="I102" s="151"/>
      <c r="J102" s="151">
        <v>1</v>
      </c>
      <c r="K102" s="151"/>
      <c r="L102" s="151"/>
    </row>
    <row r="103" spans="1:12" x14ac:dyDescent="0.25">
      <c r="A103" s="149" t="s">
        <v>263</v>
      </c>
      <c r="B103" s="150">
        <f t="shared" si="34"/>
        <v>13.68</v>
      </c>
      <c r="C103" s="151"/>
      <c r="D103" s="151"/>
      <c r="E103" s="151"/>
      <c r="F103" s="151"/>
      <c r="G103" s="151"/>
      <c r="H103" s="148"/>
      <c r="I103" s="151"/>
      <c r="J103" s="151"/>
      <c r="K103" s="151"/>
      <c r="L103" s="151"/>
    </row>
    <row r="104" spans="1:12" x14ac:dyDescent="0.25">
      <c r="A104" s="149">
        <v>1318</v>
      </c>
      <c r="B104" s="150">
        <f t="shared" si="34"/>
        <v>17.060000000000002</v>
      </c>
      <c r="C104" s="151"/>
      <c r="D104" s="151"/>
      <c r="E104" s="151"/>
      <c r="F104" s="151"/>
      <c r="G104" s="151"/>
      <c r="H104" s="148"/>
      <c r="I104" s="151"/>
      <c r="J104" s="151"/>
      <c r="K104" s="151"/>
      <c r="L104" s="151"/>
    </row>
    <row r="105" spans="1:12" x14ac:dyDescent="0.25">
      <c r="A105" s="149">
        <v>1302</v>
      </c>
      <c r="B105" s="150">
        <f t="shared" si="34"/>
        <v>4.09</v>
      </c>
      <c r="C105" s="151"/>
      <c r="D105" s="151"/>
      <c r="E105" s="151"/>
      <c r="F105" s="151"/>
      <c r="G105" s="151"/>
      <c r="H105" s="148"/>
      <c r="I105" s="151"/>
      <c r="J105" s="151"/>
      <c r="K105" s="151"/>
      <c r="L105" s="151"/>
    </row>
    <row r="107" spans="1:12" x14ac:dyDescent="0.25">
      <c r="A107" s="149" t="s">
        <v>35</v>
      </c>
      <c r="C107" s="121">
        <f>SUMPRODUCT($B$89:$B$105,C$89:C$105)</f>
        <v>4.4431600000000007</v>
      </c>
      <c r="D107" s="121">
        <f>SUMPRODUCT($B$89:$B$105,D$89:D$105)</f>
        <v>4.4431600000000007</v>
      </c>
      <c r="E107" s="121">
        <f>SUMPRODUCT($B$89:$B$105,E$89:E$105)</f>
        <v>4.4431600000000007</v>
      </c>
      <c r="F107" s="121">
        <f>SUMPRODUCT($B$89:$B$105,F$89:F$105)</f>
        <v>4.4431600000000007</v>
      </c>
      <c r="G107" s="121">
        <f>SUMPRODUCT($B$89:$B$105,G$89:G$105)</f>
        <v>4.4431600000000007</v>
      </c>
      <c r="I107" s="121">
        <f>SUMPRODUCT($B$89:$B$105,I$89:I$105)+B89</f>
        <v>49.68</v>
      </c>
      <c r="J107" s="121">
        <f>SUMPRODUCT($B$89:$B$105,J$89:J$105)</f>
        <v>159.51</v>
      </c>
      <c r="K107" s="121">
        <f>SUMPRODUCT($B$89:$B$105,K$89:K$105)</f>
        <v>4.4431600000000007</v>
      </c>
      <c r="L107" s="121">
        <f>SUMPRODUCT($B$89:$B$105,L$89:L$105)</f>
        <v>4.4431600000000007</v>
      </c>
    </row>
    <row r="108" spans="1:12" x14ac:dyDescent="0.25">
      <c r="A108" s="149" t="s">
        <v>42</v>
      </c>
      <c r="C108" s="121">
        <f t="shared" ref="C108:G110" si="35">SUMPRODUCT($B$89:$B$105,C$89:C$105)</f>
        <v>4.4431600000000007</v>
      </c>
      <c r="D108" s="121">
        <f t="shared" si="35"/>
        <v>4.4431600000000007</v>
      </c>
      <c r="E108" s="121">
        <f t="shared" si="35"/>
        <v>4.4431600000000007</v>
      </c>
      <c r="F108" s="121">
        <f t="shared" si="35"/>
        <v>4.4431600000000007</v>
      </c>
      <c r="G108" s="121">
        <f t="shared" si="35"/>
        <v>4.4431600000000007</v>
      </c>
      <c r="I108" s="121">
        <f>SUMPRODUCT($B$89:$B$105,I$89:I$105)+B90</f>
        <v>65.63</v>
      </c>
      <c r="J108" s="121">
        <f>SUMPRODUCT($B$89:$B$105,J$89:J$105)</f>
        <v>159.51</v>
      </c>
      <c r="K108" s="121">
        <f t="shared" ref="K108:L110" si="36">SUMPRODUCT($B$89:$B$105,K$89:K$105)</f>
        <v>4.4431600000000007</v>
      </c>
      <c r="L108" s="121">
        <f t="shared" si="36"/>
        <v>4.4431600000000007</v>
      </c>
    </row>
    <row r="109" spans="1:12" x14ac:dyDescent="0.25">
      <c r="A109" s="149" t="s">
        <v>38</v>
      </c>
      <c r="C109" s="121">
        <f t="shared" si="35"/>
        <v>4.4431600000000007</v>
      </c>
      <c r="D109" s="121">
        <f t="shared" si="35"/>
        <v>4.4431600000000007</v>
      </c>
      <c r="E109" s="121">
        <f t="shared" si="35"/>
        <v>4.4431600000000007</v>
      </c>
      <c r="F109" s="121">
        <f t="shared" si="35"/>
        <v>4.4431600000000007</v>
      </c>
      <c r="G109" s="121">
        <f t="shared" si="35"/>
        <v>4.4431600000000007</v>
      </c>
      <c r="I109" s="121">
        <f>SUMPRODUCT($B$89:$B$105,I$89:I$105)+B91</f>
        <v>47.4</v>
      </c>
      <c r="J109" s="121">
        <f>SUMPRODUCT($B$89:$B$105,J$89:J$105)</f>
        <v>159.51</v>
      </c>
      <c r="K109" s="121">
        <f t="shared" si="36"/>
        <v>4.4431600000000007</v>
      </c>
      <c r="L109" s="121">
        <f t="shared" si="36"/>
        <v>4.4431600000000007</v>
      </c>
    </row>
    <row r="110" spans="1:12" x14ac:dyDescent="0.25">
      <c r="A110" s="149" t="s">
        <v>43</v>
      </c>
      <c r="C110" s="121">
        <f t="shared" si="35"/>
        <v>4.4431600000000007</v>
      </c>
      <c r="D110" s="121">
        <f t="shared" si="35"/>
        <v>4.4431600000000007</v>
      </c>
      <c r="E110" s="121">
        <f t="shared" si="35"/>
        <v>4.4431600000000007</v>
      </c>
      <c r="F110" s="121">
        <f t="shared" si="35"/>
        <v>4.4431600000000007</v>
      </c>
      <c r="G110" s="121">
        <f t="shared" si="35"/>
        <v>4.4431600000000007</v>
      </c>
      <c r="I110" s="121">
        <f>SUMPRODUCT($B$89:$B$105,I$89:I$105)+B92</f>
        <v>63.349999999999994</v>
      </c>
      <c r="J110" s="121">
        <f>SUMPRODUCT($B$89:$B$105,J$89:J$105)</f>
        <v>159.51</v>
      </c>
      <c r="K110" s="121">
        <f t="shared" si="36"/>
        <v>4.4431600000000007</v>
      </c>
      <c r="L110" s="121">
        <f t="shared" si="36"/>
        <v>4.4431600000000007</v>
      </c>
    </row>
    <row r="113" spans="2:12" ht="15.6" x14ac:dyDescent="0.3">
      <c r="B113" s="147" t="s">
        <v>299</v>
      </c>
      <c r="C113" s="147" t="s">
        <v>295</v>
      </c>
      <c r="D113" s="147" t="s">
        <v>300</v>
      </c>
      <c r="E113" s="147" t="s">
        <v>300</v>
      </c>
      <c r="F113" s="147" t="s">
        <v>300</v>
      </c>
      <c r="G113" s="147" t="s">
        <v>300</v>
      </c>
      <c r="K113" s="147" t="s">
        <v>300</v>
      </c>
      <c r="L113" s="147" t="s">
        <v>300</v>
      </c>
    </row>
    <row r="114" spans="2:12" x14ac:dyDescent="0.25">
      <c r="B114" s="151"/>
      <c r="C114" s="151"/>
      <c r="D114" s="151"/>
      <c r="E114" s="151"/>
      <c r="F114" s="151"/>
      <c r="G114" s="151"/>
      <c r="K114" s="151"/>
      <c r="L114" s="151"/>
    </row>
    <row r="115" spans="2:12" x14ac:dyDescent="0.25">
      <c r="B115" s="151"/>
      <c r="C115" s="151"/>
      <c r="D115" s="151"/>
      <c r="E115" s="151"/>
      <c r="F115" s="151"/>
      <c r="G115" s="151"/>
      <c r="K115" s="151"/>
      <c r="L115" s="151"/>
    </row>
    <row r="116" spans="2:12" x14ac:dyDescent="0.25">
      <c r="B116" s="151"/>
      <c r="C116" s="151"/>
      <c r="D116" s="151"/>
      <c r="E116" s="151"/>
      <c r="F116" s="151"/>
      <c r="G116" s="151"/>
      <c r="K116" s="151"/>
      <c r="L116" s="151"/>
    </row>
    <row r="117" spans="2:12" x14ac:dyDescent="0.25">
      <c r="B117" s="151"/>
      <c r="C117" s="151"/>
      <c r="D117" s="151"/>
      <c r="E117" s="151"/>
      <c r="F117" s="151"/>
      <c r="G117" s="151"/>
      <c r="K117" s="151"/>
      <c r="L117" s="151"/>
    </row>
    <row r="118" spans="2:12" x14ac:dyDescent="0.25">
      <c r="B118" s="151"/>
      <c r="C118" s="151"/>
      <c r="D118" s="151"/>
      <c r="E118" s="151"/>
      <c r="F118" s="151"/>
      <c r="G118" s="151"/>
      <c r="K118" s="151"/>
      <c r="L118" s="151"/>
    </row>
    <row r="119" spans="2:12" x14ac:dyDescent="0.25">
      <c r="B119" s="151"/>
      <c r="C119" s="151">
        <v>0.16666666666666666</v>
      </c>
      <c r="D119" s="151">
        <v>0.17</v>
      </c>
      <c r="E119" s="151">
        <v>0.17</v>
      </c>
      <c r="F119" s="151">
        <v>0.17</v>
      </c>
      <c r="G119" s="151">
        <v>0.17</v>
      </c>
      <c r="K119" s="151">
        <v>0.17</v>
      </c>
      <c r="L119" s="151">
        <v>0.17</v>
      </c>
    </row>
    <row r="120" spans="2:12" x14ac:dyDescent="0.25">
      <c r="B120" s="151"/>
      <c r="C120" s="151">
        <v>0.1</v>
      </c>
      <c r="D120" s="151">
        <v>0.1</v>
      </c>
      <c r="E120" s="151">
        <v>0.1</v>
      </c>
      <c r="F120" s="151">
        <v>0.1</v>
      </c>
      <c r="G120" s="151">
        <v>0.1</v>
      </c>
      <c r="K120" s="151">
        <v>0.1</v>
      </c>
      <c r="L120" s="151">
        <v>0.1</v>
      </c>
    </row>
    <row r="121" spans="2:12" x14ac:dyDescent="0.25">
      <c r="B121" s="151"/>
      <c r="C121" s="151"/>
      <c r="D121" s="151"/>
      <c r="E121" s="151"/>
      <c r="F121" s="151"/>
      <c r="G121" s="151"/>
      <c r="K121" s="151"/>
      <c r="L121" s="151"/>
    </row>
    <row r="122" spans="2:12" x14ac:dyDescent="0.25">
      <c r="B122" s="151"/>
      <c r="C122" s="151"/>
      <c r="D122" s="151"/>
      <c r="E122" s="151"/>
      <c r="F122" s="151"/>
      <c r="G122" s="151"/>
      <c r="K122" s="151"/>
      <c r="L122" s="151"/>
    </row>
    <row r="123" spans="2:12" x14ac:dyDescent="0.25">
      <c r="B123" s="151"/>
      <c r="C123" s="151"/>
      <c r="D123" s="151"/>
      <c r="E123" s="151"/>
      <c r="F123" s="151"/>
      <c r="G123" s="151"/>
      <c r="K123" s="151"/>
      <c r="L123" s="151"/>
    </row>
    <row r="124" spans="2:12" x14ac:dyDescent="0.25">
      <c r="B124" s="151"/>
      <c r="C124" s="151"/>
      <c r="D124" s="151"/>
      <c r="E124" s="151"/>
      <c r="F124" s="151"/>
      <c r="G124" s="151"/>
      <c r="K124" s="151"/>
      <c r="L124" s="151"/>
    </row>
    <row r="125" spans="2:12" x14ac:dyDescent="0.25">
      <c r="B125" s="151"/>
      <c r="C125" s="151">
        <v>1</v>
      </c>
      <c r="D125" s="151"/>
      <c r="E125" s="151"/>
      <c r="F125" s="151"/>
      <c r="G125" s="151"/>
      <c r="K125" s="151"/>
      <c r="L125" s="151"/>
    </row>
    <row r="126" spans="2:12" x14ac:dyDescent="0.25">
      <c r="B126" s="151"/>
      <c r="C126" s="151"/>
      <c r="D126" s="151"/>
      <c r="E126" s="151"/>
      <c r="F126" s="151"/>
      <c r="G126" s="151"/>
      <c r="K126" s="151"/>
      <c r="L126" s="151"/>
    </row>
    <row r="127" spans="2:12" x14ac:dyDescent="0.25">
      <c r="B127" s="151"/>
      <c r="C127" s="151"/>
      <c r="D127" s="151"/>
      <c r="E127" s="151"/>
      <c r="F127" s="151"/>
      <c r="G127" s="151"/>
      <c r="K127" s="151"/>
      <c r="L127" s="151"/>
    </row>
    <row r="128" spans="2:12" x14ac:dyDescent="0.25">
      <c r="B128" s="151">
        <v>2</v>
      </c>
      <c r="C128" s="151"/>
      <c r="D128" s="151"/>
      <c r="E128" s="151"/>
      <c r="F128" s="151"/>
      <c r="G128" s="151"/>
      <c r="K128" s="151"/>
      <c r="L128" s="151"/>
    </row>
    <row r="129" spans="1:12" x14ac:dyDescent="0.25">
      <c r="B129" s="151"/>
      <c r="C129" s="151"/>
      <c r="D129" s="151"/>
      <c r="E129" s="151"/>
      <c r="F129" s="151"/>
      <c r="G129" s="151"/>
      <c r="K129" s="151"/>
      <c r="L129" s="151"/>
    </row>
    <row r="130" spans="1:12" x14ac:dyDescent="0.25">
      <c r="B130" s="151"/>
      <c r="C130" s="151"/>
      <c r="D130" s="151"/>
      <c r="E130" s="151"/>
      <c r="F130" s="151"/>
      <c r="G130" s="151"/>
      <c r="K130" s="151"/>
      <c r="L130" s="151"/>
    </row>
    <row r="132" spans="1:12" x14ac:dyDescent="0.25">
      <c r="B132" s="121">
        <f t="shared" ref="B132:G135" si="37">SUMPRODUCT($B$89:$B$105,B$114:B$130)</f>
        <v>27.36</v>
      </c>
      <c r="C132" s="121">
        <f t="shared" si="37"/>
        <v>30.445</v>
      </c>
      <c r="D132" s="121">
        <f t="shared" si="37"/>
        <v>0.54420000000000002</v>
      </c>
      <c r="E132" s="121">
        <f t="shared" si="37"/>
        <v>0.54420000000000002</v>
      </c>
      <c r="F132" s="121">
        <f t="shared" si="37"/>
        <v>0.54420000000000002</v>
      </c>
      <c r="G132" s="121">
        <f t="shared" si="37"/>
        <v>0.54420000000000002</v>
      </c>
      <c r="K132" s="121">
        <f t="shared" ref="K132:L135" si="38">SUMPRODUCT($B$89:$B$105,K$114:K$130)</f>
        <v>0.54420000000000002</v>
      </c>
      <c r="L132" s="121">
        <f t="shared" si="38"/>
        <v>0.54420000000000002</v>
      </c>
    </row>
    <row r="133" spans="1:12" x14ac:dyDescent="0.25">
      <c r="B133" s="121">
        <f t="shared" si="37"/>
        <v>27.36</v>
      </c>
      <c r="C133" s="121">
        <f t="shared" si="37"/>
        <v>30.445</v>
      </c>
      <c r="D133" s="121">
        <f t="shared" si="37"/>
        <v>0.54420000000000002</v>
      </c>
      <c r="E133" s="121">
        <f t="shared" si="37"/>
        <v>0.54420000000000002</v>
      </c>
      <c r="F133" s="121">
        <f t="shared" si="37"/>
        <v>0.54420000000000002</v>
      </c>
      <c r="G133" s="121">
        <f t="shared" si="37"/>
        <v>0.54420000000000002</v>
      </c>
      <c r="K133" s="121">
        <f t="shared" si="38"/>
        <v>0.54420000000000002</v>
      </c>
      <c r="L133" s="121">
        <f t="shared" si="38"/>
        <v>0.54420000000000002</v>
      </c>
    </row>
    <row r="134" spans="1:12" x14ac:dyDescent="0.25">
      <c r="B134" s="121">
        <f t="shared" si="37"/>
        <v>27.36</v>
      </c>
      <c r="C134" s="121">
        <f t="shared" si="37"/>
        <v>30.445</v>
      </c>
      <c r="D134" s="121">
        <f t="shared" si="37"/>
        <v>0.54420000000000002</v>
      </c>
      <c r="E134" s="121">
        <f t="shared" si="37"/>
        <v>0.54420000000000002</v>
      </c>
      <c r="F134" s="121">
        <f t="shared" si="37"/>
        <v>0.54420000000000002</v>
      </c>
      <c r="G134" s="121">
        <f t="shared" si="37"/>
        <v>0.54420000000000002</v>
      </c>
      <c r="K134" s="121">
        <f t="shared" si="38"/>
        <v>0.54420000000000002</v>
      </c>
      <c r="L134" s="121">
        <f t="shared" si="38"/>
        <v>0.54420000000000002</v>
      </c>
    </row>
    <row r="135" spans="1:12" x14ac:dyDescent="0.25">
      <c r="B135" s="121">
        <f t="shared" si="37"/>
        <v>27.36</v>
      </c>
      <c r="C135" s="121">
        <f t="shared" si="37"/>
        <v>30.445</v>
      </c>
      <c r="D135" s="121">
        <f t="shared" si="37"/>
        <v>0.54420000000000002</v>
      </c>
      <c r="E135" s="121">
        <f t="shared" si="37"/>
        <v>0.54420000000000002</v>
      </c>
      <c r="F135" s="121">
        <f t="shared" si="37"/>
        <v>0.54420000000000002</v>
      </c>
      <c r="G135" s="121">
        <f t="shared" si="37"/>
        <v>0.54420000000000002</v>
      </c>
      <c r="K135" s="121">
        <f t="shared" si="38"/>
        <v>0.54420000000000002</v>
      </c>
      <c r="L135" s="121">
        <f t="shared" si="38"/>
        <v>0.54420000000000002</v>
      </c>
    </row>
    <row r="139" spans="1:12" ht="15.6" x14ac:dyDescent="0.3">
      <c r="A139" s="145" t="s">
        <v>302</v>
      </c>
      <c r="B139" s="147"/>
      <c r="C139" s="147" t="s">
        <v>268</v>
      </c>
      <c r="D139" s="147" t="s">
        <v>269</v>
      </c>
      <c r="E139" s="147" t="s">
        <v>269</v>
      </c>
      <c r="F139" s="147" t="s">
        <v>269</v>
      </c>
      <c r="G139" s="147" t="s">
        <v>269</v>
      </c>
      <c r="H139" s="148"/>
      <c r="I139" s="147" t="s">
        <v>282</v>
      </c>
      <c r="J139" s="147" t="s">
        <v>298</v>
      </c>
      <c r="K139" s="147" t="s">
        <v>269</v>
      </c>
      <c r="L139" s="147" t="s">
        <v>269</v>
      </c>
    </row>
    <row r="140" spans="1:12" x14ac:dyDescent="0.25">
      <c r="A140" s="149" t="s">
        <v>35</v>
      </c>
      <c r="B140" s="150">
        <f>+B89</f>
        <v>36.46</v>
      </c>
      <c r="C140" s="151"/>
      <c r="D140" s="151"/>
      <c r="E140" s="151"/>
      <c r="F140" s="151"/>
      <c r="G140" s="151"/>
      <c r="H140" s="148"/>
      <c r="I140" s="151"/>
      <c r="J140" s="151"/>
      <c r="K140" s="151"/>
      <c r="L140" s="151"/>
    </row>
    <row r="141" spans="1:12" x14ac:dyDescent="0.25">
      <c r="A141" s="149" t="s">
        <v>42</v>
      </c>
      <c r="B141" s="150">
        <f t="shared" ref="B141:B156" si="39">+B90</f>
        <v>52.41</v>
      </c>
      <c r="C141" s="151"/>
      <c r="D141" s="151"/>
      <c r="E141" s="151"/>
      <c r="F141" s="151"/>
      <c r="G141" s="151"/>
      <c r="H141" s="148"/>
      <c r="I141" s="151"/>
      <c r="J141" s="151"/>
      <c r="K141" s="151"/>
      <c r="L141" s="151"/>
    </row>
    <row r="142" spans="1:12" x14ac:dyDescent="0.25">
      <c r="A142" s="149" t="s">
        <v>38</v>
      </c>
      <c r="B142" s="150">
        <f t="shared" si="39"/>
        <v>34.18</v>
      </c>
      <c r="C142" s="151"/>
      <c r="D142" s="151"/>
      <c r="E142" s="151"/>
      <c r="F142" s="151"/>
      <c r="G142" s="151"/>
      <c r="H142" s="148"/>
      <c r="I142" s="151"/>
      <c r="J142" s="151"/>
      <c r="K142" s="151"/>
      <c r="L142" s="151"/>
    </row>
    <row r="143" spans="1:12" x14ac:dyDescent="0.25">
      <c r="A143" s="149" t="s">
        <v>43</v>
      </c>
      <c r="B143" s="150">
        <f t="shared" si="39"/>
        <v>50.129999999999995</v>
      </c>
      <c r="C143" s="151"/>
      <c r="D143" s="151"/>
      <c r="E143" s="151"/>
      <c r="F143" s="151"/>
      <c r="G143" s="151"/>
      <c r="H143" s="148"/>
      <c r="I143" s="151"/>
      <c r="J143" s="151"/>
      <c r="K143" s="151"/>
      <c r="L143" s="151"/>
    </row>
    <row r="144" spans="1:12" x14ac:dyDescent="0.25">
      <c r="A144" s="149" t="s">
        <v>189</v>
      </c>
      <c r="B144" s="150">
        <f t="shared" si="39"/>
        <v>12.08</v>
      </c>
      <c r="C144" s="151"/>
      <c r="D144" s="151"/>
      <c r="E144" s="151"/>
      <c r="F144" s="151"/>
      <c r="G144" s="151"/>
      <c r="H144" s="148"/>
      <c r="I144" s="151">
        <v>1</v>
      </c>
      <c r="J144" s="151"/>
      <c r="K144" s="151"/>
      <c r="L144" s="151"/>
    </row>
    <row r="145" spans="1:12" x14ac:dyDescent="0.25">
      <c r="A145" s="149" t="s">
        <v>197</v>
      </c>
      <c r="B145" s="150">
        <f t="shared" si="39"/>
        <v>2.76</v>
      </c>
      <c r="C145" s="151">
        <v>0.34</v>
      </c>
      <c r="D145" s="151">
        <v>0.34</v>
      </c>
      <c r="E145" s="151">
        <v>0.34</v>
      </c>
      <c r="F145" s="151">
        <v>0.34</v>
      </c>
      <c r="G145" s="151">
        <v>0.34</v>
      </c>
      <c r="H145" s="148"/>
      <c r="I145" s="151"/>
      <c r="J145" s="151"/>
      <c r="K145" s="151">
        <v>0.34</v>
      </c>
      <c r="L145" s="151">
        <v>0.34</v>
      </c>
    </row>
    <row r="146" spans="1:12" x14ac:dyDescent="0.25">
      <c r="A146" s="149" t="s">
        <v>16</v>
      </c>
      <c r="B146" s="150">
        <f t="shared" si="39"/>
        <v>0.75</v>
      </c>
      <c r="C146" s="151">
        <v>0.4</v>
      </c>
      <c r="D146" s="151">
        <v>0.4</v>
      </c>
      <c r="E146" s="151">
        <v>0.4</v>
      </c>
      <c r="F146" s="151">
        <v>0.4</v>
      </c>
      <c r="G146" s="151">
        <v>0.4</v>
      </c>
      <c r="H146" s="148"/>
      <c r="I146" s="151"/>
      <c r="J146" s="151"/>
      <c r="K146" s="151">
        <v>0.4</v>
      </c>
      <c r="L146" s="151">
        <v>0.4</v>
      </c>
    </row>
    <row r="147" spans="1:12" x14ac:dyDescent="0.25">
      <c r="A147" s="149" t="s">
        <v>192</v>
      </c>
      <c r="B147" s="150">
        <f t="shared" si="39"/>
        <v>8.82</v>
      </c>
      <c r="C147" s="151">
        <f>2*0.159</f>
        <v>0.318</v>
      </c>
      <c r="D147" s="151">
        <f>2*0.159</f>
        <v>0.318</v>
      </c>
      <c r="E147" s="151">
        <f>2*0.159</f>
        <v>0.318</v>
      </c>
      <c r="F147" s="151">
        <f>2*0.159</f>
        <v>0.318</v>
      </c>
      <c r="G147" s="151">
        <f>2*0.159</f>
        <v>0.318</v>
      </c>
      <c r="H147" s="148"/>
      <c r="I147" s="151"/>
      <c r="J147" s="151"/>
      <c r="K147" s="151">
        <f>2*0.159</f>
        <v>0.318</v>
      </c>
      <c r="L147" s="151">
        <f>2*0.159</f>
        <v>0.318</v>
      </c>
    </row>
    <row r="148" spans="1:12" x14ac:dyDescent="0.25">
      <c r="A148" s="149" t="s">
        <v>228</v>
      </c>
      <c r="B148" s="150">
        <f t="shared" si="39"/>
        <v>1.1399999999999999</v>
      </c>
      <c r="C148" s="151"/>
      <c r="D148" s="151"/>
      <c r="E148" s="151"/>
      <c r="F148" s="151"/>
      <c r="G148" s="151"/>
      <c r="H148" s="148"/>
      <c r="I148" s="151">
        <v>1</v>
      </c>
      <c r="J148" s="151"/>
      <c r="K148" s="151"/>
      <c r="L148" s="151"/>
    </row>
    <row r="149" spans="1:12" x14ac:dyDescent="0.25">
      <c r="A149" s="149" t="s">
        <v>31</v>
      </c>
      <c r="B149" s="150">
        <f t="shared" si="39"/>
        <v>0.04</v>
      </c>
      <c r="C149" s="151">
        <v>5</v>
      </c>
      <c r="D149" s="151">
        <v>5</v>
      </c>
      <c r="E149" s="151">
        <v>5</v>
      </c>
      <c r="F149" s="151">
        <v>5</v>
      </c>
      <c r="G149" s="151">
        <v>5</v>
      </c>
      <c r="H149" s="148"/>
      <c r="I149" s="151"/>
      <c r="J149" s="151"/>
      <c r="K149" s="151">
        <v>5</v>
      </c>
      <c r="L149" s="151">
        <v>5</v>
      </c>
    </row>
    <row r="150" spans="1:12" x14ac:dyDescent="0.25">
      <c r="A150" s="149" t="s">
        <v>32</v>
      </c>
      <c r="B150" s="150">
        <f t="shared" si="39"/>
        <v>0.04</v>
      </c>
      <c r="C150" s="151">
        <v>5</v>
      </c>
      <c r="D150" s="151">
        <v>5</v>
      </c>
      <c r="E150" s="151">
        <v>5</v>
      </c>
      <c r="F150" s="151">
        <v>5</v>
      </c>
      <c r="G150" s="151">
        <v>5</v>
      </c>
      <c r="H150" s="148"/>
      <c r="I150" s="151"/>
      <c r="J150" s="151"/>
      <c r="K150" s="151">
        <v>5</v>
      </c>
      <c r="L150" s="151">
        <v>5</v>
      </c>
    </row>
    <row r="151" spans="1:12" x14ac:dyDescent="0.25">
      <c r="A151" s="149" t="s">
        <v>257</v>
      </c>
      <c r="B151" s="150">
        <f t="shared" si="39"/>
        <v>29.91</v>
      </c>
      <c r="C151" s="151"/>
      <c r="D151" s="151"/>
      <c r="E151" s="151"/>
      <c r="F151" s="151"/>
      <c r="G151" s="151"/>
      <c r="H151" s="148"/>
      <c r="I151" s="151"/>
      <c r="J151" s="151"/>
      <c r="K151" s="151"/>
      <c r="L151" s="151"/>
    </row>
    <row r="152" spans="1:12" x14ac:dyDescent="0.25">
      <c r="A152" s="149" t="s">
        <v>258</v>
      </c>
      <c r="B152" s="150">
        <f t="shared" si="39"/>
        <v>136.72</v>
      </c>
      <c r="C152" s="151"/>
      <c r="D152" s="151"/>
      <c r="E152" s="151"/>
      <c r="F152" s="151"/>
      <c r="G152" s="151"/>
      <c r="H152" s="148"/>
      <c r="I152" s="151"/>
      <c r="J152" s="151"/>
      <c r="K152" s="151"/>
      <c r="L152" s="151"/>
    </row>
    <row r="153" spans="1:12" x14ac:dyDescent="0.25">
      <c r="A153" s="149" t="s">
        <v>260</v>
      </c>
      <c r="B153" s="150">
        <f t="shared" si="39"/>
        <v>22.790000000000003</v>
      </c>
      <c r="C153" s="151"/>
      <c r="D153" s="151"/>
      <c r="E153" s="151"/>
      <c r="F153" s="151"/>
      <c r="G153" s="151"/>
      <c r="H153" s="148"/>
      <c r="I153" s="151"/>
      <c r="J153" s="151"/>
      <c r="K153" s="151"/>
      <c r="L153" s="151"/>
    </row>
    <row r="154" spans="1:12" x14ac:dyDescent="0.25">
      <c r="A154" s="149" t="s">
        <v>263</v>
      </c>
      <c r="B154" s="150">
        <f t="shared" si="39"/>
        <v>13.68</v>
      </c>
      <c r="C154" s="151"/>
      <c r="D154" s="151"/>
      <c r="E154" s="151"/>
      <c r="F154" s="151"/>
      <c r="G154" s="151"/>
      <c r="H154" s="148"/>
      <c r="I154" s="151"/>
      <c r="J154" s="151"/>
      <c r="K154" s="151"/>
      <c r="L154" s="151"/>
    </row>
    <row r="155" spans="1:12" x14ac:dyDescent="0.25">
      <c r="A155" s="149">
        <v>1318</v>
      </c>
      <c r="B155" s="150">
        <f t="shared" si="39"/>
        <v>17.060000000000002</v>
      </c>
      <c r="C155" s="151"/>
      <c r="D155" s="151"/>
      <c r="E155" s="151"/>
      <c r="F155" s="151"/>
      <c r="G155" s="151"/>
      <c r="H155" s="148"/>
      <c r="I155" s="151"/>
      <c r="J155" s="151">
        <v>1</v>
      </c>
      <c r="K155" s="151"/>
      <c r="L155" s="151"/>
    </row>
    <row r="156" spans="1:12" x14ac:dyDescent="0.25">
      <c r="A156" s="149">
        <v>1302</v>
      </c>
      <c r="B156" s="150">
        <f t="shared" si="39"/>
        <v>4.09</v>
      </c>
      <c r="C156" s="151"/>
      <c r="D156" s="151"/>
      <c r="E156" s="151"/>
      <c r="F156" s="151"/>
      <c r="G156" s="151"/>
      <c r="H156" s="148"/>
      <c r="I156" s="151"/>
      <c r="J156" s="151"/>
      <c r="K156" s="151"/>
      <c r="L156" s="151"/>
    </row>
    <row r="158" spans="1:12" x14ac:dyDescent="0.25">
      <c r="A158" s="149" t="s">
        <v>35</v>
      </c>
      <c r="C158" s="121">
        <f>SUMPRODUCT($B$89:$B$105,C$89:C$105)</f>
        <v>4.4431600000000007</v>
      </c>
      <c r="D158" s="121">
        <f>SUMPRODUCT($B$89:$B$105,D$89:D$105)</f>
        <v>4.4431600000000007</v>
      </c>
      <c r="E158" s="121">
        <f>SUMPRODUCT($B$89:$B$105,E$89:E$105)</f>
        <v>4.4431600000000007</v>
      </c>
      <c r="F158" s="121">
        <f>SUMPRODUCT($B$89:$B$105,F$89:F$105)</f>
        <v>4.4431600000000007</v>
      </c>
      <c r="G158" s="121">
        <f>SUMPRODUCT($B$89:$B$105,G$89:G$105)</f>
        <v>4.4431600000000007</v>
      </c>
      <c r="I158" s="121">
        <f>SUMPRODUCT($B$140:$B$156,I$140:I$156)+B140</f>
        <v>49.68</v>
      </c>
      <c r="J158" s="121">
        <f>SUMPRODUCT($B$140:$B$156,J$140:J$156)</f>
        <v>17.060000000000002</v>
      </c>
      <c r="K158" s="121">
        <f>SUMPRODUCT($B$89:$B$105,K$89:K$105)</f>
        <v>4.4431600000000007</v>
      </c>
      <c r="L158" s="121">
        <f>SUMPRODUCT($B$89:$B$105,L$89:L$105)</f>
        <v>4.4431600000000007</v>
      </c>
    </row>
    <row r="159" spans="1:12" x14ac:dyDescent="0.25">
      <c r="A159" s="149" t="s">
        <v>42</v>
      </c>
      <c r="C159" s="121">
        <f t="shared" ref="C159:G161" si="40">SUMPRODUCT($B$89:$B$105,C$89:C$105)</f>
        <v>4.4431600000000007</v>
      </c>
      <c r="D159" s="121">
        <f t="shared" si="40"/>
        <v>4.4431600000000007</v>
      </c>
      <c r="E159" s="121">
        <f t="shared" si="40"/>
        <v>4.4431600000000007</v>
      </c>
      <c r="F159" s="121">
        <f t="shared" si="40"/>
        <v>4.4431600000000007</v>
      </c>
      <c r="G159" s="121">
        <f t="shared" si="40"/>
        <v>4.4431600000000007</v>
      </c>
      <c r="I159" s="121">
        <f>SUMPRODUCT($B$140:$B$156,I$140:I$156)+B141</f>
        <v>65.63</v>
      </c>
      <c r="J159" s="121">
        <f>SUMPRODUCT($B$140:$B$156,J$140:J$156)</f>
        <v>17.060000000000002</v>
      </c>
      <c r="K159" s="121">
        <f t="shared" ref="K159:L161" si="41">SUMPRODUCT($B$89:$B$105,K$89:K$105)</f>
        <v>4.4431600000000007</v>
      </c>
      <c r="L159" s="121">
        <f t="shared" si="41"/>
        <v>4.4431600000000007</v>
      </c>
    </row>
    <row r="160" spans="1:12" x14ac:dyDescent="0.25">
      <c r="A160" s="149" t="s">
        <v>38</v>
      </c>
      <c r="C160" s="121">
        <f t="shared" si="40"/>
        <v>4.4431600000000007</v>
      </c>
      <c r="D160" s="121">
        <f t="shared" si="40"/>
        <v>4.4431600000000007</v>
      </c>
      <c r="E160" s="121">
        <f t="shared" si="40"/>
        <v>4.4431600000000007</v>
      </c>
      <c r="F160" s="121">
        <f t="shared" si="40"/>
        <v>4.4431600000000007</v>
      </c>
      <c r="G160" s="121">
        <f t="shared" si="40"/>
        <v>4.4431600000000007</v>
      </c>
      <c r="I160" s="121">
        <f>SUMPRODUCT($B$140:$B$156,I$140:I$156)+B142</f>
        <v>47.4</v>
      </c>
      <c r="J160" s="121">
        <f>SUMPRODUCT($B$140:$B$156,J$140:J$156)</f>
        <v>17.060000000000002</v>
      </c>
      <c r="K160" s="121">
        <f t="shared" si="41"/>
        <v>4.4431600000000007</v>
      </c>
      <c r="L160" s="121">
        <f t="shared" si="41"/>
        <v>4.4431600000000007</v>
      </c>
    </row>
    <row r="161" spans="1:12" x14ac:dyDescent="0.25">
      <c r="A161" s="149" t="s">
        <v>43</v>
      </c>
      <c r="C161" s="121">
        <f t="shared" si="40"/>
        <v>4.4431600000000007</v>
      </c>
      <c r="D161" s="121">
        <f t="shared" si="40"/>
        <v>4.4431600000000007</v>
      </c>
      <c r="E161" s="121">
        <f t="shared" si="40"/>
        <v>4.4431600000000007</v>
      </c>
      <c r="F161" s="121">
        <f t="shared" si="40"/>
        <v>4.4431600000000007</v>
      </c>
      <c r="G161" s="121">
        <f t="shared" si="40"/>
        <v>4.4431600000000007</v>
      </c>
      <c r="I161" s="121">
        <f>SUMPRODUCT($B$140:$B$156,I$140:I$156)+B143</f>
        <v>63.349999999999994</v>
      </c>
      <c r="J161" s="121">
        <f>SUMPRODUCT($B$140:$B$156,J$140:J$156)</f>
        <v>17.060000000000002</v>
      </c>
      <c r="K161" s="121">
        <f t="shared" si="41"/>
        <v>4.4431600000000007</v>
      </c>
      <c r="L161" s="121">
        <f t="shared" si="41"/>
        <v>4.4431600000000007</v>
      </c>
    </row>
    <row r="164" spans="1:12" ht="15.6" x14ac:dyDescent="0.3">
      <c r="B164" s="147" t="s">
        <v>299</v>
      </c>
      <c r="C164" s="147" t="s">
        <v>295</v>
      </c>
      <c r="D164" s="147" t="s">
        <v>300</v>
      </c>
      <c r="E164" s="147" t="s">
        <v>300</v>
      </c>
      <c r="F164" s="147" t="s">
        <v>300</v>
      </c>
      <c r="G164" s="147" t="s">
        <v>300</v>
      </c>
      <c r="K164" s="147" t="s">
        <v>300</v>
      </c>
      <c r="L164" s="147" t="s">
        <v>300</v>
      </c>
    </row>
    <row r="165" spans="1:12" x14ac:dyDescent="0.25">
      <c r="B165" s="151"/>
      <c r="C165" s="151"/>
      <c r="D165" s="151"/>
      <c r="E165" s="151"/>
      <c r="F165" s="151"/>
      <c r="G165" s="151"/>
      <c r="K165" s="151"/>
      <c r="L165" s="151"/>
    </row>
    <row r="166" spans="1:12" x14ac:dyDescent="0.25">
      <c r="B166" s="151"/>
      <c r="C166" s="151"/>
      <c r="D166" s="151"/>
      <c r="E166" s="151"/>
      <c r="F166" s="151"/>
      <c r="G166" s="151"/>
      <c r="K166" s="151"/>
      <c r="L166" s="151"/>
    </row>
    <row r="167" spans="1:12" x14ac:dyDescent="0.25">
      <c r="B167" s="151"/>
      <c r="C167" s="151"/>
      <c r="D167" s="151"/>
      <c r="E167" s="151"/>
      <c r="F167" s="151"/>
      <c r="G167" s="151"/>
      <c r="K167" s="151"/>
      <c r="L167" s="151"/>
    </row>
    <row r="168" spans="1:12" x14ac:dyDescent="0.25">
      <c r="B168" s="151"/>
      <c r="C168" s="151"/>
      <c r="D168" s="151"/>
      <c r="E168" s="151"/>
      <c r="F168" s="151"/>
      <c r="G168" s="151"/>
      <c r="K168" s="151"/>
      <c r="L168" s="151"/>
    </row>
    <row r="169" spans="1:12" x14ac:dyDescent="0.25">
      <c r="B169" s="151"/>
      <c r="C169" s="151">
        <v>0.15</v>
      </c>
      <c r="D169" s="151"/>
      <c r="E169" s="151"/>
      <c r="F169" s="151"/>
      <c r="G169" s="151"/>
      <c r="K169" s="151"/>
      <c r="L169" s="151"/>
    </row>
    <row r="170" spans="1:12" x14ac:dyDescent="0.25">
      <c r="B170" s="151"/>
      <c r="C170" s="151">
        <v>0.16666666666666666</v>
      </c>
      <c r="D170" s="151">
        <v>0.17</v>
      </c>
      <c r="E170" s="151">
        <v>0.17</v>
      </c>
      <c r="F170" s="151">
        <v>0.17</v>
      </c>
      <c r="G170" s="151">
        <v>0.17</v>
      </c>
      <c r="K170" s="151">
        <v>0.17</v>
      </c>
      <c r="L170" s="151">
        <v>0.17</v>
      </c>
    </row>
    <row r="171" spans="1:12" x14ac:dyDescent="0.25">
      <c r="B171" s="151"/>
      <c r="C171" s="151">
        <v>0.1</v>
      </c>
      <c r="D171" s="151">
        <v>0.1</v>
      </c>
      <c r="E171" s="151">
        <v>0.1</v>
      </c>
      <c r="F171" s="151">
        <v>0.1</v>
      </c>
      <c r="G171" s="151">
        <v>0.1</v>
      </c>
      <c r="K171" s="151">
        <v>0.1</v>
      </c>
      <c r="L171" s="151">
        <v>0.1</v>
      </c>
    </row>
    <row r="172" spans="1:12" x14ac:dyDescent="0.25">
      <c r="B172" s="151"/>
      <c r="C172" s="151"/>
      <c r="D172" s="151"/>
      <c r="E172" s="151"/>
      <c r="F172" s="151"/>
      <c r="G172" s="151"/>
      <c r="K172" s="151"/>
      <c r="L172" s="151"/>
    </row>
    <row r="173" spans="1:12" x14ac:dyDescent="0.25">
      <c r="B173" s="151"/>
      <c r="C173" s="151"/>
      <c r="D173" s="151"/>
      <c r="E173" s="151"/>
      <c r="F173" s="151"/>
      <c r="G173" s="151"/>
      <c r="K173" s="151"/>
      <c r="L173" s="151"/>
    </row>
    <row r="174" spans="1:12" x14ac:dyDescent="0.25">
      <c r="B174" s="151"/>
      <c r="C174" s="151"/>
      <c r="D174" s="151"/>
      <c r="E174" s="151"/>
      <c r="F174" s="151"/>
      <c r="G174" s="151"/>
      <c r="K174" s="151"/>
      <c r="L174" s="151"/>
    </row>
    <row r="175" spans="1:12" x14ac:dyDescent="0.25">
      <c r="B175" s="151"/>
      <c r="C175" s="151"/>
      <c r="D175" s="151"/>
      <c r="E175" s="151"/>
      <c r="F175" s="151"/>
      <c r="G175" s="151"/>
      <c r="K175" s="151"/>
      <c r="L175" s="151"/>
    </row>
    <row r="176" spans="1:12" x14ac:dyDescent="0.25">
      <c r="B176" s="151"/>
      <c r="C176" s="151"/>
      <c r="D176" s="151"/>
      <c r="E176" s="151"/>
      <c r="F176" s="151"/>
      <c r="G176" s="151"/>
      <c r="K176" s="151"/>
      <c r="L176" s="151"/>
    </row>
    <row r="177" spans="2:12" x14ac:dyDescent="0.25">
      <c r="B177" s="151"/>
      <c r="C177" s="151"/>
      <c r="D177" s="151"/>
      <c r="E177" s="151"/>
      <c r="F177" s="151"/>
      <c r="G177" s="151"/>
      <c r="K177" s="151"/>
      <c r="L177" s="151"/>
    </row>
    <row r="178" spans="2:12" x14ac:dyDescent="0.25">
      <c r="B178" s="151"/>
      <c r="C178" s="151"/>
      <c r="D178" s="151"/>
      <c r="E178" s="151"/>
      <c r="F178" s="151"/>
      <c r="G178" s="151"/>
      <c r="K178" s="151"/>
      <c r="L178" s="151"/>
    </row>
    <row r="179" spans="2:12" x14ac:dyDescent="0.25">
      <c r="B179" s="151">
        <v>2</v>
      </c>
      <c r="C179" s="151"/>
      <c r="D179" s="151"/>
      <c r="E179" s="151"/>
      <c r="F179" s="151"/>
      <c r="G179" s="151"/>
      <c r="K179" s="151"/>
      <c r="L179" s="151"/>
    </row>
    <row r="180" spans="2:12" x14ac:dyDescent="0.25">
      <c r="B180" s="151"/>
      <c r="C180" s="151"/>
      <c r="D180" s="151"/>
      <c r="E180" s="151"/>
      <c r="F180" s="151"/>
      <c r="G180" s="151"/>
      <c r="K180" s="151"/>
      <c r="L180" s="151"/>
    </row>
    <row r="181" spans="2:12" x14ac:dyDescent="0.25">
      <c r="B181" s="151">
        <v>2</v>
      </c>
      <c r="C181" s="151"/>
      <c r="D181" s="151"/>
      <c r="E181" s="151"/>
      <c r="F181" s="151"/>
      <c r="G181" s="151"/>
      <c r="K181" s="151"/>
      <c r="L181" s="151"/>
    </row>
    <row r="183" spans="2:12" x14ac:dyDescent="0.25">
      <c r="B183" s="121">
        <f t="shared" ref="B183:G186" si="42">SUMPRODUCT($B$140:$B$156,B$165:B$181)</f>
        <v>35.54</v>
      </c>
      <c r="C183" s="121">
        <f t="shared" si="42"/>
        <v>2.347</v>
      </c>
      <c r="D183" s="121">
        <f t="shared" si="42"/>
        <v>0.54420000000000002</v>
      </c>
      <c r="E183" s="121">
        <f t="shared" si="42"/>
        <v>0.54420000000000002</v>
      </c>
      <c r="F183" s="121">
        <f t="shared" si="42"/>
        <v>0.54420000000000002</v>
      </c>
      <c r="G183" s="121">
        <f t="shared" si="42"/>
        <v>0.54420000000000002</v>
      </c>
      <c r="K183" s="121">
        <f t="shared" ref="K183:L186" si="43">SUMPRODUCT($B$140:$B$156,K$165:K$181)</f>
        <v>0.54420000000000002</v>
      </c>
      <c r="L183" s="121">
        <f t="shared" si="43"/>
        <v>0.54420000000000002</v>
      </c>
    </row>
    <row r="184" spans="2:12" x14ac:dyDescent="0.25">
      <c r="B184" s="121">
        <f t="shared" si="42"/>
        <v>35.54</v>
      </c>
      <c r="C184" s="121">
        <f t="shared" si="42"/>
        <v>2.347</v>
      </c>
      <c r="D184" s="121">
        <f t="shared" si="42"/>
        <v>0.54420000000000002</v>
      </c>
      <c r="E184" s="121">
        <f t="shared" si="42"/>
        <v>0.54420000000000002</v>
      </c>
      <c r="F184" s="121">
        <f t="shared" si="42"/>
        <v>0.54420000000000002</v>
      </c>
      <c r="G184" s="121">
        <f t="shared" si="42"/>
        <v>0.54420000000000002</v>
      </c>
      <c r="K184" s="121">
        <f t="shared" si="43"/>
        <v>0.54420000000000002</v>
      </c>
      <c r="L184" s="121">
        <f t="shared" si="43"/>
        <v>0.54420000000000002</v>
      </c>
    </row>
    <row r="185" spans="2:12" x14ac:dyDescent="0.25">
      <c r="B185" s="121">
        <f t="shared" si="42"/>
        <v>35.54</v>
      </c>
      <c r="C185" s="121">
        <f t="shared" si="42"/>
        <v>2.347</v>
      </c>
      <c r="D185" s="121">
        <f t="shared" si="42"/>
        <v>0.54420000000000002</v>
      </c>
      <c r="E185" s="121">
        <f t="shared" si="42"/>
        <v>0.54420000000000002</v>
      </c>
      <c r="F185" s="121">
        <f t="shared" si="42"/>
        <v>0.54420000000000002</v>
      </c>
      <c r="G185" s="121">
        <f t="shared" si="42"/>
        <v>0.54420000000000002</v>
      </c>
      <c r="K185" s="121">
        <f t="shared" si="43"/>
        <v>0.54420000000000002</v>
      </c>
      <c r="L185" s="121">
        <f t="shared" si="43"/>
        <v>0.54420000000000002</v>
      </c>
    </row>
    <row r="186" spans="2:12" x14ac:dyDescent="0.25">
      <c r="B186" s="121">
        <f t="shared" si="42"/>
        <v>35.54</v>
      </c>
      <c r="C186" s="121">
        <f t="shared" si="42"/>
        <v>2.347</v>
      </c>
      <c r="D186" s="121">
        <f t="shared" si="42"/>
        <v>0.54420000000000002</v>
      </c>
      <c r="E186" s="121">
        <f t="shared" si="42"/>
        <v>0.54420000000000002</v>
      </c>
      <c r="F186" s="121">
        <f t="shared" si="42"/>
        <v>0.54420000000000002</v>
      </c>
      <c r="G186" s="121">
        <f t="shared" si="42"/>
        <v>0.54420000000000002</v>
      </c>
      <c r="K186" s="121">
        <f t="shared" si="43"/>
        <v>0.54420000000000002</v>
      </c>
      <c r="L186" s="121">
        <f t="shared" si="43"/>
        <v>0.54420000000000002</v>
      </c>
    </row>
  </sheetData>
  <mergeCells count="4">
    <mergeCell ref="I2:J2"/>
    <mergeCell ref="A3:C3"/>
    <mergeCell ref="A2:C2"/>
    <mergeCell ref="A13:C13"/>
  </mergeCells>
  <pageMargins left="1.43" right="0.75" top="0.44" bottom="0.73" header="0" footer="0"/>
  <pageSetup scale="95" orientation="portrait" horizontalDpi="180" verticalDpi="18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4"/>
  <sheetViews>
    <sheetView zoomScale="90" zoomScaleNormal="90" workbookViewId="0">
      <pane ySplit="10" topLeftCell="A66" activePane="bottomLeft" state="frozen"/>
      <selection pane="bottomLeft" activeCell="D28" sqref="D28"/>
    </sheetView>
  </sheetViews>
  <sheetFormatPr baseColWidth="10" defaultColWidth="11.44140625" defaultRowHeight="13.2" x14ac:dyDescent="0.25"/>
  <cols>
    <col min="1" max="1" width="30.88671875" style="25" customWidth="1"/>
    <col min="2" max="2" width="7.88671875" style="25" customWidth="1"/>
    <col min="3" max="3" width="8.88671875" style="25" customWidth="1"/>
    <col min="4" max="5" width="9.5546875" style="25" customWidth="1"/>
    <col min="6" max="6" width="2.33203125" style="64" customWidth="1"/>
    <col min="7" max="7" width="16.44140625" style="25" customWidth="1"/>
    <col min="8" max="8" width="9.88671875" style="25" customWidth="1"/>
    <col min="9" max="17" width="9.5546875" style="25" customWidth="1"/>
    <col min="18" max="16384" width="11.44140625" style="25"/>
  </cols>
  <sheetData>
    <row r="1" spans="1:17" ht="70.5" customHeight="1" thickBot="1" x14ac:dyDescent="0.4">
      <c r="A1" s="75"/>
      <c r="B1" s="76"/>
      <c r="C1" s="76"/>
    </row>
    <row r="2" spans="1:17" ht="18.600000000000001" x14ac:dyDescent="0.4">
      <c r="A2" s="223" t="s">
        <v>208</v>
      </c>
      <c r="B2" s="224"/>
      <c r="C2" s="225"/>
      <c r="D2" s="78" t="str">
        <f>IF(D8=1,"PC2H","VC2H")</f>
        <v>PC2H</v>
      </c>
      <c r="E2" s="78" t="str">
        <f>IF(E8=1,"PC4H","VC4H")</f>
        <v>PC4H</v>
      </c>
      <c r="F2" s="79"/>
      <c r="G2" s="210" t="s">
        <v>165</v>
      </c>
      <c r="H2" s="211"/>
      <c r="I2" s="78" t="str">
        <f>IF(I8=1,"PC2H","VC2H")</f>
        <v>VC2H</v>
      </c>
      <c r="J2" s="78" t="str">
        <f t="shared" ref="J2:P2" si="0">IF(J8=1,"PC2H","VC2H")</f>
        <v>VC2H</v>
      </c>
      <c r="K2" s="78" t="str">
        <f t="shared" si="0"/>
        <v>VC2H</v>
      </c>
      <c r="L2" s="78" t="str">
        <f t="shared" si="0"/>
        <v>VC2H</v>
      </c>
      <c r="M2" s="78" t="str">
        <f t="shared" si="0"/>
        <v>VC2H</v>
      </c>
      <c r="N2" s="78" t="str">
        <f t="shared" si="0"/>
        <v>VC2H</v>
      </c>
      <c r="O2" s="78" t="str">
        <f t="shared" si="0"/>
        <v>VC2H</v>
      </c>
      <c r="P2" s="78" t="str">
        <f t="shared" si="0"/>
        <v>VC2H</v>
      </c>
      <c r="Q2" s="78" t="str">
        <f>IF(Q8=1,"PC2H","VC2H")</f>
        <v>PC2H</v>
      </c>
    </row>
    <row r="3" spans="1:17" s="84" customFormat="1" ht="45" customHeight="1" x14ac:dyDescent="0.25">
      <c r="A3" s="220" t="s">
        <v>266</v>
      </c>
      <c r="B3" s="221"/>
      <c r="C3" s="222"/>
      <c r="D3" s="80" t="str">
        <f>IF(D10=8,"8 mm.","10 mm.")</f>
        <v>10 mm.</v>
      </c>
      <c r="E3" s="80" t="str">
        <f>IF(E10=8,"8 mm.","10 mm.")</f>
        <v>8 mm.</v>
      </c>
      <c r="F3" s="81"/>
      <c r="G3" s="82"/>
      <c r="H3" s="83"/>
      <c r="I3" s="80" t="str">
        <f>IF(I10=8,"8 mm.","10 mm.")</f>
        <v>10 mm.</v>
      </c>
      <c r="J3" s="80" t="str">
        <f t="shared" ref="J3:P3" si="1">IF(J10=8,"8 mm.","10 mm.")</f>
        <v>10 mm.</v>
      </c>
      <c r="K3" s="80" t="str">
        <f t="shared" si="1"/>
        <v>10 mm.</v>
      </c>
      <c r="L3" s="80" t="str">
        <f t="shared" si="1"/>
        <v>10 mm.</v>
      </c>
      <c r="M3" s="80" t="str">
        <f t="shared" si="1"/>
        <v>10 mm.</v>
      </c>
      <c r="N3" s="80" t="str">
        <f t="shared" si="1"/>
        <v>10 mm.</v>
      </c>
      <c r="O3" s="80" t="str">
        <f t="shared" si="1"/>
        <v>10 mm.</v>
      </c>
      <c r="P3" s="80" t="str">
        <f t="shared" si="1"/>
        <v>10 mm.</v>
      </c>
      <c r="Q3" s="80" t="str">
        <f>IF(Q10=8,"8 mm.","10 mm.")</f>
        <v>10 mm.</v>
      </c>
    </row>
    <row r="4" spans="1:17" s="85" customFormat="1" ht="13.8" thickBot="1" x14ac:dyDescent="0.3">
      <c r="A4" s="85" t="s">
        <v>166</v>
      </c>
      <c r="C4" s="86"/>
      <c r="D4" s="87" t="str">
        <f>IF(D9=1,"INCOLORO","COLOR")</f>
        <v>INCOLORO</v>
      </c>
      <c r="E4" s="87" t="str">
        <f>IF(E9=1,"INCOLORO","COLOR")</f>
        <v>INCOLORO</v>
      </c>
      <c r="F4" s="88"/>
      <c r="G4" s="89"/>
      <c r="H4" s="90"/>
      <c r="I4" s="87" t="str">
        <f>IF(I9=1,"INCOLORO","COLOR")</f>
        <v>INCOLORO</v>
      </c>
      <c r="J4" s="87" t="str">
        <f t="shared" ref="J4:P4" si="2">IF(J9=1,"INCOLORO","COLOR")</f>
        <v>INCOLORO</v>
      </c>
      <c r="K4" s="87" t="str">
        <f t="shared" si="2"/>
        <v>INCOLORO</v>
      </c>
      <c r="L4" s="87" t="str">
        <f t="shared" si="2"/>
        <v>INCOLORO</v>
      </c>
      <c r="M4" s="87" t="str">
        <f t="shared" si="2"/>
        <v>INCOLORO</v>
      </c>
      <c r="N4" s="87" t="str">
        <f t="shared" si="2"/>
        <v>INCOLORO</v>
      </c>
      <c r="O4" s="87" t="str">
        <f t="shared" si="2"/>
        <v>INCOLORO</v>
      </c>
      <c r="P4" s="87" t="str">
        <f t="shared" si="2"/>
        <v>INCOLORO</v>
      </c>
      <c r="Q4" s="87" t="str">
        <f>IF(Q9=1,"INCOLORO","COLOR")</f>
        <v>INCOLORO</v>
      </c>
    </row>
    <row r="5" spans="1:17" ht="15.6" x14ac:dyDescent="0.3">
      <c r="A5" s="91" t="s">
        <v>167</v>
      </c>
      <c r="B5" s="92"/>
      <c r="C5" s="107"/>
      <c r="D5" s="28">
        <v>1</v>
      </c>
      <c r="E5" s="108">
        <v>1</v>
      </c>
      <c r="F5" s="94"/>
      <c r="G5" s="95"/>
      <c r="H5" s="96"/>
      <c r="I5" s="28">
        <v>1.9950000000000001</v>
      </c>
      <c r="J5" s="28">
        <v>2</v>
      </c>
      <c r="K5" s="28">
        <v>1.2</v>
      </c>
      <c r="L5" s="28">
        <v>2</v>
      </c>
      <c r="M5" s="28">
        <v>1.69</v>
      </c>
      <c r="N5" s="28">
        <v>1.51</v>
      </c>
      <c r="O5" s="28">
        <v>0.70499999999999996</v>
      </c>
      <c r="P5" s="28">
        <v>1.47</v>
      </c>
      <c r="Q5" s="28">
        <v>1.72</v>
      </c>
    </row>
    <row r="6" spans="1:17" ht="15.6" x14ac:dyDescent="0.3">
      <c r="A6" s="97" t="s">
        <v>168</v>
      </c>
      <c r="B6" s="98"/>
      <c r="C6" s="109"/>
      <c r="D6" s="28">
        <v>1</v>
      </c>
      <c r="E6" s="108">
        <v>1</v>
      </c>
      <c r="F6" s="94"/>
      <c r="G6" s="95"/>
      <c r="H6" s="96"/>
      <c r="I6" s="28">
        <v>0.745</v>
      </c>
      <c r="J6" s="28">
        <v>1.5</v>
      </c>
      <c r="K6" s="28">
        <v>1.0249999999999999</v>
      </c>
      <c r="L6" s="28">
        <v>1.48</v>
      </c>
      <c r="M6" s="28">
        <v>1.5</v>
      </c>
      <c r="N6" s="28">
        <v>1.4350000000000001</v>
      </c>
      <c r="O6" s="28">
        <v>0.505</v>
      </c>
      <c r="P6" s="28">
        <v>2</v>
      </c>
      <c r="Q6" s="28">
        <v>2.1</v>
      </c>
    </row>
    <row r="7" spans="1:17" ht="15.6" x14ac:dyDescent="0.3">
      <c r="A7" s="97" t="s">
        <v>169</v>
      </c>
      <c r="B7" s="98"/>
      <c r="C7" s="109"/>
      <c r="D7" s="28">
        <v>1</v>
      </c>
      <c r="E7" s="28">
        <v>1</v>
      </c>
      <c r="F7" s="94"/>
      <c r="G7" s="23">
        <f>SUM(I7:IV7)</f>
        <v>9</v>
      </c>
      <c r="H7" s="24" t="s">
        <v>220</v>
      </c>
      <c r="I7" s="28">
        <v>1</v>
      </c>
      <c r="J7" s="28">
        <v>1</v>
      </c>
      <c r="K7" s="28">
        <v>1</v>
      </c>
      <c r="L7" s="28">
        <v>1</v>
      </c>
      <c r="M7" s="28">
        <v>1</v>
      </c>
      <c r="N7" s="28">
        <v>1</v>
      </c>
      <c r="O7" s="28">
        <v>1</v>
      </c>
      <c r="P7" s="28">
        <v>1</v>
      </c>
      <c r="Q7" s="28">
        <v>1</v>
      </c>
    </row>
    <row r="8" spans="1:17" ht="15.6" x14ac:dyDescent="0.3">
      <c r="A8" s="100" t="s">
        <v>209</v>
      </c>
      <c r="B8" s="98"/>
      <c r="C8" s="109"/>
      <c r="D8" s="28">
        <v>1</v>
      </c>
      <c r="E8" s="28">
        <v>1</v>
      </c>
      <c r="F8" s="94"/>
      <c r="G8" s="23"/>
      <c r="H8" s="24"/>
      <c r="I8" s="28">
        <v>2</v>
      </c>
      <c r="J8" s="28">
        <v>2</v>
      </c>
      <c r="K8" s="28">
        <v>2</v>
      </c>
      <c r="L8" s="28">
        <v>2</v>
      </c>
      <c r="M8" s="28">
        <v>2</v>
      </c>
      <c r="N8" s="28">
        <v>2</v>
      </c>
      <c r="O8" s="28">
        <v>2</v>
      </c>
      <c r="P8" s="28">
        <v>2</v>
      </c>
      <c r="Q8" s="28">
        <v>1</v>
      </c>
    </row>
    <row r="9" spans="1:17" ht="15.6" x14ac:dyDescent="0.3">
      <c r="A9" s="100" t="s">
        <v>186</v>
      </c>
      <c r="B9" s="98"/>
      <c r="C9" s="109"/>
      <c r="D9" s="28">
        <v>1</v>
      </c>
      <c r="E9" s="28">
        <v>1</v>
      </c>
      <c r="F9" s="94"/>
      <c r="G9" s="23"/>
      <c r="H9" s="24"/>
      <c r="I9" s="28">
        <v>1</v>
      </c>
      <c r="J9" s="28">
        <v>1</v>
      </c>
      <c r="K9" s="28">
        <v>1</v>
      </c>
      <c r="L9" s="28">
        <v>1</v>
      </c>
      <c r="M9" s="28">
        <v>1</v>
      </c>
      <c r="N9" s="28">
        <v>1</v>
      </c>
      <c r="O9" s="28">
        <v>1</v>
      </c>
      <c r="P9" s="28">
        <v>1</v>
      </c>
      <c r="Q9" s="28">
        <v>1</v>
      </c>
    </row>
    <row r="10" spans="1:17" ht="16.2" thickBot="1" x14ac:dyDescent="0.35">
      <c r="A10" s="101" t="s">
        <v>207</v>
      </c>
      <c r="B10" s="102"/>
      <c r="C10" s="110"/>
      <c r="D10" s="28">
        <v>10</v>
      </c>
      <c r="E10" s="28">
        <v>8</v>
      </c>
      <c r="F10" s="94"/>
      <c r="G10" s="23"/>
      <c r="H10" s="24"/>
      <c r="I10" s="28">
        <v>10</v>
      </c>
      <c r="J10" s="28">
        <v>10</v>
      </c>
      <c r="K10" s="28">
        <v>10</v>
      </c>
      <c r="L10" s="28">
        <v>10</v>
      </c>
      <c r="M10" s="28">
        <v>10</v>
      </c>
      <c r="N10" s="28">
        <v>10</v>
      </c>
      <c r="O10" s="28">
        <v>10</v>
      </c>
      <c r="P10" s="28">
        <v>10</v>
      </c>
      <c r="Q10" s="28">
        <v>10</v>
      </c>
    </row>
    <row r="11" spans="1:17" ht="15.6" x14ac:dyDescent="0.3">
      <c r="A11" s="105" t="s">
        <v>170</v>
      </c>
      <c r="B11" s="41"/>
      <c r="C11" s="106" t="s">
        <v>219</v>
      </c>
      <c r="D11" s="21">
        <f>+D48</f>
        <v>116.9145</v>
      </c>
      <c r="E11" s="21">
        <f>+E48</f>
        <v>138.81906000000001</v>
      </c>
      <c r="F11" s="22"/>
      <c r="G11" s="23">
        <f>SUM(I11:IV11)</f>
        <v>1573.6437860000001</v>
      </c>
      <c r="H11" s="24" t="s">
        <v>171</v>
      </c>
      <c r="I11" s="21">
        <f>+I48</f>
        <v>138.65044100000003</v>
      </c>
      <c r="J11" s="21">
        <f t="shared" ref="J11:P11" si="3">+J48</f>
        <v>218.52258999999998</v>
      </c>
      <c r="K11" s="21">
        <f t="shared" si="3"/>
        <v>111.90335649999996</v>
      </c>
      <c r="L11" s="21">
        <f t="shared" si="3"/>
        <v>216.41433359999999</v>
      </c>
      <c r="M11" s="21">
        <f t="shared" si="3"/>
        <v>189.46266920000005</v>
      </c>
      <c r="N11" s="21">
        <f t="shared" si="3"/>
        <v>167.28333250000006</v>
      </c>
      <c r="O11" s="21">
        <f t="shared" si="3"/>
        <v>54.786362000000004</v>
      </c>
      <c r="P11" s="21">
        <f t="shared" si="3"/>
        <v>208.68280959999998</v>
      </c>
      <c r="Q11" s="21">
        <f>+Q48</f>
        <v>267.9378916</v>
      </c>
    </row>
    <row r="12" spans="1:17" ht="15.6" x14ac:dyDescent="0.3">
      <c r="A12" s="26" t="s">
        <v>172</v>
      </c>
      <c r="B12" s="20"/>
      <c r="C12" s="27"/>
      <c r="D12" s="28">
        <f>+D5*D6*D$7</f>
        <v>1</v>
      </c>
      <c r="E12" s="108">
        <f>+E5*E6*E$7</f>
        <v>1</v>
      </c>
      <c r="F12" s="29"/>
      <c r="G12" s="23">
        <f>SUM(I12:IV12)</f>
        <v>20.286149999999999</v>
      </c>
      <c r="H12" s="24" t="s">
        <v>36</v>
      </c>
      <c r="I12" s="28">
        <f>+I5*I6*I$7</f>
        <v>1.486275</v>
      </c>
      <c r="J12" s="28">
        <f t="shared" ref="J12:P12" si="4">+J5*J6*J$7</f>
        <v>3</v>
      </c>
      <c r="K12" s="28">
        <f t="shared" si="4"/>
        <v>1.2299999999999998</v>
      </c>
      <c r="L12" s="28">
        <f t="shared" si="4"/>
        <v>2.96</v>
      </c>
      <c r="M12" s="28">
        <f t="shared" si="4"/>
        <v>2.5350000000000001</v>
      </c>
      <c r="N12" s="28">
        <f t="shared" si="4"/>
        <v>2.1668500000000002</v>
      </c>
      <c r="O12" s="28">
        <f t="shared" si="4"/>
        <v>0.35602499999999998</v>
      </c>
      <c r="P12" s="28">
        <f t="shared" si="4"/>
        <v>2.94</v>
      </c>
      <c r="Q12" s="28">
        <f>+Q5*Q6*Q$7</f>
        <v>3.6120000000000001</v>
      </c>
    </row>
    <row r="13" spans="1:17" ht="15.6" x14ac:dyDescent="0.3">
      <c r="A13" s="26" t="s">
        <v>173</v>
      </c>
      <c r="B13" s="20"/>
      <c r="C13" s="27"/>
      <c r="D13" s="21">
        <f>+D11/D12</f>
        <v>116.9145</v>
      </c>
      <c r="E13" s="111">
        <f>+E11/E12</f>
        <v>138.81906000000001</v>
      </c>
      <c r="F13" s="22"/>
      <c r="G13" s="23">
        <f>+G11/G12</f>
        <v>77.572323284605517</v>
      </c>
      <c r="H13" s="24" t="s">
        <v>174</v>
      </c>
      <c r="I13" s="21">
        <f>+I11/I12</f>
        <v>93.287205261475862</v>
      </c>
      <c r="J13" s="21">
        <f t="shared" ref="J13:Q13" si="5">+J11/J12</f>
        <v>72.840863333333331</v>
      </c>
      <c r="K13" s="21">
        <f t="shared" si="5"/>
        <v>90.978338617886166</v>
      </c>
      <c r="L13" s="21">
        <f t="shared" si="5"/>
        <v>73.112950540540538</v>
      </c>
      <c r="M13" s="21">
        <f t="shared" si="5"/>
        <v>74.738725522682458</v>
      </c>
      <c r="N13" s="21">
        <f t="shared" si="5"/>
        <v>77.201159517271634</v>
      </c>
      <c r="O13" s="21">
        <f t="shared" si="5"/>
        <v>153.88346885752406</v>
      </c>
      <c r="P13" s="21">
        <f t="shared" si="5"/>
        <v>70.980547482993188</v>
      </c>
      <c r="Q13" s="21">
        <f t="shared" si="5"/>
        <v>74.179925692137317</v>
      </c>
    </row>
    <row r="14" spans="1:17" ht="15.6" x14ac:dyDescent="0.3">
      <c r="A14" s="26" t="s">
        <v>175</v>
      </c>
      <c r="B14" s="20"/>
      <c r="C14" s="27"/>
      <c r="D14" s="21">
        <f>+D75</f>
        <v>108.5535</v>
      </c>
      <c r="E14" s="21">
        <f>+E75</f>
        <v>128.68206000000001</v>
      </c>
      <c r="F14" s="22"/>
      <c r="G14" s="23">
        <f>SUM(I14:IV14)</f>
        <v>1460.5355749999999</v>
      </c>
      <c r="H14" s="24" t="s">
        <v>171</v>
      </c>
      <c r="I14" s="21">
        <f>+I75</f>
        <v>129.8661075</v>
      </c>
      <c r="J14" s="21">
        <f t="shared" ref="J14:P14" si="6">+J75</f>
        <v>202.70008999999999</v>
      </c>
      <c r="K14" s="21">
        <f t="shared" si="6"/>
        <v>104.30228149999998</v>
      </c>
      <c r="L14" s="21">
        <f t="shared" si="6"/>
        <v>200.77781359999997</v>
      </c>
      <c r="M14" s="21">
        <f t="shared" si="6"/>
        <v>175.78288919999997</v>
      </c>
      <c r="N14" s="21">
        <f t="shared" si="6"/>
        <v>155.3075485</v>
      </c>
      <c r="O14" s="21">
        <f t="shared" si="6"/>
        <v>51.317503499999994</v>
      </c>
      <c r="P14" s="21">
        <f t="shared" si="6"/>
        <v>193.07726959999994</v>
      </c>
      <c r="Q14" s="21">
        <f>+Q75</f>
        <v>247.40407160000001</v>
      </c>
    </row>
    <row r="15" spans="1:17" ht="15.6" x14ac:dyDescent="0.3">
      <c r="A15" s="26" t="s">
        <v>176</v>
      </c>
      <c r="B15" s="20"/>
      <c r="C15" s="27"/>
      <c r="D15" s="21">
        <f>+D14/D12</f>
        <v>108.5535</v>
      </c>
      <c r="E15" s="111">
        <f>+E14/E12</f>
        <v>128.68206000000001</v>
      </c>
      <c r="F15" s="22"/>
      <c r="G15" s="23">
        <f>+G14/G12</f>
        <v>71.996686162726789</v>
      </c>
      <c r="H15" s="24" t="s">
        <v>174</v>
      </c>
      <c r="I15" s="21">
        <f>+I14/I12</f>
        <v>87.376903668567394</v>
      </c>
      <c r="J15" s="21">
        <f t="shared" ref="J15:Q15" si="7">+J14/J12</f>
        <v>67.566696666666658</v>
      </c>
      <c r="K15" s="21">
        <f t="shared" si="7"/>
        <v>84.79860284552845</v>
      </c>
      <c r="L15" s="21">
        <f t="shared" si="7"/>
        <v>67.830342432432431</v>
      </c>
      <c r="M15" s="21">
        <f t="shared" si="7"/>
        <v>69.342362603550285</v>
      </c>
      <c r="N15" s="21">
        <f t="shared" si="7"/>
        <v>71.674342247963622</v>
      </c>
      <c r="O15" s="21">
        <f t="shared" si="7"/>
        <v>144.14016852749103</v>
      </c>
      <c r="P15" s="21">
        <f t="shared" si="7"/>
        <v>65.672540680272093</v>
      </c>
      <c r="Q15" s="21">
        <f t="shared" si="7"/>
        <v>68.495036434108528</v>
      </c>
    </row>
    <row r="16" spans="1:17" ht="15.6" x14ac:dyDescent="0.3">
      <c r="A16" s="26" t="s">
        <v>177</v>
      </c>
      <c r="B16" s="20"/>
      <c r="C16" s="27"/>
      <c r="D16" s="21"/>
      <c r="E16" s="111"/>
      <c r="F16" s="22"/>
      <c r="G16" s="23"/>
      <c r="H16" s="24"/>
      <c r="I16" s="21"/>
      <c r="J16" s="21"/>
      <c r="K16" s="21"/>
      <c r="L16" s="21"/>
      <c r="M16" s="21"/>
      <c r="N16" s="21"/>
      <c r="O16" s="21"/>
      <c r="P16" s="21"/>
      <c r="Q16" s="21"/>
    </row>
    <row r="17" spans="1:17" ht="15.6" x14ac:dyDescent="0.3">
      <c r="A17" s="30" t="s">
        <v>178</v>
      </c>
      <c r="B17" s="31"/>
      <c r="C17" s="32"/>
      <c r="D17" s="33">
        <f>+(D11-D14)/D11</f>
        <v>7.151379854509067E-2</v>
      </c>
      <c r="E17" s="112">
        <f>+(E11-E14)/E11</f>
        <v>7.3023113684821089E-2</v>
      </c>
      <c r="F17" s="34"/>
      <c r="G17" s="35">
        <f>ROUNDDOWN(+(G11-G14)/G11,2)</f>
        <v>7.0000000000000007E-2</v>
      </c>
      <c r="H17" s="36"/>
      <c r="I17" s="33">
        <f>+(I11-I14)/I11</f>
        <v>6.3355972304480659E-2</v>
      </c>
      <c r="J17" s="33">
        <f t="shared" ref="J17:P17" si="8">+(J11-J14)/J11</f>
        <v>7.2406701751063784E-2</v>
      </c>
      <c r="K17" s="33">
        <f t="shared" si="8"/>
        <v>6.7925353070173403E-2</v>
      </c>
      <c r="L17" s="33">
        <f t="shared" si="8"/>
        <v>7.2252700363651043E-2</v>
      </c>
      <c r="M17" s="33">
        <f t="shared" si="8"/>
        <v>7.2203036396365064E-2</v>
      </c>
      <c r="N17" s="33">
        <f t="shared" si="8"/>
        <v>7.1589822016488447E-2</v>
      </c>
      <c r="O17" s="33">
        <f t="shared" si="8"/>
        <v>6.331609497998808E-2</v>
      </c>
      <c r="P17" s="33">
        <f t="shared" si="8"/>
        <v>7.4781147665744521E-2</v>
      </c>
      <c r="Q17" s="33">
        <f>+(Q11-Q14)/Q11</f>
        <v>7.6636491678655841E-2</v>
      </c>
    </row>
    <row r="18" spans="1:17" ht="15.6" x14ac:dyDescent="0.3">
      <c r="A18" s="37"/>
      <c r="B18" s="31"/>
      <c r="C18" s="38"/>
      <c r="D18" s="39"/>
      <c r="E18" s="39"/>
      <c r="F18" s="40"/>
      <c r="G18" s="117">
        <f>+G11+'Pano Fijo'!F12+('Costo M.P.yMat.'!I15*4)</f>
        <v>1688.5200190000003</v>
      </c>
      <c r="H18" s="39"/>
      <c r="I18" s="39"/>
      <c r="J18" s="39"/>
      <c r="K18" s="39"/>
      <c r="L18" s="39"/>
      <c r="M18" s="39"/>
      <c r="N18" s="39"/>
      <c r="O18" s="39"/>
      <c r="P18" s="39"/>
      <c r="Q18" s="39"/>
    </row>
    <row r="19" spans="1:17" x14ac:dyDescent="0.25">
      <c r="A19" s="41" t="s">
        <v>179</v>
      </c>
      <c r="B19" s="42"/>
      <c r="C19" s="43"/>
      <c r="D19" s="44"/>
      <c r="E19" s="44"/>
      <c r="F19" s="45"/>
      <c r="G19" s="42"/>
      <c r="H19" s="42"/>
      <c r="I19" s="44"/>
      <c r="J19" s="44"/>
      <c r="K19" s="44"/>
      <c r="L19" s="44"/>
      <c r="M19" s="44"/>
      <c r="N19" s="44"/>
      <c r="O19" s="44"/>
      <c r="P19" s="44"/>
      <c r="Q19" s="44"/>
    </row>
    <row r="20" spans="1:17" x14ac:dyDescent="0.25">
      <c r="A20" s="46" t="s">
        <v>180</v>
      </c>
      <c r="B20" s="47"/>
      <c r="C20" s="48" t="s">
        <v>2</v>
      </c>
      <c r="D20" s="49" t="str">
        <f>+D2</f>
        <v>PC2H</v>
      </c>
      <c r="E20" s="49" t="str">
        <f>+E2</f>
        <v>PC4H</v>
      </c>
      <c r="F20" s="50"/>
      <c r="G20" s="51" t="s">
        <v>181</v>
      </c>
      <c r="H20" s="52" t="s">
        <v>2</v>
      </c>
      <c r="I20" s="49" t="str">
        <f>+I2</f>
        <v>VC2H</v>
      </c>
      <c r="J20" s="49" t="str">
        <f t="shared" ref="J20:P20" si="9">+J2</f>
        <v>VC2H</v>
      </c>
      <c r="K20" s="49" t="str">
        <f t="shared" si="9"/>
        <v>VC2H</v>
      </c>
      <c r="L20" s="49" t="str">
        <f t="shared" si="9"/>
        <v>VC2H</v>
      </c>
      <c r="M20" s="49" t="str">
        <f t="shared" si="9"/>
        <v>VC2H</v>
      </c>
      <c r="N20" s="49" t="str">
        <f t="shared" si="9"/>
        <v>VC2H</v>
      </c>
      <c r="O20" s="49" t="str">
        <f t="shared" si="9"/>
        <v>VC2H</v>
      </c>
      <c r="P20" s="49" t="str">
        <f t="shared" si="9"/>
        <v>VC2H</v>
      </c>
      <c r="Q20" s="49" t="str">
        <f>+Q2</f>
        <v>PC2H</v>
      </c>
    </row>
    <row r="21" spans="1:17" ht="15.6" x14ac:dyDescent="0.3">
      <c r="A21" s="53" t="s">
        <v>35</v>
      </c>
      <c r="B21" s="54"/>
      <c r="C21" s="55" t="s">
        <v>36</v>
      </c>
      <c r="D21" s="56">
        <f>IF(D$9=1,IF(D$10=10,((D$6*0.05)+(D$5*D$6))*D$7,0),0)</f>
        <v>1.05</v>
      </c>
      <c r="E21" s="56">
        <f>IF(E$9=1,IF(E$10=10,((E$6*0.05)+(E$5*E$6))*E$7,0),0)</f>
        <v>0</v>
      </c>
      <c r="F21" s="57"/>
      <c r="G21" s="58">
        <f t="shared" ref="G21:G27" si="10">ROUNDUP(SUM(I21:IV21),1)</f>
        <v>21</v>
      </c>
      <c r="H21" s="59" t="s">
        <v>36</v>
      </c>
      <c r="I21" s="56">
        <f>IF(I$9=1,IF(I$10=10,((I$6*0.05)+(I$5*I$6))*I$7,0),0)</f>
        <v>1.523525</v>
      </c>
      <c r="J21" s="56">
        <f t="shared" ref="J21:Q21" si="11">IF(J$9=1,IF(J$10=10,((J$6*0.05)+(J$5*J$6))*J$7,0),0)</f>
        <v>3.0750000000000002</v>
      </c>
      <c r="K21" s="56">
        <f t="shared" si="11"/>
        <v>1.2812499999999998</v>
      </c>
      <c r="L21" s="56">
        <f t="shared" si="11"/>
        <v>3.0339999999999998</v>
      </c>
      <c r="M21" s="56">
        <f t="shared" si="11"/>
        <v>2.6100000000000003</v>
      </c>
      <c r="N21" s="56">
        <f t="shared" si="11"/>
        <v>2.2386000000000004</v>
      </c>
      <c r="O21" s="56">
        <f t="shared" si="11"/>
        <v>0.38127499999999998</v>
      </c>
      <c r="P21" s="56">
        <f t="shared" si="11"/>
        <v>3.04</v>
      </c>
      <c r="Q21" s="56">
        <f t="shared" si="11"/>
        <v>3.7170000000000001</v>
      </c>
    </row>
    <row r="22" spans="1:17" ht="15.6" x14ac:dyDescent="0.3">
      <c r="A22" s="53" t="s">
        <v>42</v>
      </c>
      <c r="B22" s="54"/>
      <c r="C22" s="55" t="s">
        <v>36</v>
      </c>
      <c r="D22" s="56">
        <f>IF(D$9=2,IF(D$10=10,((D$6*0.05)+(D$5*D$6))*D$7,0),0)</f>
        <v>0</v>
      </c>
      <c r="E22" s="56">
        <f>IF(E$9=2,IF(E$10=10,((E$6*0.05)+(E$5*E$6))*E$7,0),0)</f>
        <v>0</v>
      </c>
      <c r="F22" s="57"/>
      <c r="G22" s="58">
        <f t="shared" si="10"/>
        <v>0</v>
      </c>
      <c r="H22" s="59" t="s">
        <v>36</v>
      </c>
      <c r="I22" s="56">
        <f>IF(I$9=2,IF(I$10=10,((I$6*0.05)+(I$5*I$6))*I$7,0),0)</f>
        <v>0</v>
      </c>
      <c r="J22" s="56">
        <f t="shared" ref="J22:Q22" si="12">IF(J$9=2,IF(J$10=10,((J$6*0.05)+(J$5*J$6))*J$7,0),0)</f>
        <v>0</v>
      </c>
      <c r="K22" s="56">
        <f t="shared" si="12"/>
        <v>0</v>
      </c>
      <c r="L22" s="56">
        <f t="shared" si="12"/>
        <v>0</v>
      </c>
      <c r="M22" s="56">
        <f t="shared" si="12"/>
        <v>0</v>
      </c>
      <c r="N22" s="56">
        <f t="shared" si="12"/>
        <v>0</v>
      </c>
      <c r="O22" s="56">
        <f t="shared" si="12"/>
        <v>0</v>
      </c>
      <c r="P22" s="56">
        <f t="shared" si="12"/>
        <v>0</v>
      </c>
      <c r="Q22" s="56">
        <f t="shared" si="12"/>
        <v>0</v>
      </c>
    </row>
    <row r="23" spans="1:17" ht="15.6" x14ac:dyDescent="0.3">
      <c r="A23" s="53" t="s">
        <v>38</v>
      </c>
      <c r="B23" s="54"/>
      <c r="C23" s="55" t="s">
        <v>36</v>
      </c>
      <c r="D23" s="56">
        <f>IF(D$9=1,IF(D$10=8,((D$6*0.05)+(D$5*D$6))*D$7,0),0)</f>
        <v>0</v>
      </c>
      <c r="E23" s="56">
        <f>IF(E$9=1,IF(E$10=8,((E$6*0.05)+(E$5*E$6))*E$7,0),0)</f>
        <v>1.05</v>
      </c>
      <c r="F23" s="57"/>
      <c r="G23" s="58">
        <f t="shared" si="10"/>
        <v>0</v>
      </c>
      <c r="H23" s="59" t="s">
        <v>36</v>
      </c>
      <c r="I23" s="56">
        <f>IF(I$9=1,IF(I$10=8,((I$6*0.05)+(I$5*I$6))*I$7,0),0)</f>
        <v>0</v>
      </c>
      <c r="J23" s="56">
        <f t="shared" ref="J23:Q23" si="13">IF(J$9=1,IF(J$10=8,((J$6*0.05)+(J$5*J$6))*J$7,0),0)</f>
        <v>0</v>
      </c>
      <c r="K23" s="56">
        <f t="shared" si="13"/>
        <v>0</v>
      </c>
      <c r="L23" s="56">
        <f t="shared" si="13"/>
        <v>0</v>
      </c>
      <c r="M23" s="56">
        <f t="shared" si="13"/>
        <v>0</v>
      </c>
      <c r="N23" s="56">
        <f t="shared" si="13"/>
        <v>0</v>
      </c>
      <c r="O23" s="56">
        <f t="shared" si="13"/>
        <v>0</v>
      </c>
      <c r="P23" s="56">
        <f t="shared" si="13"/>
        <v>0</v>
      </c>
      <c r="Q23" s="56">
        <f t="shared" si="13"/>
        <v>0</v>
      </c>
    </row>
    <row r="24" spans="1:17" ht="15.6" x14ac:dyDescent="0.3">
      <c r="A24" s="53" t="s">
        <v>43</v>
      </c>
      <c r="B24" s="54"/>
      <c r="C24" s="55" t="s">
        <v>36</v>
      </c>
      <c r="D24" s="56">
        <f>IF(D$9=2,IF(D$10=8,((D$6*0.05)+(D$5*D$6))*D$7,0),0)</f>
        <v>0</v>
      </c>
      <c r="E24" s="56">
        <f>IF(E$9=2,IF(E$10=8,((E$6*0.05)+(E$5*E$6))*E$7,0),0)</f>
        <v>0</v>
      </c>
      <c r="F24" s="57"/>
      <c r="G24" s="58">
        <f t="shared" si="10"/>
        <v>0</v>
      </c>
      <c r="H24" s="59" t="s">
        <v>36</v>
      </c>
      <c r="I24" s="56">
        <f>IF(I$9=2,IF(I$10=8,((I$6*0.05)+(I$5*I$6))*I$7,0),0)</f>
        <v>0</v>
      </c>
      <c r="J24" s="56">
        <f t="shared" ref="J24:Q24" si="14">IF(J$9=2,IF(J$10=8,((J$6*0.05)+(J$5*J$6))*J$7,0),0)</f>
        <v>0</v>
      </c>
      <c r="K24" s="56">
        <f t="shared" si="14"/>
        <v>0</v>
      </c>
      <c r="L24" s="56">
        <f t="shared" si="14"/>
        <v>0</v>
      </c>
      <c r="M24" s="56">
        <f t="shared" si="14"/>
        <v>0</v>
      </c>
      <c r="N24" s="56">
        <f t="shared" si="14"/>
        <v>0</v>
      </c>
      <c r="O24" s="56">
        <f t="shared" si="14"/>
        <v>0</v>
      </c>
      <c r="P24" s="56">
        <f t="shared" si="14"/>
        <v>0</v>
      </c>
      <c r="Q24" s="56">
        <f t="shared" si="14"/>
        <v>0</v>
      </c>
    </row>
    <row r="25" spans="1:17" ht="15.6" x14ac:dyDescent="0.3">
      <c r="A25" s="53" t="s">
        <v>189</v>
      </c>
      <c r="B25" s="54"/>
      <c r="C25" s="55" t="s">
        <v>36</v>
      </c>
      <c r="D25" s="56">
        <f>+D12</f>
        <v>1</v>
      </c>
      <c r="E25" s="56">
        <f>+E12</f>
        <v>1</v>
      </c>
      <c r="F25" s="57"/>
      <c r="G25" s="58">
        <f t="shared" si="10"/>
        <v>20.3</v>
      </c>
      <c r="H25" s="55" t="s">
        <v>36</v>
      </c>
      <c r="I25" s="56">
        <f>+I12</f>
        <v>1.486275</v>
      </c>
      <c r="J25" s="56">
        <f t="shared" ref="J25:P25" si="15">+J12</f>
        <v>3</v>
      </c>
      <c r="K25" s="56">
        <f t="shared" si="15"/>
        <v>1.2299999999999998</v>
      </c>
      <c r="L25" s="56">
        <f t="shared" si="15"/>
        <v>2.96</v>
      </c>
      <c r="M25" s="56">
        <f t="shared" si="15"/>
        <v>2.5350000000000001</v>
      </c>
      <c r="N25" s="56">
        <f t="shared" si="15"/>
        <v>2.1668500000000002</v>
      </c>
      <c r="O25" s="56">
        <f t="shared" si="15"/>
        <v>0.35602499999999998</v>
      </c>
      <c r="P25" s="56">
        <f t="shared" si="15"/>
        <v>2.94</v>
      </c>
      <c r="Q25" s="56">
        <f>+Q12</f>
        <v>3.6120000000000001</v>
      </c>
    </row>
    <row r="26" spans="1:17" ht="15.6" x14ac:dyDescent="0.3">
      <c r="A26" s="53" t="s">
        <v>197</v>
      </c>
      <c r="B26" s="54"/>
      <c r="C26" s="55" t="s">
        <v>13</v>
      </c>
      <c r="D26" s="56">
        <f>D7*(4*D5+2*D6)/6</f>
        <v>1</v>
      </c>
      <c r="E26" s="56">
        <f>E7*(4*E5+2*E6)/6</f>
        <v>1</v>
      </c>
      <c r="F26" s="57"/>
      <c r="G26" s="58">
        <f t="shared" si="10"/>
        <v>13.7</v>
      </c>
      <c r="H26" s="55" t="s">
        <v>13</v>
      </c>
      <c r="I26" s="56">
        <f>I7*(4*I5+2*I6)/6</f>
        <v>1.5783333333333334</v>
      </c>
      <c r="J26" s="56">
        <f t="shared" ref="J26:P26" si="16">J7*(4*J5+2*J6)/6</f>
        <v>1.8333333333333333</v>
      </c>
      <c r="K26" s="56">
        <f t="shared" si="16"/>
        <v>1.1416666666666666</v>
      </c>
      <c r="L26" s="56">
        <f t="shared" si="16"/>
        <v>1.8266666666666669</v>
      </c>
      <c r="M26" s="56">
        <f t="shared" si="16"/>
        <v>1.6266666666666667</v>
      </c>
      <c r="N26" s="56">
        <f t="shared" si="16"/>
        <v>1.4850000000000001</v>
      </c>
      <c r="O26" s="56">
        <f t="shared" si="16"/>
        <v>0.63833333333333331</v>
      </c>
      <c r="P26" s="56">
        <f t="shared" si="16"/>
        <v>1.6466666666666665</v>
      </c>
      <c r="Q26" s="56">
        <f>Q7*(4*Q5+2*Q6)/6</f>
        <v>1.8466666666666667</v>
      </c>
    </row>
    <row r="27" spans="1:17" ht="15.6" x14ac:dyDescent="0.3">
      <c r="A27" s="53" t="s">
        <v>16</v>
      </c>
      <c r="B27" s="54"/>
      <c r="C27" s="55" t="s">
        <v>17</v>
      </c>
      <c r="D27" s="56">
        <f>+D26*12/20</f>
        <v>0.6</v>
      </c>
      <c r="E27" s="56">
        <f>+E26*12/20</f>
        <v>0.6</v>
      </c>
      <c r="F27" s="57"/>
      <c r="G27" s="58">
        <f t="shared" si="10"/>
        <v>8.1999999999999993</v>
      </c>
      <c r="H27" s="55" t="s">
        <v>17</v>
      </c>
      <c r="I27" s="56">
        <f>+I26*12/20</f>
        <v>0.94700000000000006</v>
      </c>
      <c r="J27" s="56">
        <f t="shared" ref="J27:Q27" si="17">+J26*12/20</f>
        <v>1.1000000000000001</v>
      </c>
      <c r="K27" s="56">
        <f t="shared" si="17"/>
        <v>0.68499999999999994</v>
      </c>
      <c r="L27" s="56">
        <f t="shared" si="17"/>
        <v>1.0960000000000001</v>
      </c>
      <c r="M27" s="56">
        <f t="shared" si="17"/>
        <v>0.97599999999999998</v>
      </c>
      <c r="N27" s="56">
        <f t="shared" si="17"/>
        <v>0.89100000000000001</v>
      </c>
      <c r="O27" s="56">
        <f t="shared" si="17"/>
        <v>0.38300000000000001</v>
      </c>
      <c r="P27" s="56">
        <f t="shared" si="17"/>
        <v>0.98799999999999988</v>
      </c>
      <c r="Q27" s="56">
        <f t="shared" si="17"/>
        <v>1.1080000000000001</v>
      </c>
    </row>
    <row r="28" spans="1:17" ht="15.6" x14ac:dyDescent="0.3">
      <c r="A28" s="53" t="s">
        <v>331</v>
      </c>
      <c r="B28" s="54">
        <v>0.2</v>
      </c>
      <c r="C28" s="55" t="s">
        <v>193</v>
      </c>
      <c r="D28" s="56">
        <f>2*D$6*$B28*D$7</f>
        <v>0.4</v>
      </c>
      <c r="E28" s="56">
        <f>2*E$6*$B28*E$7</f>
        <v>0.4</v>
      </c>
      <c r="F28" s="57"/>
      <c r="G28" s="58">
        <f>ROUNDUP(SUM(I28:IV28)/(6*B28),1)</f>
        <v>4.0999999999999996</v>
      </c>
      <c r="H28" s="55" t="s">
        <v>221</v>
      </c>
      <c r="I28" s="56">
        <f>2*I$6*$B28*I$7</f>
        <v>0.29799999999999999</v>
      </c>
      <c r="J28" s="56">
        <f t="shared" ref="J28:Q28" si="18">2*J$6*$B28*J$7</f>
        <v>0.60000000000000009</v>
      </c>
      <c r="K28" s="56">
        <f t="shared" si="18"/>
        <v>0.41</v>
      </c>
      <c r="L28" s="56">
        <f t="shared" si="18"/>
        <v>0.59199999999999997</v>
      </c>
      <c r="M28" s="56">
        <f t="shared" si="18"/>
        <v>0.60000000000000009</v>
      </c>
      <c r="N28" s="56">
        <f t="shared" si="18"/>
        <v>0.57400000000000007</v>
      </c>
      <c r="O28" s="56">
        <f t="shared" si="18"/>
        <v>0.20200000000000001</v>
      </c>
      <c r="P28" s="56">
        <f t="shared" si="18"/>
        <v>0.8</v>
      </c>
      <c r="Q28" s="56">
        <f t="shared" si="18"/>
        <v>0.84000000000000008</v>
      </c>
    </row>
    <row r="29" spans="1:17" ht="15.6" x14ac:dyDescent="0.3">
      <c r="A29" s="53" t="s">
        <v>27</v>
      </c>
      <c r="B29" s="54"/>
      <c r="C29" s="55" t="s">
        <v>20</v>
      </c>
      <c r="D29" s="56">
        <f>(D6+3*D5)*D7</f>
        <v>4</v>
      </c>
      <c r="E29" s="56">
        <f>(E6+3*E5)*E7</f>
        <v>4</v>
      </c>
      <c r="F29" s="57"/>
      <c r="G29" s="58">
        <f>ROUNDUP(SUM(I29:IV29),1)</f>
        <v>55.2</v>
      </c>
      <c r="H29" s="55" t="s">
        <v>20</v>
      </c>
      <c r="I29" s="56">
        <f>(I6+3*I5)*I7</f>
        <v>6.73</v>
      </c>
      <c r="J29" s="56">
        <f t="shared" ref="J29:P29" si="19">(J6+3*J5)*J7</f>
        <v>7.5</v>
      </c>
      <c r="K29" s="56">
        <f t="shared" si="19"/>
        <v>4.625</v>
      </c>
      <c r="L29" s="56">
        <f t="shared" si="19"/>
        <v>7.48</v>
      </c>
      <c r="M29" s="56">
        <f t="shared" si="19"/>
        <v>6.57</v>
      </c>
      <c r="N29" s="56">
        <f t="shared" si="19"/>
        <v>5.9649999999999999</v>
      </c>
      <c r="O29" s="56">
        <f t="shared" si="19"/>
        <v>2.6199999999999997</v>
      </c>
      <c r="P29" s="56">
        <f t="shared" si="19"/>
        <v>6.41</v>
      </c>
      <c r="Q29" s="56">
        <f>(Q6+3*Q5)*Q7</f>
        <v>7.26</v>
      </c>
    </row>
    <row r="30" spans="1:17" ht="15.6" x14ac:dyDescent="0.3">
      <c r="A30" s="53" t="s">
        <v>31</v>
      </c>
      <c r="B30" s="54"/>
      <c r="C30" s="55" t="s">
        <v>29</v>
      </c>
      <c r="D30" s="56">
        <f>D$7*(2*D$5+2*D$6)/0.4</f>
        <v>10</v>
      </c>
      <c r="E30" s="56">
        <f>E$7*(2*E$5+2*E$6)/0.4</f>
        <v>10</v>
      </c>
      <c r="F30" s="57"/>
      <c r="G30" s="58">
        <f>ROUNDUP(SUM(I30:IV30),1)</f>
        <v>132.9</v>
      </c>
      <c r="H30" s="55" t="s">
        <v>29</v>
      </c>
      <c r="I30" s="56">
        <f>I$7*(2*I$5+2*I$6)/0.4</f>
        <v>13.700000000000001</v>
      </c>
      <c r="J30" s="56">
        <f t="shared" ref="J30:Q31" si="20">J$7*(2*J$5+2*J$6)/0.4</f>
        <v>17.5</v>
      </c>
      <c r="K30" s="56">
        <f t="shared" si="20"/>
        <v>11.124999999999998</v>
      </c>
      <c r="L30" s="56">
        <f t="shared" si="20"/>
        <v>17.399999999999999</v>
      </c>
      <c r="M30" s="56">
        <f t="shared" si="20"/>
        <v>15.95</v>
      </c>
      <c r="N30" s="56">
        <f t="shared" si="20"/>
        <v>14.725000000000001</v>
      </c>
      <c r="O30" s="56">
        <f t="shared" si="20"/>
        <v>6.05</v>
      </c>
      <c r="P30" s="56">
        <f t="shared" si="20"/>
        <v>17.349999999999998</v>
      </c>
      <c r="Q30" s="56">
        <f t="shared" si="20"/>
        <v>19.100000000000001</v>
      </c>
    </row>
    <row r="31" spans="1:17" ht="15.6" x14ac:dyDescent="0.3">
      <c r="A31" s="53" t="s">
        <v>32</v>
      </c>
      <c r="B31" s="54"/>
      <c r="C31" s="55" t="s">
        <v>29</v>
      </c>
      <c r="D31" s="56">
        <f>D$7*(2*D$5+2*D$6)/0.4</f>
        <v>10</v>
      </c>
      <c r="E31" s="56">
        <f>E$7*(2*E$5+2*E$6)/0.4</f>
        <v>10</v>
      </c>
      <c r="F31" s="57"/>
      <c r="G31" s="58">
        <f>ROUNDUP(SUM(I31:IV31),1)</f>
        <v>132.9</v>
      </c>
      <c r="H31" s="55" t="s">
        <v>29</v>
      </c>
      <c r="I31" s="56">
        <f>I$7*(2*I$5+2*I$6)/0.4</f>
        <v>13.700000000000001</v>
      </c>
      <c r="J31" s="56">
        <f t="shared" si="20"/>
        <v>17.5</v>
      </c>
      <c r="K31" s="56">
        <f t="shared" si="20"/>
        <v>11.124999999999998</v>
      </c>
      <c r="L31" s="56">
        <f t="shared" si="20"/>
        <v>17.399999999999999</v>
      </c>
      <c r="M31" s="56">
        <f t="shared" si="20"/>
        <v>15.95</v>
      </c>
      <c r="N31" s="56">
        <f t="shared" si="20"/>
        <v>14.725000000000001</v>
      </c>
      <c r="O31" s="56">
        <f t="shared" si="20"/>
        <v>6.05</v>
      </c>
      <c r="P31" s="56">
        <f t="shared" si="20"/>
        <v>17.349999999999998</v>
      </c>
      <c r="Q31" s="56">
        <f t="shared" si="20"/>
        <v>19.100000000000001</v>
      </c>
    </row>
    <row r="32" spans="1:17" ht="15.6" x14ac:dyDescent="0.3">
      <c r="A32" s="53" t="s">
        <v>274</v>
      </c>
      <c r="B32" s="54">
        <v>0.151</v>
      </c>
      <c r="C32" s="55" t="s">
        <v>193</v>
      </c>
      <c r="D32" s="56">
        <f>+D$6*$B32*D$7</f>
        <v>0.151</v>
      </c>
      <c r="E32" s="56">
        <f>2*E$6*$B32*E$7</f>
        <v>0.30199999999999999</v>
      </c>
      <c r="F32" s="57"/>
      <c r="G32" s="58">
        <f t="shared" ref="G32:G37" si="21">ROUNDUP(SUM(I32:IV32)/(6*B32),1)</f>
        <v>2.1</v>
      </c>
      <c r="H32" s="55" t="s">
        <v>221</v>
      </c>
      <c r="I32" s="56">
        <f>+I$6*$B32*I$7</f>
        <v>0.112495</v>
      </c>
      <c r="J32" s="56">
        <f t="shared" ref="J32:Q32" si="22">+J$6*$B32*J$7</f>
        <v>0.22649999999999998</v>
      </c>
      <c r="K32" s="56">
        <f t="shared" si="22"/>
        <v>0.15477499999999997</v>
      </c>
      <c r="L32" s="56">
        <f t="shared" si="22"/>
        <v>0.22347999999999998</v>
      </c>
      <c r="M32" s="56">
        <f t="shared" si="22"/>
        <v>0.22649999999999998</v>
      </c>
      <c r="N32" s="56">
        <f t="shared" si="22"/>
        <v>0.21668499999999999</v>
      </c>
      <c r="O32" s="56">
        <f t="shared" si="22"/>
        <v>7.6255000000000003E-2</v>
      </c>
      <c r="P32" s="56">
        <f t="shared" si="22"/>
        <v>0.30199999999999999</v>
      </c>
      <c r="Q32" s="56">
        <f t="shared" si="22"/>
        <v>0.31709999999999999</v>
      </c>
    </row>
    <row r="33" spans="1:17" ht="15.6" x14ac:dyDescent="0.3">
      <c r="A33" s="53" t="s">
        <v>275</v>
      </c>
      <c r="B33" s="54">
        <v>0.25700000000000001</v>
      </c>
      <c r="C33" s="55" t="s">
        <v>193</v>
      </c>
      <c r="D33" s="56"/>
      <c r="E33" s="56">
        <f>+E$6*$B33*E$7</f>
        <v>0.25700000000000001</v>
      </c>
      <c r="F33" s="57"/>
      <c r="G33" s="58">
        <f t="shared" si="21"/>
        <v>0</v>
      </c>
      <c r="H33" s="55" t="s">
        <v>221</v>
      </c>
      <c r="I33" s="56"/>
      <c r="J33" s="56"/>
      <c r="K33" s="56"/>
      <c r="L33" s="56"/>
      <c r="M33" s="56"/>
      <c r="N33" s="56"/>
      <c r="O33" s="56"/>
      <c r="P33" s="56"/>
      <c r="Q33" s="56"/>
    </row>
    <row r="34" spans="1:17" ht="15.6" x14ac:dyDescent="0.3">
      <c r="A34" s="53" t="s">
        <v>210</v>
      </c>
      <c r="B34" s="54">
        <v>1.0129999999999999</v>
      </c>
      <c r="C34" s="55" t="s">
        <v>193</v>
      </c>
      <c r="D34" s="56">
        <f>D$5*$B34*D$7</f>
        <v>1.0129999999999999</v>
      </c>
      <c r="E34" s="56">
        <f t="shared" ref="D34:E37" si="23">E$5*$B34*E$7</f>
        <v>1.0129999999999999</v>
      </c>
      <c r="F34" s="57"/>
      <c r="G34" s="58">
        <f t="shared" si="21"/>
        <v>2.4</v>
      </c>
      <c r="H34" s="55" t="s">
        <v>221</v>
      </c>
      <c r="I34" s="56">
        <f>I$5*$B34*I$7</f>
        <v>2.0209349999999997</v>
      </c>
      <c r="J34" s="56">
        <f t="shared" ref="J34:Q34" si="24">J$5*$B34*J$7</f>
        <v>2.0259999999999998</v>
      </c>
      <c r="K34" s="56">
        <f t="shared" si="24"/>
        <v>1.2155999999999998</v>
      </c>
      <c r="L34" s="56">
        <f t="shared" si="24"/>
        <v>2.0259999999999998</v>
      </c>
      <c r="M34" s="56">
        <f t="shared" si="24"/>
        <v>1.7119699999999998</v>
      </c>
      <c r="N34" s="56">
        <f t="shared" si="24"/>
        <v>1.5296299999999998</v>
      </c>
      <c r="O34" s="56">
        <f t="shared" si="24"/>
        <v>0.71416499999999994</v>
      </c>
      <c r="P34" s="56">
        <f t="shared" si="24"/>
        <v>1.4891099999999999</v>
      </c>
      <c r="Q34" s="56">
        <f t="shared" si="24"/>
        <v>1.7423599999999999</v>
      </c>
    </row>
    <row r="35" spans="1:17" ht="15.6" x14ac:dyDescent="0.3">
      <c r="A35" s="53" t="s">
        <v>211</v>
      </c>
      <c r="B35" s="54">
        <v>0.40799999999999997</v>
      </c>
      <c r="C35" s="55" t="s">
        <v>193</v>
      </c>
      <c r="D35" s="56">
        <f t="shared" si="23"/>
        <v>0.40799999999999997</v>
      </c>
      <c r="E35" s="56">
        <f t="shared" si="23"/>
        <v>0.40799999999999997</v>
      </c>
      <c r="F35" s="57"/>
      <c r="G35" s="58">
        <f t="shared" si="21"/>
        <v>2.4</v>
      </c>
      <c r="H35" s="55" t="s">
        <v>221</v>
      </c>
      <c r="I35" s="56">
        <f t="shared" ref="I35:Q37" si="25">I$5*$B35*I$7</f>
        <v>0.81396000000000002</v>
      </c>
      <c r="J35" s="56">
        <f t="shared" si="25"/>
        <v>0.81599999999999995</v>
      </c>
      <c r="K35" s="56">
        <f t="shared" si="25"/>
        <v>0.48959999999999992</v>
      </c>
      <c r="L35" s="56">
        <f t="shared" si="25"/>
        <v>0.81599999999999995</v>
      </c>
      <c r="M35" s="56">
        <f t="shared" si="25"/>
        <v>0.68951999999999991</v>
      </c>
      <c r="N35" s="56">
        <f t="shared" si="25"/>
        <v>0.61607999999999996</v>
      </c>
      <c r="O35" s="56">
        <f t="shared" si="25"/>
        <v>0.28763999999999995</v>
      </c>
      <c r="P35" s="56">
        <f t="shared" si="25"/>
        <v>0.59975999999999996</v>
      </c>
      <c r="Q35" s="56">
        <f t="shared" si="25"/>
        <v>0.70175999999999994</v>
      </c>
    </row>
    <row r="36" spans="1:17" ht="15.6" x14ac:dyDescent="0.3">
      <c r="A36" s="53" t="s">
        <v>212</v>
      </c>
      <c r="B36" s="54">
        <v>0.47799999999999998</v>
      </c>
      <c r="C36" s="55" t="s">
        <v>193</v>
      </c>
      <c r="D36" s="56">
        <f t="shared" si="23"/>
        <v>0.47799999999999998</v>
      </c>
      <c r="E36" s="56">
        <f t="shared" si="23"/>
        <v>0.47799999999999998</v>
      </c>
      <c r="F36" s="57"/>
      <c r="G36" s="58">
        <f t="shared" si="21"/>
        <v>2.4</v>
      </c>
      <c r="H36" s="55" t="s">
        <v>221</v>
      </c>
      <c r="I36" s="56">
        <f t="shared" si="25"/>
        <v>0.95360999999999996</v>
      </c>
      <c r="J36" s="56">
        <f t="shared" si="25"/>
        <v>0.95599999999999996</v>
      </c>
      <c r="K36" s="56">
        <f t="shared" si="25"/>
        <v>0.5736</v>
      </c>
      <c r="L36" s="56">
        <f t="shared" si="25"/>
        <v>0.95599999999999996</v>
      </c>
      <c r="M36" s="56">
        <f t="shared" si="25"/>
        <v>0.80781999999999998</v>
      </c>
      <c r="N36" s="56">
        <f t="shared" si="25"/>
        <v>0.72177999999999998</v>
      </c>
      <c r="O36" s="56">
        <f t="shared" si="25"/>
        <v>0.33698999999999996</v>
      </c>
      <c r="P36" s="56">
        <f t="shared" si="25"/>
        <v>0.70265999999999995</v>
      </c>
      <c r="Q36" s="56">
        <f t="shared" si="25"/>
        <v>0.82216</v>
      </c>
    </row>
    <row r="37" spans="1:17" ht="15.6" x14ac:dyDescent="0.3">
      <c r="A37" s="53" t="s">
        <v>213</v>
      </c>
      <c r="B37" s="54">
        <v>0.125</v>
      </c>
      <c r="C37" s="55" t="s">
        <v>193</v>
      </c>
      <c r="D37" s="56">
        <f t="shared" si="23"/>
        <v>0.125</v>
      </c>
      <c r="E37" s="56">
        <f t="shared" si="23"/>
        <v>0.125</v>
      </c>
      <c r="F37" s="57"/>
      <c r="G37" s="58">
        <f t="shared" si="21"/>
        <v>2.4</v>
      </c>
      <c r="H37" s="55" t="s">
        <v>221</v>
      </c>
      <c r="I37" s="56">
        <f t="shared" si="25"/>
        <v>0.24937500000000001</v>
      </c>
      <c r="J37" s="56">
        <f t="shared" si="25"/>
        <v>0.25</v>
      </c>
      <c r="K37" s="56">
        <f t="shared" si="25"/>
        <v>0.15</v>
      </c>
      <c r="L37" s="56">
        <f t="shared" si="25"/>
        <v>0.25</v>
      </c>
      <c r="M37" s="56">
        <f t="shared" si="25"/>
        <v>0.21124999999999999</v>
      </c>
      <c r="N37" s="56">
        <f t="shared" si="25"/>
        <v>0.18875</v>
      </c>
      <c r="O37" s="56">
        <f t="shared" si="25"/>
        <v>8.8124999999999995E-2</v>
      </c>
      <c r="P37" s="56">
        <f t="shared" si="25"/>
        <v>0.18375</v>
      </c>
      <c r="Q37" s="56">
        <f t="shared" si="25"/>
        <v>0.215</v>
      </c>
    </row>
    <row r="38" spans="1:17" ht="15.6" x14ac:dyDescent="0.3">
      <c r="A38" s="60">
        <v>1510</v>
      </c>
      <c r="B38" s="54"/>
      <c r="C38" s="61" t="s">
        <v>29</v>
      </c>
      <c r="D38" s="56">
        <f>IF(D$8=1,+D$7,0)</f>
        <v>1</v>
      </c>
      <c r="E38" s="56">
        <f>IF(E$8=1,+E$7,0)</f>
        <v>1</v>
      </c>
      <c r="F38" s="57"/>
      <c r="G38" s="58">
        <f t="shared" ref="G38:G44" si="26">ROUNDUP(SUM(I38:IV38),1)</f>
        <v>1</v>
      </c>
      <c r="H38" s="61" t="s">
        <v>29</v>
      </c>
      <c r="I38" s="56">
        <f>IF(I$8=1,+I$7,0)</f>
        <v>0</v>
      </c>
      <c r="J38" s="56">
        <f t="shared" ref="J38:Q38" si="27">IF(J$8=1,+J$7,0)</f>
        <v>0</v>
      </c>
      <c r="K38" s="56">
        <f t="shared" si="27"/>
        <v>0</v>
      </c>
      <c r="L38" s="56">
        <f t="shared" si="27"/>
        <v>0</v>
      </c>
      <c r="M38" s="56">
        <f t="shared" si="27"/>
        <v>0</v>
      </c>
      <c r="N38" s="56">
        <f t="shared" si="27"/>
        <v>0</v>
      </c>
      <c r="O38" s="56">
        <f t="shared" si="27"/>
        <v>0</v>
      </c>
      <c r="P38" s="56">
        <f t="shared" si="27"/>
        <v>0</v>
      </c>
      <c r="Q38" s="56">
        <f t="shared" si="27"/>
        <v>1</v>
      </c>
    </row>
    <row r="39" spans="1:17" ht="15.6" x14ac:dyDescent="0.3">
      <c r="A39" s="60">
        <v>1511</v>
      </c>
      <c r="B39" s="54"/>
      <c r="C39" s="61" t="s">
        <v>29</v>
      </c>
      <c r="D39" s="56"/>
      <c r="E39" s="56">
        <f>IF(E$8=1,+E$7,0)</f>
        <v>1</v>
      </c>
      <c r="F39" s="57"/>
      <c r="G39" s="58">
        <f t="shared" si="26"/>
        <v>0</v>
      </c>
      <c r="H39" s="61" t="s">
        <v>29</v>
      </c>
      <c r="I39" s="56"/>
      <c r="J39" s="56"/>
      <c r="K39" s="56"/>
      <c r="L39" s="56"/>
      <c r="M39" s="56"/>
      <c r="N39" s="56"/>
      <c r="O39" s="56"/>
      <c r="P39" s="56"/>
      <c r="Q39" s="56"/>
    </row>
    <row r="40" spans="1:17" ht="15.6" x14ac:dyDescent="0.3">
      <c r="A40" s="53" t="s">
        <v>214</v>
      </c>
      <c r="B40" s="6"/>
      <c r="C40" s="61" t="s">
        <v>29</v>
      </c>
      <c r="D40" s="56">
        <f>IF(D$8=1,+D$7,0)</f>
        <v>1</v>
      </c>
      <c r="E40" s="56"/>
      <c r="F40" s="57"/>
      <c r="G40" s="58">
        <f t="shared" si="26"/>
        <v>1</v>
      </c>
      <c r="H40" s="61" t="s">
        <v>29</v>
      </c>
      <c r="I40" s="56">
        <f>IF(I$8=1,+I$7,0)</f>
        <v>0</v>
      </c>
      <c r="J40" s="56">
        <f t="shared" ref="J40:Q40" si="28">IF(J$8=1,+J$7,0)</f>
        <v>0</v>
      </c>
      <c r="K40" s="56">
        <f t="shared" si="28"/>
        <v>0</v>
      </c>
      <c r="L40" s="56">
        <f t="shared" si="28"/>
        <v>0</v>
      </c>
      <c r="M40" s="56">
        <f t="shared" si="28"/>
        <v>0</v>
      </c>
      <c r="N40" s="56">
        <f t="shared" si="28"/>
        <v>0</v>
      </c>
      <c r="O40" s="56">
        <f t="shared" si="28"/>
        <v>0</v>
      </c>
      <c r="P40" s="56">
        <f t="shared" si="28"/>
        <v>0</v>
      </c>
      <c r="Q40" s="56">
        <f t="shared" si="28"/>
        <v>1</v>
      </c>
    </row>
    <row r="41" spans="1:17" ht="15.6" x14ac:dyDescent="0.3">
      <c r="A41" s="53" t="s">
        <v>215</v>
      </c>
      <c r="B41" s="54"/>
      <c r="C41" s="55" t="s">
        <v>29</v>
      </c>
      <c r="D41" s="56">
        <f>2*D7</f>
        <v>2</v>
      </c>
      <c r="E41" s="56">
        <f>4*E7</f>
        <v>4</v>
      </c>
      <c r="F41" s="57"/>
      <c r="G41" s="58">
        <f t="shared" si="26"/>
        <v>18</v>
      </c>
      <c r="H41" s="55" t="s">
        <v>29</v>
      </c>
      <c r="I41" s="56">
        <f>2*I7</f>
        <v>2</v>
      </c>
      <c r="J41" s="56">
        <f t="shared" ref="J41:P41" si="29">2*J7</f>
        <v>2</v>
      </c>
      <c r="K41" s="56">
        <f t="shared" si="29"/>
        <v>2</v>
      </c>
      <c r="L41" s="56">
        <f t="shared" si="29"/>
        <v>2</v>
      </c>
      <c r="M41" s="56">
        <f t="shared" si="29"/>
        <v>2</v>
      </c>
      <c r="N41" s="56">
        <f t="shared" si="29"/>
        <v>2</v>
      </c>
      <c r="O41" s="56">
        <f t="shared" si="29"/>
        <v>2</v>
      </c>
      <c r="P41" s="56">
        <f t="shared" si="29"/>
        <v>2</v>
      </c>
      <c r="Q41" s="56">
        <f>2*Q7</f>
        <v>2</v>
      </c>
    </row>
    <row r="42" spans="1:17" ht="15.6" x14ac:dyDescent="0.3">
      <c r="A42" s="53" t="s">
        <v>216</v>
      </c>
      <c r="B42" s="54"/>
      <c r="C42" s="55" t="s">
        <v>29</v>
      </c>
      <c r="D42" s="56">
        <f>IF(D$8=2,+D$7,0)</f>
        <v>0</v>
      </c>
      <c r="E42" s="56">
        <f>IF(E$8=2,2*E$7,0)</f>
        <v>0</v>
      </c>
      <c r="F42" s="57"/>
      <c r="G42" s="58">
        <f t="shared" si="26"/>
        <v>8</v>
      </c>
      <c r="H42" s="55" t="s">
        <v>29</v>
      </c>
      <c r="I42" s="56">
        <f>IF(I$8=2,+I$7,0)</f>
        <v>1</v>
      </c>
      <c r="J42" s="56">
        <f t="shared" ref="J42:Q44" si="30">IF(J$8=2,+J$7,0)</f>
        <v>1</v>
      </c>
      <c r="K42" s="56">
        <f t="shared" si="30"/>
        <v>1</v>
      </c>
      <c r="L42" s="56">
        <f t="shared" si="30"/>
        <v>1</v>
      </c>
      <c r="M42" s="56">
        <f t="shared" si="30"/>
        <v>1</v>
      </c>
      <c r="N42" s="56">
        <f t="shared" si="30"/>
        <v>1</v>
      </c>
      <c r="O42" s="56">
        <f t="shared" si="30"/>
        <v>1</v>
      </c>
      <c r="P42" s="56">
        <f t="shared" si="30"/>
        <v>1</v>
      </c>
      <c r="Q42" s="56">
        <f t="shared" si="30"/>
        <v>0</v>
      </c>
    </row>
    <row r="43" spans="1:17" ht="15.6" x14ac:dyDescent="0.3">
      <c r="A43" s="53">
        <v>1335</v>
      </c>
      <c r="B43" s="54"/>
      <c r="C43" s="55" t="s">
        <v>29</v>
      </c>
      <c r="D43" s="56">
        <f>IF(D$8=2,+D$7,0)</f>
        <v>0</v>
      </c>
      <c r="E43" s="56">
        <f>IF(E$8=2,2*E$7,0)</f>
        <v>0</v>
      </c>
      <c r="F43" s="57"/>
      <c r="G43" s="58">
        <f t="shared" si="26"/>
        <v>8</v>
      </c>
      <c r="H43" s="55" t="s">
        <v>29</v>
      </c>
      <c r="I43" s="56">
        <f>IF(I$8=2,+I$7,0)</f>
        <v>1</v>
      </c>
      <c r="J43" s="56">
        <f t="shared" si="30"/>
        <v>1</v>
      </c>
      <c r="K43" s="56">
        <f t="shared" si="30"/>
        <v>1</v>
      </c>
      <c r="L43" s="56">
        <f t="shared" si="30"/>
        <v>1</v>
      </c>
      <c r="M43" s="56">
        <f t="shared" si="30"/>
        <v>1</v>
      </c>
      <c r="N43" s="56">
        <f t="shared" si="30"/>
        <v>1</v>
      </c>
      <c r="O43" s="56">
        <f t="shared" si="30"/>
        <v>1</v>
      </c>
      <c r="P43" s="56">
        <f t="shared" si="30"/>
        <v>1</v>
      </c>
      <c r="Q43" s="56">
        <f t="shared" si="30"/>
        <v>0</v>
      </c>
    </row>
    <row r="44" spans="1:17" s="62" customFormat="1" ht="15.6" x14ac:dyDescent="0.3">
      <c r="A44" s="53" t="s">
        <v>217</v>
      </c>
      <c r="B44" s="54"/>
      <c r="C44" s="55" t="s">
        <v>29</v>
      </c>
      <c r="D44" s="56">
        <f>IF(D$8=2,+D$7,0)</f>
        <v>0</v>
      </c>
      <c r="E44" s="56">
        <f>IF(E$8=2,2*E$7,0)</f>
        <v>0</v>
      </c>
      <c r="F44" s="57"/>
      <c r="G44" s="58">
        <f t="shared" si="26"/>
        <v>8</v>
      </c>
      <c r="H44" s="55" t="s">
        <v>29</v>
      </c>
      <c r="I44" s="56">
        <f>IF(I$8=2,+I$7,0)</f>
        <v>1</v>
      </c>
      <c r="J44" s="56">
        <f t="shared" si="30"/>
        <v>1</v>
      </c>
      <c r="K44" s="56">
        <f t="shared" si="30"/>
        <v>1</v>
      </c>
      <c r="L44" s="56">
        <f t="shared" si="30"/>
        <v>1</v>
      </c>
      <c r="M44" s="56">
        <f t="shared" si="30"/>
        <v>1</v>
      </c>
      <c r="N44" s="56">
        <f t="shared" si="30"/>
        <v>1</v>
      </c>
      <c r="O44" s="56">
        <f t="shared" si="30"/>
        <v>1</v>
      </c>
      <c r="P44" s="56">
        <f t="shared" si="30"/>
        <v>1</v>
      </c>
      <c r="Q44" s="56">
        <f t="shared" si="30"/>
        <v>0</v>
      </c>
    </row>
    <row r="45" spans="1:17" ht="15.6" x14ac:dyDescent="0.3">
      <c r="A45" s="53"/>
      <c r="B45" s="54"/>
      <c r="C45" s="55"/>
      <c r="D45" s="56"/>
      <c r="E45" s="56"/>
      <c r="F45" s="57"/>
      <c r="G45" s="58"/>
      <c r="H45" s="55"/>
      <c r="I45" s="56"/>
      <c r="J45" s="56"/>
      <c r="K45" s="56"/>
      <c r="L45" s="56"/>
      <c r="M45" s="56"/>
      <c r="N45" s="56"/>
      <c r="O45" s="56"/>
      <c r="P45" s="56"/>
      <c r="Q45" s="56"/>
    </row>
    <row r="46" spans="1:17" x14ac:dyDescent="0.25">
      <c r="C46" s="63"/>
      <c r="D46" s="63"/>
      <c r="E46" s="63"/>
      <c r="I46" s="63"/>
      <c r="J46" s="63"/>
      <c r="K46" s="63"/>
      <c r="L46" s="63"/>
      <c r="M46" s="63"/>
      <c r="N46" s="63"/>
      <c r="O46" s="63"/>
      <c r="P46" s="63"/>
      <c r="Q46" s="63"/>
    </row>
    <row r="47" spans="1:17" x14ac:dyDescent="0.25">
      <c r="C47" s="65"/>
      <c r="D47" s="65"/>
      <c r="E47" s="65"/>
      <c r="I47" s="65"/>
      <c r="J47" s="65"/>
      <c r="K47" s="65"/>
      <c r="L47" s="65"/>
      <c r="M47" s="65"/>
      <c r="N47" s="65"/>
      <c r="O47" s="65"/>
      <c r="P47" s="65"/>
      <c r="Q47" s="65"/>
    </row>
    <row r="48" spans="1:17" ht="15.6" x14ac:dyDescent="0.3">
      <c r="A48" s="66" t="s">
        <v>195</v>
      </c>
      <c r="B48" s="67"/>
      <c r="C48" s="68"/>
      <c r="D48" s="68">
        <f>SUM(D49:D72)</f>
        <v>116.9145</v>
      </c>
      <c r="E48" s="68">
        <f>SUM(E49:E72)</f>
        <v>138.81906000000001</v>
      </c>
      <c r="G48" s="118">
        <f>SUM(G49:G72)</f>
        <v>567.4000000000002</v>
      </c>
      <c r="I48" s="68">
        <f>SUM(I49:I72)</f>
        <v>138.65044100000003</v>
      </c>
      <c r="J48" s="68">
        <f t="shared" ref="J48:Q48" si="31">SUM(J49:J72)</f>
        <v>218.52258999999998</v>
      </c>
      <c r="K48" s="68">
        <f t="shared" si="31"/>
        <v>111.90335649999996</v>
      </c>
      <c r="L48" s="68">
        <f t="shared" si="31"/>
        <v>216.41433359999999</v>
      </c>
      <c r="M48" s="68">
        <f t="shared" si="31"/>
        <v>189.46266920000005</v>
      </c>
      <c r="N48" s="68">
        <f t="shared" si="31"/>
        <v>167.28333250000006</v>
      </c>
      <c r="O48" s="68">
        <f t="shared" si="31"/>
        <v>54.786362000000004</v>
      </c>
      <c r="P48" s="68">
        <f t="shared" si="31"/>
        <v>208.68280959999998</v>
      </c>
      <c r="Q48" s="68">
        <f t="shared" si="31"/>
        <v>267.9378916</v>
      </c>
    </row>
    <row r="49" spans="1:17" x14ac:dyDescent="0.25">
      <c r="A49" s="53" t="s">
        <v>35</v>
      </c>
      <c r="B49" s="54"/>
      <c r="C49" s="69">
        <f>+'Costo M.P.yMat.'!C26</f>
        <v>36.46</v>
      </c>
      <c r="D49" s="56">
        <f t="shared" ref="D49:D72" si="32">+$C49*D21</f>
        <v>38.283000000000001</v>
      </c>
      <c r="E49" s="56">
        <f t="shared" ref="E49:E72" si="33">+$C49*E21</f>
        <v>0</v>
      </c>
      <c r="G49" s="118"/>
      <c r="I49" s="56">
        <f t="shared" ref="I49:I64" si="34">+$C49*I21</f>
        <v>55.547721500000002</v>
      </c>
      <c r="J49" s="56">
        <f t="shared" ref="J49:P49" si="35">+$C49*J21</f>
        <v>112.11450000000001</v>
      </c>
      <c r="K49" s="56">
        <f t="shared" si="35"/>
        <v>46.71437499999999</v>
      </c>
      <c r="L49" s="56">
        <f t="shared" si="35"/>
        <v>110.61963999999999</v>
      </c>
      <c r="M49" s="56">
        <f t="shared" si="35"/>
        <v>95.160600000000017</v>
      </c>
      <c r="N49" s="56">
        <f t="shared" si="35"/>
        <v>81.61935600000001</v>
      </c>
      <c r="O49" s="56">
        <f t="shared" si="35"/>
        <v>13.901286499999999</v>
      </c>
      <c r="P49" s="56">
        <f t="shared" si="35"/>
        <v>110.83840000000001</v>
      </c>
      <c r="Q49" s="56">
        <f t="shared" ref="Q49:Q72" si="36">+$C49*Q21</f>
        <v>135.52182000000002</v>
      </c>
    </row>
    <row r="50" spans="1:17" x14ac:dyDescent="0.25">
      <c r="A50" s="53" t="s">
        <v>42</v>
      </c>
      <c r="B50" s="54"/>
      <c r="C50" s="69">
        <f>+'Costo M.P.yMat.'!C31</f>
        <v>52.41</v>
      </c>
      <c r="D50" s="56">
        <f t="shared" si="32"/>
        <v>0</v>
      </c>
      <c r="E50" s="56">
        <f t="shared" si="33"/>
        <v>0</v>
      </c>
      <c r="G50" s="118">
        <f>ROUNDUP(SUM(I50:IV50),1)</f>
        <v>0</v>
      </c>
      <c r="I50" s="56">
        <f t="shared" si="34"/>
        <v>0</v>
      </c>
      <c r="J50" s="56">
        <f t="shared" ref="J50:P50" si="37">+$C50*J22</f>
        <v>0</v>
      </c>
      <c r="K50" s="56">
        <f t="shared" si="37"/>
        <v>0</v>
      </c>
      <c r="L50" s="56">
        <f t="shared" si="37"/>
        <v>0</v>
      </c>
      <c r="M50" s="56">
        <f t="shared" si="37"/>
        <v>0</v>
      </c>
      <c r="N50" s="56">
        <f t="shared" si="37"/>
        <v>0</v>
      </c>
      <c r="O50" s="56">
        <f t="shared" si="37"/>
        <v>0</v>
      </c>
      <c r="P50" s="56">
        <f t="shared" si="37"/>
        <v>0</v>
      </c>
      <c r="Q50" s="56">
        <f t="shared" si="36"/>
        <v>0</v>
      </c>
    </row>
    <row r="51" spans="1:17" x14ac:dyDescent="0.25">
      <c r="A51" s="53" t="s">
        <v>38</v>
      </c>
      <c r="B51" s="54"/>
      <c r="C51" s="69">
        <f>+'Costo M.P.yMat.'!C27</f>
        <v>34.18</v>
      </c>
      <c r="D51" s="56">
        <f t="shared" si="32"/>
        <v>0</v>
      </c>
      <c r="E51" s="56">
        <f t="shared" si="33"/>
        <v>35.889000000000003</v>
      </c>
      <c r="G51" s="118">
        <f>ROUNDUP(SUM(I51:IV51),1)</f>
        <v>0</v>
      </c>
      <c r="I51" s="56">
        <f t="shared" si="34"/>
        <v>0</v>
      </c>
      <c r="J51" s="56">
        <f t="shared" ref="J51:P51" si="38">+$C51*J23</f>
        <v>0</v>
      </c>
      <c r="K51" s="56">
        <f t="shared" si="38"/>
        <v>0</v>
      </c>
      <c r="L51" s="56">
        <f t="shared" si="38"/>
        <v>0</v>
      </c>
      <c r="M51" s="56">
        <f t="shared" si="38"/>
        <v>0</v>
      </c>
      <c r="N51" s="56">
        <f t="shared" si="38"/>
        <v>0</v>
      </c>
      <c r="O51" s="56">
        <f t="shared" si="38"/>
        <v>0</v>
      </c>
      <c r="P51" s="56">
        <f t="shared" si="38"/>
        <v>0</v>
      </c>
      <c r="Q51" s="56">
        <f t="shared" si="36"/>
        <v>0</v>
      </c>
    </row>
    <row r="52" spans="1:17" x14ac:dyDescent="0.25">
      <c r="A52" s="53" t="s">
        <v>43</v>
      </c>
      <c r="B52" s="54"/>
      <c r="C52" s="69">
        <f>+'Costo M.P.yMat.'!C32</f>
        <v>50.129999999999995</v>
      </c>
      <c r="D52" s="56">
        <f t="shared" si="32"/>
        <v>0</v>
      </c>
      <c r="E52" s="56">
        <f t="shared" si="33"/>
        <v>0</v>
      </c>
      <c r="G52" s="118">
        <f>ROUNDUP(SUM(I52:IV52),1)</f>
        <v>0</v>
      </c>
      <c r="I52" s="56">
        <f t="shared" si="34"/>
        <v>0</v>
      </c>
      <c r="J52" s="56">
        <f t="shared" ref="J52:P52" si="39">+$C52*J24</f>
        <v>0</v>
      </c>
      <c r="K52" s="56">
        <f t="shared" si="39"/>
        <v>0</v>
      </c>
      <c r="L52" s="56">
        <f t="shared" si="39"/>
        <v>0</v>
      </c>
      <c r="M52" s="56">
        <f t="shared" si="39"/>
        <v>0</v>
      </c>
      <c r="N52" s="56">
        <f t="shared" si="39"/>
        <v>0</v>
      </c>
      <c r="O52" s="56">
        <f t="shared" si="39"/>
        <v>0</v>
      </c>
      <c r="P52" s="56">
        <f t="shared" si="39"/>
        <v>0</v>
      </c>
      <c r="Q52" s="56">
        <f t="shared" si="36"/>
        <v>0</v>
      </c>
    </row>
    <row r="53" spans="1:17" x14ac:dyDescent="0.25">
      <c r="A53" s="53" t="s">
        <v>189</v>
      </c>
      <c r="B53" s="54"/>
      <c r="C53" s="69">
        <f>+'Costo M.P.yMat.'!C84</f>
        <v>12.08</v>
      </c>
      <c r="D53" s="56">
        <f t="shared" si="32"/>
        <v>12.08</v>
      </c>
      <c r="E53" s="56">
        <f t="shared" si="33"/>
        <v>12.08</v>
      </c>
      <c r="G53" s="118"/>
      <c r="I53" s="56">
        <f t="shared" si="34"/>
        <v>17.954201999999999</v>
      </c>
      <c r="J53" s="56">
        <f t="shared" ref="J53:P53" si="40">+$C53*J25</f>
        <v>36.24</v>
      </c>
      <c r="K53" s="56">
        <f t="shared" si="40"/>
        <v>14.858399999999998</v>
      </c>
      <c r="L53" s="56">
        <f t="shared" si="40"/>
        <v>35.756799999999998</v>
      </c>
      <c r="M53" s="56">
        <f t="shared" si="40"/>
        <v>30.622800000000002</v>
      </c>
      <c r="N53" s="56">
        <f t="shared" si="40"/>
        <v>26.175548000000003</v>
      </c>
      <c r="O53" s="56">
        <f t="shared" si="40"/>
        <v>4.3007819999999999</v>
      </c>
      <c r="P53" s="56">
        <f t="shared" si="40"/>
        <v>35.5152</v>
      </c>
      <c r="Q53" s="56">
        <f t="shared" si="36"/>
        <v>43.632960000000004</v>
      </c>
    </row>
    <row r="54" spans="1:17" x14ac:dyDescent="0.25">
      <c r="A54" s="53" t="s">
        <v>197</v>
      </c>
      <c r="B54" s="54"/>
      <c r="C54" s="69">
        <f>+'Costo M.P.yMat.'!C7</f>
        <v>2.76</v>
      </c>
      <c r="D54" s="56">
        <f t="shared" si="32"/>
        <v>2.76</v>
      </c>
      <c r="E54" s="56">
        <f t="shared" si="33"/>
        <v>2.76</v>
      </c>
      <c r="G54" s="118">
        <f t="shared" ref="G54:G72" si="41">ROUNDUP(SUM(I54:IV54),1)</f>
        <v>37.700000000000003</v>
      </c>
      <c r="I54" s="56">
        <f t="shared" si="34"/>
        <v>4.3561999999999994</v>
      </c>
      <c r="J54" s="56">
        <f t="shared" ref="J54:P54" si="42">+$C54*J26</f>
        <v>5.0599999999999996</v>
      </c>
      <c r="K54" s="56">
        <f t="shared" si="42"/>
        <v>3.1509999999999998</v>
      </c>
      <c r="L54" s="56">
        <f t="shared" si="42"/>
        <v>5.0415999999999999</v>
      </c>
      <c r="M54" s="56">
        <f t="shared" si="42"/>
        <v>4.4895999999999994</v>
      </c>
      <c r="N54" s="56">
        <f t="shared" si="42"/>
        <v>4.0986000000000002</v>
      </c>
      <c r="O54" s="56">
        <f t="shared" si="42"/>
        <v>1.7617999999999998</v>
      </c>
      <c r="P54" s="56">
        <f t="shared" si="42"/>
        <v>4.5447999999999995</v>
      </c>
      <c r="Q54" s="56">
        <f t="shared" si="36"/>
        <v>5.0968</v>
      </c>
    </row>
    <row r="55" spans="1:17" x14ac:dyDescent="0.25">
      <c r="A55" s="53" t="s">
        <v>16</v>
      </c>
      <c r="B55" s="54"/>
      <c r="C55" s="69">
        <f>+'Costo M.P.yMat.'!C9</f>
        <v>0.75</v>
      </c>
      <c r="D55" s="56">
        <f t="shared" si="32"/>
        <v>0.44999999999999996</v>
      </c>
      <c r="E55" s="56">
        <f t="shared" si="33"/>
        <v>0.44999999999999996</v>
      </c>
      <c r="G55" s="118">
        <f t="shared" si="41"/>
        <v>6.1999999999999993</v>
      </c>
      <c r="I55" s="56">
        <f t="shared" si="34"/>
        <v>0.71025000000000005</v>
      </c>
      <c r="J55" s="56">
        <f t="shared" ref="J55:P55" si="43">+$C55*J27</f>
        <v>0.82500000000000007</v>
      </c>
      <c r="K55" s="56">
        <f t="shared" si="43"/>
        <v>0.51374999999999993</v>
      </c>
      <c r="L55" s="56">
        <f t="shared" si="43"/>
        <v>0.82200000000000006</v>
      </c>
      <c r="M55" s="56">
        <f t="shared" si="43"/>
        <v>0.73199999999999998</v>
      </c>
      <c r="N55" s="56">
        <f t="shared" si="43"/>
        <v>0.66825000000000001</v>
      </c>
      <c r="O55" s="56">
        <f t="shared" si="43"/>
        <v>0.28725000000000001</v>
      </c>
      <c r="P55" s="56">
        <f t="shared" si="43"/>
        <v>0.74099999999999988</v>
      </c>
      <c r="Q55" s="56">
        <f t="shared" si="36"/>
        <v>0.83100000000000007</v>
      </c>
    </row>
    <row r="56" spans="1:17" x14ac:dyDescent="0.25">
      <c r="A56" s="53" t="s">
        <v>331</v>
      </c>
      <c r="B56" s="54">
        <v>0.2</v>
      </c>
      <c r="C56" s="69">
        <f>+'Costo M.P.yMat.'!$C$89</f>
        <v>8.82</v>
      </c>
      <c r="D56" s="56">
        <f t="shared" si="32"/>
        <v>3.5280000000000005</v>
      </c>
      <c r="E56" s="56">
        <f t="shared" si="33"/>
        <v>3.5280000000000005</v>
      </c>
      <c r="G56" s="118">
        <f t="shared" si="41"/>
        <v>43.4</v>
      </c>
      <c r="H56" s="25" t="e">
        <f>+#REF!/6</f>
        <v>#REF!</v>
      </c>
      <c r="I56" s="56">
        <f t="shared" si="34"/>
        <v>2.6283599999999998</v>
      </c>
      <c r="J56" s="56">
        <f t="shared" ref="J56:P56" si="44">+$C56*J28</f>
        <v>5.2920000000000007</v>
      </c>
      <c r="K56" s="56">
        <f t="shared" si="44"/>
        <v>3.6162000000000001</v>
      </c>
      <c r="L56" s="56">
        <f t="shared" si="44"/>
        <v>5.2214400000000003</v>
      </c>
      <c r="M56" s="56">
        <f t="shared" si="44"/>
        <v>5.2920000000000007</v>
      </c>
      <c r="N56" s="56">
        <f t="shared" si="44"/>
        <v>5.0626800000000012</v>
      </c>
      <c r="O56" s="56">
        <f t="shared" si="44"/>
        <v>1.7816400000000001</v>
      </c>
      <c r="P56" s="56">
        <f t="shared" si="44"/>
        <v>7.0560000000000009</v>
      </c>
      <c r="Q56" s="56">
        <f t="shared" si="36"/>
        <v>7.4088000000000012</v>
      </c>
    </row>
    <row r="57" spans="1:17" x14ac:dyDescent="0.25">
      <c r="A57" s="53" t="s">
        <v>27</v>
      </c>
      <c r="B57" s="54"/>
      <c r="C57" s="69">
        <f>+'Costo M.P.yMat.'!C17</f>
        <v>0.18000000000000002</v>
      </c>
      <c r="D57" s="56">
        <f t="shared" si="32"/>
        <v>0.72000000000000008</v>
      </c>
      <c r="E57" s="56">
        <f t="shared" si="33"/>
        <v>0.72000000000000008</v>
      </c>
      <c r="G57" s="118">
        <f t="shared" si="41"/>
        <v>10</v>
      </c>
      <c r="I57" s="56">
        <f t="shared" si="34"/>
        <v>1.2114000000000003</v>
      </c>
      <c r="J57" s="56">
        <f t="shared" ref="J57:P57" si="45">+$C57*J29</f>
        <v>1.35</v>
      </c>
      <c r="K57" s="56">
        <f t="shared" si="45"/>
        <v>0.83250000000000013</v>
      </c>
      <c r="L57" s="56">
        <f t="shared" si="45"/>
        <v>1.3464000000000003</v>
      </c>
      <c r="M57" s="56">
        <f t="shared" si="45"/>
        <v>1.1826000000000001</v>
      </c>
      <c r="N57" s="56">
        <f t="shared" si="45"/>
        <v>1.0737000000000001</v>
      </c>
      <c r="O57" s="56">
        <f t="shared" si="45"/>
        <v>0.47160000000000002</v>
      </c>
      <c r="P57" s="56">
        <f t="shared" si="45"/>
        <v>1.1538000000000002</v>
      </c>
      <c r="Q57" s="56">
        <f t="shared" si="36"/>
        <v>1.3068000000000002</v>
      </c>
    </row>
    <row r="58" spans="1:17" x14ac:dyDescent="0.25">
      <c r="A58" s="53" t="s">
        <v>31</v>
      </c>
      <c r="B58" s="54"/>
      <c r="C58" s="69">
        <f>+'Costo M.P.yMat.'!C19</f>
        <v>0.04</v>
      </c>
      <c r="D58" s="56">
        <f t="shared" si="32"/>
        <v>0.4</v>
      </c>
      <c r="E58" s="56">
        <f t="shared" si="33"/>
        <v>0.4</v>
      </c>
      <c r="G58" s="118">
        <f t="shared" si="41"/>
        <v>5.3999999999999995</v>
      </c>
      <c r="I58" s="56">
        <f t="shared" si="34"/>
        <v>0.54800000000000004</v>
      </c>
      <c r="J58" s="56">
        <f t="shared" ref="J58:P58" si="46">+$C58*J30</f>
        <v>0.70000000000000007</v>
      </c>
      <c r="K58" s="56">
        <f t="shared" si="46"/>
        <v>0.44499999999999995</v>
      </c>
      <c r="L58" s="56">
        <f t="shared" si="46"/>
        <v>0.69599999999999995</v>
      </c>
      <c r="M58" s="56">
        <f t="shared" si="46"/>
        <v>0.63800000000000001</v>
      </c>
      <c r="N58" s="56">
        <f t="shared" si="46"/>
        <v>0.58900000000000008</v>
      </c>
      <c r="O58" s="56">
        <f t="shared" si="46"/>
        <v>0.24199999999999999</v>
      </c>
      <c r="P58" s="56">
        <f t="shared" si="46"/>
        <v>0.69399999999999995</v>
      </c>
      <c r="Q58" s="56">
        <f t="shared" si="36"/>
        <v>0.76400000000000012</v>
      </c>
    </row>
    <row r="59" spans="1:17" x14ac:dyDescent="0.25">
      <c r="A59" s="53" t="s">
        <v>32</v>
      </c>
      <c r="B59" s="54"/>
      <c r="C59" s="69">
        <f>+'Costo M.P.yMat.'!C20</f>
        <v>0.04</v>
      </c>
      <c r="D59" s="56">
        <f t="shared" si="32"/>
        <v>0.4</v>
      </c>
      <c r="E59" s="56">
        <f t="shared" si="33"/>
        <v>0.4</v>
      </c>
      <c r="G59" s="118">
        <f t="shared" si="41"/>
        <v>5.3999999999999995</v>
      </c>
      <c r="I59" s="56">
        <f t="shared" si="34"/>
        <v>0.54800000000000004</v>
      </c>
      <c r="J59" s="56">
        <f t="shared" ref="J59:P59" si="47">+$C59*J31</f>
        <v>0.70000000000000007</v>
      </c>
      <c r="K59" s="56">
        <f t="shared" si="47"/>
        <v>0.44499999999999995</v>
      </c>
      <c r="L59" s="56">
        <f t="shared" si="47"/>
        <v>0.69599999999999995</v>
      </c>
      <c r="M59" s="56">
        <f t="shared" si="47"/>
        <v>0.63800000000000001</v>
      </c>
      <c r="N59" s="56">
        <f t="shared" si="47"/>
        <v>0.58900000000000008</v>
      </c>
      <c r="O59" s="56">
        <f t="shared" si="47"/>
        <v>0.24199999999999999</v>
      </c>
      <c r="P59" s="56">
        <f t="shared" si="47"/>
        <v>0.69399999999999995</v>
      </c>
      <c r="Q59" s="56">
        <f t="shared" si="36"/>
        <v>0.76400000000000012</v>
      </c>
    </row>
    <row r="60" spans="1:17" x14ac:dyDescent="0.25">
      <c r="A60" s="53" t="s">
        <v>274</v>
      </c>
      <c r="B60" s="54">
        <v>0.151</v>
      </c>
      <c r="C60" s="69">
        <f>+'Costo M.P.yMat.'!$C$89</f>
        <v>8.82</v>
      </c>
      <c r="D60" s="56">
        <f t="shared" si="32"/>
        <v>1.33182</v>
      </c>
      <c r="E60" s="56">
        <f t="shared" si="33"/>
        <v>2.66364</v>
      </c>
      <c r="G60" s="118">
        <f t="shared" si="41"/>
        <v>16.400000000000002</v>
      </c>
      <c r="I60" s="56">
        <f t="shared" si="34"/>
        <v>0.99220589999999997</v>
      </c>
      <c r="J60" s="56">
        <f t="shared" ref="J60:P60" si="48">+$C60*J32</f>
        <v>1.9977299999999998</v>
      </c>
      <c r="K60" s="56">
        <f t="shared" si="48"/>
        <v>1.3651154999999997</v>
      </c>
      <c r="L60" s="56">
        <f t="shared" si="48"/>
        <v>1.9710935999999999</v>
      </c>
      <c r="M60" s="56">
        <f t="shared" si="48"/>
        <v>1.9977299999999998</v>
      </c>
      <c r="N60" s="56">
        <f t="shared" si="48"/>
        <v>1.9111616999999999</v>
      </c>
      <c r="O60" s="56">
        <f t="shared" si="48"/>
        <v>0.67256910000000003</v>
      </c>
      <c r="P60" s="56">
        <f t="shared" si="48"/>
        <v>2.66364</v>
      </c>
      <c r="Q60" s="56">
        <f t="shared" si="36"/>
        <v>2.7968220000000001</v>
      </c>
    </row>
    <row r="61" spans="1:17" x14ac:dyDescent="0.25">
      <c r="A61" s="53" t="s">
        <v>275</v>
      </c>
      <c r="B61" s="54">
        <v>0.25700000000000001</v>
      </c>
      <c r="C61" s="69">
        <f>+'Costo M.P.yMat.'!$C$89</f>
        <v>8.82</v>
      </c>
      <c r="D61" s="56">
        <f t="shared" si="32"/>
        <v>0</v>
      </c>
      <c r="E61" s="56">
        <f t="shared" si="33"/>
        <v>2.26674</v>
      </c>
      <c r="G61" s="118">
        <f t="shared" si="41"/>
        <v>0</v>
      </c>
      <c r="I61" s="56">
        <f t="shared" si="34"/>
        <v>0</v>
      </c>
      <c r="J61" s="56">
        <f t="shared" ref="J61:P61" si="49">+$C61*J33</f>
        <v>0</v>
      </c>
      <c r="K61" s="56">
        <f t="shared" si="49"/>
        <v>0</v>
      </c>
      <c r="L61" s="56">
        <f t="shared" si="49"/>
        <v>0</v>
      </c>
      <c r="M61" s="56">
        <f t="shared" si="49"/>
        <v>0</v>
      </c>
      <c r="N61" s="56">
        <f t="shared" si="49"/>
        <v>0</v>
      </c>
      <c r="O61" s="56">
        <f t="shared" si="49"/>
        <v>0</v>
      </c>
      <c r="P61" s="56">
        <f t="shared" si="49"/>
        <v>0</v>
      </c>
      <c r="Q61" s="56">
        <f t="shared" si="36"/>
        <v>0</v>
      </c>
    </row>
    <row r="62" spans="1:17" x14ac:dyDescent="0.25">
      <c r="A62" s="53" t="s">
        <v>210</v>
      </c>
      <c r="B62" s="54">
        <v>1.0129999999999999</v>
      </c>
      <c r="C62" s="69">
        <f>+'Costo M.P.yMat.'!$C$89</f>
        <v>8.82</v>
      </c>
      <c r="D62" s="56">
        <f t="shared" si="32"/>
        <v>8.9346599999999992</v>
      </c>
      <c r="E62" s="56">
        <f t="shared" si="33"/>
        <v>8.9346599999999992</v>
      </c>
      <c r="G62" s="118">
        <f t="shared" si="41"/>
        <v>127.69999999999999</v>
      </c>
      <c r="I62" s="56">
        <f t="shared" si="34"/>
        <v>17.824646699999999</v>
      </c>
      <c r="J62" s="56">
        <f t="shared" ref="J62:P62" si="50">+$C62*J34</f>
        <v>17.869319999999998</v>
      </c>
      <c r="K62" s="56">
        <f t="shared" si="50"/>
        <v>10.721591999999999</v>
      </c>
      <c r="L62" s="56">
        <f t="shared" si="50"/>
        <v>17.869319999999998</v>
      </c>
      <c r="M62" s="56">
        <f t="shared" si="50"/>
        <v>15.099575399999999</v>
      </c>
      <c r="N62" s="56">
        <f t="shared" si="50"/>
        <v>13.491336599999999</v>
      </c>
      <c r="O62" s="56">
        <f t="shared" si="50"/>
        <v>6.2989352999999992</v>
      </c>
      <c r="P62" s="56">
        <f t="shared" si="50"/>
        <v>13.133950199999999</v>
      </c>
      <c r="Q62" s="56">
        <f t="shared" si="36"/>
        <v>15.367615199999999</v>
      </c>
    </row>
    <row r="63" spans="1:17" x14ac:dyDescent="0.25">
      <c r="A63" s="53" t="s">
        <v>211</v>
      </c>
      <c r="B63" s="54">
        <v>0.40799999999999997</v>
      </c>
      <c r="C63" s="69">
        <f>+'Costo M.P.yMat.'!$C$89</f>
        <v>8.82</v>
      </c>
      <c r="D63" s="56">
        <f t="shared" si="32"/>
        <v>3.59856</v>
      </c>
      <c r="E63" s="56">
        <f t="shared" si="33"/>
        <v>3.59856</v>
      </c>
      <c r="G63" s="118">
        <f t="shared" si="41"/>
        <v>51.5</v>
      </c>
      <c r="H63" s="25" t="e">
        <f>+#REF!/6</f>
        <v>#REF!</v>
      </c>
      <c r="I63" s="56">
        <f t="shared" si="34"/>
        <v>7.1791272000000008</v>
      </c>
      <c r="J63" s="56">
        <f t="shared" ref="J63:P63" si="51">+$C63*J35</f>
        <v>7.19712</v>
      </c>
      <c r="K63" s="56">
        <f t="shared" si="51"/>
        <v>4.3182719999999994</v>
      </c>
      <c r="L63" s="56">
        <f t="shared" si="51"/>
        <v>7.19712</v>
      </c>
      <c r="M63" s="56">
        <f t="shared" si="51"/>
        <v>6.0815663999999998</v>
      </c>
      <c r="N63" s="56">
        <f t="shared" si="51"/>
        <v>5.4338255999999996</v>
      </c>
      <c r="O63" s="56">
        <f t="shared" si="51"/>
        <v>2.5369847999999995</v>
      </c>
      <c r="P63" s="56">
        <f t="shared" si="51"/>
        <v>5.2898832000000002</v>
      </c>
      <c r="Q63" s="56">
        <f t="shared" si="36"/>
        <v>6.1895232</v>
      </c>
    </row>
    <row r="64" spans="1:17" x14ac:dyDescent="0.25">
      <c r="A64" s="53" t="s">
        <v>212</v>
      </c>
      <c r="B64" s="54">
        <v>0.47799999999999998</v>
      </c>
      <c r="C64" s="69">
        <f>+'Costo M.P.yMat.'!$C$89</f>
        <v>8.82</v>
      </c>
      <c r="D64" s="56">
        <f t="shared" si="32"/>
        <v>4.2159599999999999</v>
      </c>
      <c r="E64" s="56">
        <f t="shared" si="33"/>
        <v>4.2159599999999999</v>
      </c>
      <c r="G64" s="118">
        <f t="shared" si="41"/>
        <v>60.300000000000004</v>
      </c>
      <c r="H64" s="25" t="e">
        <f>+#REF!/6</f>
        <v>#REF!</v>
      </c>
      <c r="I64" s="56">
        <f t="shared" si="34"/>
        <v>8.4108401999999991</v>
      </c>
      <c r="J64" s="56">
        <f t="shared" ref="J64:P64" si="52">+$C64*J36</f>
        <v>8.4319199999999999</v>
      </c>
      <c r="K64" s="56">
        <f t="shared" si="52"/>
        <v>5.0591520000000001</v>
      </c>
      <c r="L64" s="56">
        <f t="shared" si="52"/>
        <v>8.4319199999999999</v>
      </c>
      <c r="M64" s="56">
        <f t="shared" si="52"/>
        <v>7.1249723999999999</v>
      </c>
      <c r="N64" s="56">
        <f t="shared" si="52"/>
        <v>6.3660996000000001</v>
      </c>
      <c r="O64" s="56">
        <f t="shared" si="52"/>
        <v>2.9722517999999996</v>
      </c>
      <c r="P64" s="56">
        <f t="shared" si="52"/>
        <v>6.1974611999999993</v>
      </c>
      <c r="Q64" s="56">
        <f t="shared" si="36"/>
        <v>7.2514512</v>
      </c>
    </row>
    <row r="65" spans="1:17" x14ac:dyDescent="0.25">
      <c r="A65" s="53" t="s">
        <v>213</v>
      </c>
      <c r="B65" s="54">
        <v>0.125</v>
      </c>
      <c r="C65" s="69">
        <f>+'Costo M.P.yMat.'!$C$89</f>
        <v>8.82</v>
      </c>
      <c r="D65" s="56">
        <f t="shared" si="32"/>
        <v>1.1025</v>
      </c>
      <c r="E65" s="56">
        <f t="shared" si="33"/>
        <v>1.1025</v>
      </c>
      <c r="G65" s="118">
        <f t="shared" si="41"/>
        <v>15.799999999999999</v>
      </c>
      <c r="H65" s="25" t="e">
        <f>+#REF!/6</f>
        <v>#REF!</v>
      </c>
      <c r="I65" s="56">
        <f t="shared" ref="I65:I72" si="53">+$C65*I37</f>
        <v>2.1994875</v>
      </c>
      <c r="J65" s="56">
        <f t="shared" ref="J65:P65" si="54">+$C65*J37</f>
        <v>2.2050000000000001</v>
      </c>
      <c r="K65" s="56">
        <f t="shared" si="54"/>
        <v>1.323</v>
      </c>
      <c r="L65" s="56">
        <f t="shared" si="54"/>
        <v>2.2050000000000001</v>
      </c>
      <c r="M65" s="56">
        <f t="shared" si="54"/>
        <v>1.8632249999999999</v>
      </c>
      <c r="N65" s="56">
        <f t="shared" si="54"/>
        <v>1.6647750000000001</v>
      </c>
      <c r="O65" s="56">
        <f t="shared" si="54"/>
        <v>0.77726249999999997</v>
      </c>
      <c r="P65" s="56">
        <f t="shared" si="54"/>
        <v>1.6206750000000001</v>
      </c>
      <c r="Q65" s="56">
        <f t="shared" si="36"/>
        <v>1.8963000000000001</v>
      </c>
    </row>
    <row r="66" spans="1:17" x14ac:dyDescent="0.25">
      <c r="A66" s="60">
        <v>1510</v>
      </c>
      <c r="B66" s="54"/>
      <c r="C66" s="69">
        <f>+'Costo M.P.yMat.'!C73</f>
        <v>27.78</v>
      </c>
      <c r="D66" s="56">
        <f t="shared" si="32"/>
        <v>27.78</v>
      </c>
      <c r="E66" s="56">
        <f t="shared" si="33"/>
        <v>27.78</v>
      </c>
      <c r="G66" s="118">
        <f t="shared" si="41"/>
        <v>27.8</v>
      </c>
      <c r="I66" s="56">
        <f t="shared" si="53"/>
        <v>0</v>
      </c>
      <c r="J66" s="56">
        <f t="shared" ref="J66:P66" si="55">+$C66*J38</f>
        <v>0</v>
      </c>
      <c r="K66" s="56">
        <f t="shared" si="55"/>
        <v>0</v>
      </c>
      <c r="L66" s="56">
        <f t="shared" si="55"/>
        <v>0</v>
      </c>
      <c r="M66" s="56">
        <f t="shared" si="55"/>
        <v>0</v>
      </c>
      <c r="N66" s="56">
        <f t="shared" si="55"/>
        <v>0</v>
      </c>
      <c r="O66" s="56">
        <f t="shared" si="55"/>
        <v>0</v>
      </c>
      <c r="P66" s="56">
        <f t="shared" si="55"/>
        <v>0</v>
      </c>
      <c r="Q66" s="56">
        <f t="shared" si="36"/>
        <v>27.78</v>
      </c>
    </row>
    <row r="67" spans="1:17" x14ac:dyDescent="0.25">
      <c r="A67" s="60">
        <v>1511</v>
      </c>
      <c r="B67" s="54"/>
      <c r="C67" s="69">
        <f>+'Costo M.P.yMat.'!C74</f>
        <v>16.55</v>
      </c>
      <c r="D67" s="56">
        <f t="shared" si="32"/>
        <v>0</v>
      </c>
      <c r="E67" s="56">
        <f t="shared" si="33"/>
        <v>16.55</v>
      </c>
      <c r="G67" s="118">
        <f t="shared" si="41"/>
        <v>0</v>
      </c>
      <c r="I67" s="56">
        <f t="shared" si="53"/>
        <v>0</v>
      </c>
      <c r="J67" s="56">
        <f t="shared" ref="J67:P67" si="56">+$C67*J39</f>
        <v>0</v>
      </c>
      <c r="K67" s="56">
        <f t="shared" si="56"/>
        <v>0</v>
      </c>
      <c r="L67" s="56">
        <f t="shared" si="56"/>
        <v>0</v>
      </c>
      <c r="M67" s="56">
        <f t="shared" si="56"/>
        <v>0</v>
      </c>
      <c r="N67" s="56">
        <f t="shared" si="56"/>
        <v>0</v>
      </c>
      <c r="O67" s="56">
        <f t="shared" si="56"/>
        <v>0</v>
      </c>
      <c r="P67" s="56">
        <f t="shared" si="56"/>
        <v>0</v>
      </c>
      <c r="Q67" s="56">
        <f t="shared" si="36"/>
        <v>0</v>
      </c>
    </row>
    <row r="68" spans="1:17" x14ac:dyDescent="0.25">
      <c r="A68" s="53" t="s">
        <v>214</v>
      </c>
      <c r="B68" s="6"/>
      <c r="C68" s="69">
        <f>+'Costo M.P.yMat.'!C75</f>
        <v>3.59</v>
      </c>
      <c r="D68" s="56">
        <f t="shared" si="32"/>
        <v>3.59</v>
      </c>
      <c r="E68" s="56">
        <f t="shared" si="33"/>
        <v>0</v>
      </c>
      <c r="G68" s="118">
        <f t="shared" si="41"/>
        <v>3.6</v>
      </c>
      <c r="I68" s="56">
        <f t="shared" si="53"/>
        <v>0</v>
      </c>
      <c r="J68" s="56">
        <f t="shared" ref="J68:P68" si="57">+$C68*J40</f>
        <v>0</v>
      </c>
      <c r="K68" s="56">
        <f t="shared" si="57"/>
        <v>0</v>
      </c>
      <c r="L68" s="56">
        <f t="shared" si="57"/>
        <v>0</v>
      </c>
      <c r="M68" s="56">
        <f t="shared" si="57"/>
        <v>0</v>
      </c>
      <c r="N68" s="56">
        <f t="shared" si="57"/>
        <v>0</v>
      </c>
      <c r="O68" s="56">
        <f t="shared" si="57"/>
        <v>0</v>
      </c>
      <c r="P68" s="56">
        <f t="shared" si="57"/>
        <v>0</v>
      </c>
      <c r="Q68" s="56">
        <f t="shared" si="36"/>
        <v>3.59</v>
      </c>
    </row>
    <row r="69" spans="1:17" x14ac:dyDescent="0.25">
      <c r="A69" s="53" t="s">
        <v>215</v>
      </c>
      <c r="B69" s="54"/>
      <c r="C69" s="69">
        <f>+'Costo M.P.yMat.'!C59</f>
        <v>3.8699999999999997</v>
      </c>
      <c r="D69" s="56">
        <f t="shared" si="32"/>
        <v>7.7399999999999993</v>
      </c>
      <c r="E69" s="56">
        <f t="shared" si="33"/>
        <v>15.479999999999999</v>
      </c>
      <c r="G69" s="118">
        <f t="shared" si="41"/>
        <v>69.699999999999989</v>
      </c>
      <c r="I69" s="56">
        <f t="shared" si="53"/>
        <v>7.7399999999999993</v>
      </c>
      <c r="J69" s="56">
        <f t="shared" ref="J69:P69" si="58">+$C69*J41</f>
        <v>7.7399999999999993</v>
      </c>
      <c r="K69" s="56">
        <f t="shared" si="58"/>
        <v>7.7399999999999993</v>
      </c>
      <c r="L69" s="56">
        <f t="shared" si="58"/>
        <v>7.7399999999999993</v>
      </c>
      <c r="M69" s="56">
        <f t="shared" si="58"/>
        <v>7.7399999999999993</v>
      </c>
      <c r="N69" s="56">
        <f t="shared" si="58"/>
        <v>7.7399999999999993</v>
      </c>
      <c r="O69" s="56">
        <f t="shared" si="58"/>
        <v>7.7399999999999993</v>
      </c>
      <c r="P69" s="56">
        <f t="shared" si="58"/>
        <v>7.7399999999999993</v>
      </c>
      <c r="Q69" s="56">
        <f t="shared" si="36"/>
        <v>7.7399999999999993</v>
      </c>
    </row>
    <row r="70" spans="1:17" x14ac:dyDescent="0.25">
      <c r="A70" s="53" t="s">
        <v>216</v>
      </c>
      <c r="B70" s="54"/>
      <c r="C70" s="69">
        <f>+'Costo M.P.yMat.'!C79</f>
        <v>2.76</v>
      </c>
      <c r="D70" s="56">
        <f t="shared" si="32"/>
        <v>0</v>
      </c>
      <c r="E70" s="56">
        <f t="shared" si="33"/>
        <v>0</v>
      </c>
      <c r="G70" s="118">
        <f t="shared" si="41"/>
        <v>22.1</v>
      </c>
      <c r="I70" s="56">
        <f t="shared" si="53"/>
        <v>2.76</v>
      </c>
      <c r="J70" s="56">
        <f t="shared" ref="J70:P70" si="59">+$C70*J42</f>
        <v>2.76</v>
      </c>
      <c r="K70" s="56">
        <f t="shared" si="59"/>
        <v>2.76</v>
      </c>
      <c r="L70" s="56">
        <f t="shared" si="59"/>
        <v>2.76</v>
      </c>
      <c r="M70" s="56">
        <f t="shared" si="59"/>
        <v>2.76</v>
      </c>
      <c r="N70" s="56">
        <f t="shared" si="59"/>
        <v>2.76</v>
      </c>
      <c r="O70" s="56">
        <f t="shared" si="59"/>
        <v>2.76</v>
      </c>
      <c r="P70" s="56">
        <f t="shared" si="59"/>
        <v>2.76</v>
      </c>
      <c r="Q70" s="56">
        <f t="shared" si="36"/>
        <v>0</v>
      </c>
    </row>
    <row r="71" spans="1:17" x14ac:dyDescent="0.25">
      <c r="A71" s="53">
        <v>1335</v>
      </c>
      <c r="B71" s="54"/>
      <c r="C71" s="69">
        <f>+'Costo M.P.yMat.'!C70</f>
        <v>6.83</v>
      </c>
      <c r="D71" s="56">
        <f t="shared" si="32"/>
        <v>0</v>
      </c>
      <c r="E71" s="56">
        <f t="shared" si="33"/>
        <v>0</v>
      </c>
      <c r="G71" s="118">
        <f t="shared" si="41"/>
        <v>54.7</v>
      </c>
      <c r="I71" s="56">
        <f t="shared" si="53"/>
        <v>6.83</v>
      </c>
      <c r="J71" s="56">
        <f t="shared" ref="J71:P71" si="60">+$C71*J43</f>
        <v>6.83</v>
      </c>
      <c r="K71" s="56">
        <f t="shared" si="60"/>
        <v>6.83</v>
      </c>
      <c r="L71" s="56">
        <f t="shared" si="60"/>
        <v>6.83</v>
      </c>
      <c r="M71" s="56">
        <f t="shared" si="60"/>
        <v>6.83</v>
      </c>
      <c r="N71" s="56">
        <f t="shared" si="60"/>
        <v>6.83</v>
      </c>
      <c r="O71" s="56">
        <f t="shared" si="60"/>
        <v>6.83</v>
      </c>
      <c r="P71" s="56">
        <f t="shared" si="60"/>
        <v>6.83</v>
      </c>
      <c r="Q71" s="56">
        <f t="shared" si="36"/>
        <v>0</v>
      </c>
    </row>
    <row r="72" spans="1:17" x14ac:dyDescent="0.25">
      <c r="A72" s="53" t="s">
        <v>217</v>
      </c>
      <c r="B72" s="54"/>
      <c r="C72" s="69">
        <f>+'Costo M.P.yMat.'!C51</f>
        <v>1.21</v>
      </c>
      <c r="D72" s="56">
        <f t="shared" si="32"/>
        <v>0</v>
      </c>
      <c r="E72" s="56">
        <f t="shared" si="33"/>
        <v>0</v>
      </c>
      <c r="G72" s="118">
        <f t="shared" si="41"/>
        <v>9.6999999999999993</v>
      </c>
      <c r="I72" s="56">
        <f t="shared" si="53"/>
        <v>1.21</v>
      </c>
      <c r="J72" s="56">
        <f t="shared" ref="J72:P72" si="61">+$C72*J44</f>
        <v>1.21</v>
      </c>
      <c r="K72" s="56">
        <f t="shared" si="61"/>
        <v>1.21</v>
      </c>
      <c r="L72" s="56">
        <f t="shared" si="61"/>
        <v>1.21</v>
      </c>
      <c r="M72" s="56">
        <f t="shared" si="61"/>
        <v>1.21</v>
      </c>
      <c r="N72" s="56">
        <f t="shared" si="61"/>
        <v>1.21</v>
      </c>
      <c r="O72" s="56">
        <f t="shared" si="61"/>
        <v>1.21</v>
      </c>
      <c r="P72" s="56">
        <f t="shared" si="61"/>
        <v>1.21</v>
      </c>
      <c r="Q72" s="56">
        <f t="shared" si="36"/>
        <v>0</v>
      </c>
    </row>
    <row r="73" spans="1:17" x14ac:dyDescent="0.25">
      <c r="C73" s="70"/>
      <c r="D73" s="65"/>
      <c r="E73" s="65"/>
      <c r="I73" s="65"/>
      <c r="J73" s="65"/>
      <c r="K73" s="65"/>
      <c r="L73" s="65"/>
      <c r="M73" s="65"/>
      <c r="N73" s="65"/>
      <c r="O73" s="65"/>
      <c r="P73" s="65"/>
      <c r="Q73" s="65"/>
    </row>
    <row r="74" spans="1:17" x14ac:dyDescent="0.25">
      <c r="C74" s="70"/>
      <c r="D74" s="65"/>
      <c r="E74" s="65"/>
      <c r="I74" s="65"/>
      <c r="J74" s="65"/>
      <c r="K74" s="65"/>
      <c r="L74" s="65"/>
      <c r="M74" s="65"/>
      <c r="N74" s="65"/>
      <c r="O74" s="65"/>
      <c r="P74" s="65"/>
      <c r="Q74" s="65"/>
    </row>
    <row r="75" spans="1:17" s="72" customFormat="1" ht="15.6" x14ac:dyDescent="0.3">
      <c r="A75" s="66" t="s">
        <v>194</v>
      </c>
      <c r="B75" s="67"/>
      <c r="C75" s="68"/>
      <c r="D75" s="68">
        <f>SUM(D76:D99)</f>
        <v>108.5535</v>
      </c>
      <c r="E75" s="68">
        <f>SUM(E76:E99)</f>
        <v>128.68206000000001</v>
      </c>
      <c r="F75" s="71"/>
      <c r="G75" s="119">
        <f t="shared" ref="G75:G99" si="62">ROUNDUP(SUM(I75:IV75),1)</f>
        <v>1460.6</v>
      </c>
      <c r="I75" s="68">
        <f>SUM(I76:I99)</f>
        <v>129.8661075</v>
      </c>
      <c r="J75" s="68">
        <f t="shared" ref="J75:Q75" si="63">SUM(J76:J99)</f>
        <v>202.70008999999999</v>
      </c>
      <c r="K75" s="68">
        <f t="shared" si="63"/>
        <v>104.30228149999998</v>
      </c>
      <c r="L75" s="68">
        <f t="shared" si="63"/>
        <v>200.77781359999997</v>
      </c>
      <c r="M75" s="68">
        <f t="shared" si="63"/>
        <v>175.78288919999997</v>
      </c>
      <c r="N75" s="68">
        <f t="shared" si="63"/>
        <v>155.3075485</v>
      </c>
      <c r="O75" s="68">
        <f t="shared" si="63"/>
        <v>51.317503499999994</v>
      </c>
      <c r="P75" s="68">
        <f t="shared" si="63"/>
        <v>193.07726959999994</v>
      </c>
      <c r="Q75" s="68">
        <f t="shared" si="63"/>
        <v>247.40407160000001</v>
      </c>
    </row>
    <row r="76" spans="1:17" x14ac:dyDescent="0.25">
      <c r="A76" s="53" t="s">
        <v>35</v>
      </c>
      <c r="B76" s="54"/>
      <c r="C76" s="69">
        <f>+'Costo M.P.yMat.'!D26</f>
        <v>33</v>
      </c>
      <c r="D76" s="56">
        <f t="shared" ref="D76:D99" si="64">+$C76*D21</f>
        <v>34.65</v>
      </c>
      <c r="E76" s="56">
        <f t="shared" ref="E76:E99" si="65">+$C76*E21</f>
        <v>0</v>
      </c>
      <c r="G76" s="118">
        <f t="shared" si="62"/>
        <v>689.80000000000007</v>
      </c>
      <c r="I76" s="56">
        <f t="shared" ref="I76:I91" si="66">+$C76*I21</f>
        <v>50.276325</v>
      </c>
      <c r="J76" s="56">
        <f t="shared" ref="J76:P76" si="67">+$C76*J21</f>
        <v>101.47500000000001</v>
      </c>
      <c r="K76" s="56">
        <f t="shared" si="67"/>
        <v>42.281249999999993</v>
      </c>
      <c r="L76" s="56">
        <f t="shared" si="67"/>
        <v>100.122</v>
      </c>
      <c r="M76" s="56">
        <f t="shared" si="67"/>
        <v>86.13000000000001</v>
      </c>
      <c r="N76" s="56">
        <f t="shared" si="67"/>
        <v>73.873800000000017</v>
      </c>
      <c r="O76" s="56">
        <f t="shared" si="67"/>
        <v>12.582075</v>
      </c>
      <c r="P76" s="56">
        <f t="shared" si="67"/>
        <v>100.32000000000001</v>
      </c>
      <c r="Q76" s="56">
        <f t="shared" ref="Q76:Q99" si="68">+$C76*Q21</f>
        <v>122.661</v>
      </c>
    </row>
    <row r="77" spans="1:17" x14ac:dyDescent="0.25">
      <c r="A77" s="53" t="s">
        <v>42</v>
      </c>
      <c r="B77" s="54"/>
      <c r="C77" s="69">
        <f>+'Costo M.P.yMat.'!D31</f>
        <v>48.4</v>
      </c>
      <c r="D77" s="56">
        <f t="shared" si="64"/>
        <v>0</v>
      </c>
      <c r="E77" s="56">
        <f t="shared" si="65"/>
        <v>0</v>
      </c>
      <c r="G77" s="118">
        <f t="shared" si="62"/>
        <v>0</v>
      </c>
      <c r="I77" s="56">
        <f t="shared" si="66"/>
        <v>0</v>
      </c>
      <c r="J77" s="56">
        <f t="shared" ref="J77:P77" si="69">+$C77*J22</f>
        <v>0</v>
      </c>
      <c r="K77" s="56">
        <f t="shared" si="69"/>
        <v>0</v>
      </c>
      <c r="L77" s="56">
        <f t="shared" si="69"/>
        <v>0</v>
      </c>
      <c r="M77" s="56">
        <f t="shared" si="69"/>
        <v>0</v>
      </c>
      <c r="N77" s="56">
        <f t="shared" si="69"/>
        <v>0</v>
      </c>
      <c r="O77" s="56">
        <f t="shared" si="69"/>
        <v>0</v>
      </c>
      <c r="P77" s="56">
        <f t="shared" si="69"/>
        <v>0</v>
      </c>
      <c r="Q77" s="56">
        <f t="shared" si="68"/>
        <v>0</v>
      </c>
    </row>
    <row r="78" spans="1:17" x14ac:dyDescent="0.25">
      <c r="A78" s="53" t="s">
        <v>38</v>
      </c>
      <c r="B78" s="54"/>
      <c r="C78" s="69">
        <f>+'Costo M.P.yMat.'!D27</f>
        <v>30.8</v>
      </c>
      <c r="D78" s="56">
        <f t="shared" si="64"/>
        <v>0</v>
      </c>
      <c r="E78" s="56">
        <f t="shared" si="65"/>
        <v>32.340000000000003</v>
      </c>
      <c r="G78" s="118">
        <f t="shared" si="62"/>
        <v>0</v>
      </c>
      <c r="I78" s="56">
        <f t="shared" si="66"/>
        <v>0</v>
      </c>
      <c r="J78" s="56">
        <f t="shared" ref="J78:P78" si="70">+$C78*J23</f>
        <v>0</v>
      </c>
      <c r="K78" s="56">
        <f t="shared" si="70"/>
        <v>0</v>
      </c>
      <c r="L78" s="56">
        <f t="shared" si="70"/>
        <v>0</v>
      </c>
      <c r="M78" s="56">
        <f t="shared" si="70"/>
        <v>0</v>
      </c>
      <c r="N78" s="56">
        <f t="shared" si="70"/>
        <v>0</v>
      </c>
      <c r="O78" s="56">
        <f t="shared" si="70"/>
        <v>0</v>
      </c>
      <c r="P78" s="56">
        <f t="shared" si="70"/>
        <v>0</v>
      </c>
      <c r="Q78" s="56">
        <f t="shared" si="68"/>
        <v>0</v>
      </c>
    </row>
    <row r="79" spans="1:17" x14ac:dyDescent="0.25">
      <c r="A79" s="53" t="s">
        <v>43</v>
      </c>
      <c r="B79" s="54"/>
      <c r="C79" s="69">
        <f>+'Costo M.P.yMat.'!D32</f>
        <v>46.2</v>
      </c>
      <c r="D79" s="56">
        <f t="shared" si="64"/>
        <v>0</v>
      </c>
      <c r="E79" s="56">
        <f t="shared" si="65"/>
        <v>0</v>
      </c>
      <c r="G79" s="118">
        <f t="shared" si="62"/>
        <v>0</v>
      </c>
      <c r="I79" s="56">
        <f t="shared" si="66"/>
        <v>0</v>
      </c>
      <c r="J79" s="56">
        <f t="shared" ref="J79:P79" si="71">+$C79*J24</f>
        <v>0</v>
      </c>
      <c r="K79" s="56">
        <f t="shared" si="71"/>
        <v>0</v>
      </c>
      <c r="L79" s="56">
        <f t="shared" si="71"/>
        <v>0</v>
      </c>
      <c r="M79" s="56">
        <f t="shared" si="71"/>
        <v>0</v>
      </c>
      <c r="N79" s="56">
        <f t="shared" si="71"/>
        <v>0</v>
      </c>
      <c r="O79" s="56">
        <f t="shared" si="71"/>
        <v>0</v>
      </c>
      <c r="P79" s="56">
        <f t="shared" si="71"/>
        <v>0</v>
      </c>
      <c r="Q79" s="56">
        <f t="shared" si="68"/>
        <v>0</v>
      </c>
    </row>
    <row r="80" spans="1:17" x14ac:dyDescent="0.25">
      <c r="A80" s="53" t="s">
        <v>189</v>
      </c>
      <c r="B80" s="54"/>
      <c r="C80" s="69">
        <f>+'Costo M.P.yMat.'!D84</f>
        <v>11</v>
      </c>
      <c r="D80" s="56">
        <f t="shared" si="64"/>
        <v>11</v>
      </c>
      <c r="E80" s="56">
        <f t="shared" si="65"/>
        <v>11</v>
      </c>
      <c r="G80" s="118">
        <f t="shared" si="62"/>
        <v>223.2</v>
      </c>
      <c r="I80" s="56">
        <f t="shared" si="66"/>
        <v>16.349025000000001</v>
      </c>
      <c r="J80" s="56">
        <f t="shared" ref="J80:P80" si="72">+$C80*J25</f>
        <v>33</v>
      </c>
      <c r="K80" s="56">
        <f t="shared" si="72"/>
        <v>13.529999999999998</v>
      </c>
      <c r="L80" s="56">
        <f t="shared" si="72"/>
        <v>32.56</v>
      </c>
      <c r="M80" s="56">
        <f t="shared" si="72"/>
        <v>27.885000000000002</v>
      </c>
      <c r="N80" s="56">
        <f t="shared" si="72"/>
        <v>23.835350000000002</v>
      </c>
      <c r="O80" s="56">
        <f t="shared" si="72"/>
        <v>3.9162749999999997</v>
      </c>
      <c r="P80" s="56">
        <f t="shared" si="72"/>
        <v>32.339999999999996</v>
      </c>
      <c r="Q80" s="56">
        <f t="shared" si="68"/>
        <v>39.731999999999999</v>
      </c>
    </row>
    <row r="81" spans="1:17" x14ac:dyDescent="0.25">
      <c r="A81" s="53" t="s">
        <v>197</v>
      </c>
      <c r="B81" s="54"/>
      <c r="C81" s="69">
        <f>+'Costo M.P.yMat.'!D7</f>
        <v>2.67</v>
      </c>
      <c r="D81" s="56">
        <f t="shared" si="64"/>
        <v>2.67</v>
      </c>
      <c r="E81" s="56">
        <f t="shared" si="65"/>
        <v>2.67</v>
      </c>
      <c r="G81" s="118">
        <f t="shared" si="62"/>
        <v>36.4</v>
      </c>
      <c r="I81" s="56">
        <f t="shared" si="66"/>
        <v>4.2141500000000001</v>
      </c>
      <c r="J81" s="56">
        <f t="shared" ref="J81:P81" si="73">+$C81*J26</f>
        <v>4.8949999999999996</v>
      </c>
      <c r="K81" s="56">
        <f t="shared" si="73"/>
        <v>3.0482499999999999</v>
      </c>
      <c r="L81" s="56">
        <f t="shared" si="73"/>
        <v>4.8772000000000002</v>
      </c>
      <c r="M81" s="56">
        <f t="shared" si="73"/>
        <v>4.3432000000000004</v>
      </c>
      <c r="N81" s="56">
        <f t="shared" si="73"/>
        <v>3.96495</v>
      </c>
      <c r="O81" s="56">
        <f t="shared" si="73"/>
        <v>1.7043499999999998</v>
      </c>
      <c r="P81" s="56">
        <f t="shared" si="73"/>
        <v>4.3965999999999994</v>
      </c>
      <c r="Q81" s="56">
        <f t="shared" si="68"/>
        <v>4.9306000000000001</v>
      </c>
    </row>
    <row r="82" spans="1:17" x14ac:dyDescent="0.25">
      <c r="A82" s="53" t="s">
        <v>16</v>
      </c>
      <c r="B82" s="54"/>
      <c r="C82" s="69">
        <f>+'Costo M.P.yMat.'!D9</f>
        <v>0.72</v>
      </c>
      <c r="D82" s="56">
        <f t="shared" si="64"/>
        <v>0.432</v>
      </c>
      <c r="E82" s="56">
        <f t="shared" si="65"/>
        <v>0.432</v>
      </c>
      <c r="G82" s="118">
        <f t="shared" si="62"/>
        <v>5.8999999999999995</v>
      </c>
      <c r="I82" s="56">
        <f t="shared" si="66"/>
        <v>0.68184</v>
      </c>
      <c r="J82" s="56">
        <f t="shared" ref="J82:P82" si="74">+$C82*J27</f>
        <v>0.79200000000000004</v>
      </c>
      <c r="K82" s="56">
        <f t="shared" si="74"/>
        <v>0.49319999999999992</v>
      </c>
      <c r="L82" s="56">
        <f t="shared" si="74"/>
        <v>0.78912000000000004</v>
      </c>
      <c r="M82" s="56">
        <f t="shared" si="74"/>
        <v>0.70272000000000001</v>
      </c>
      <c r="N82" s="56">
        <f t="shared" si="74"/>
        <v>0.64151999999999998</v>
      </c>
      <c r="O82" s="56">
        <f t="shared" si="74"/>
        <v>0.27576000000000001</v>
      </c>
      <c r="P82" s="56">
        <f t="shared" si="74"/>
        <v>0.71135999999999988</v>
      </c>
      <c r="Q82" s="56">
        <f t="shared" si="68"/>
        <v>0.79776000000000002</v>
      </c>
    </row>
    <row r="83" spans="1:17" x14ac:dyDescent="0.25">
      <c r="A83" s="53" t="s">
        <v>331</v>
      </c>
      <c r="B83" s="54">
        <v>0.2</v>
      </c>
      <c r="C83" s="69">
        <f>+'Costo M.P.yMat.'!$C$89</f>
        <v>8.82</v>
      </c>
      <c r="D83" s="56">
        <f t="shared" si="64"/>
        <v>3.5280000000000005</v>
      </c>
      <c r="E83" s="56">
        <f t="shared" si="65"/>
        <v>3.5280000000000005</v>
      </c>
      <c r="G83" s="118">
        <f t="shared" si="62"/>
        <v>43.4</v>
      </c>
      <c r="I83" s="56">
        <f t="shared" si="66"/>
        <v>2.6283599999999998</v>
      </c>
      <c r="J83" s="56">
        <f t="shared" ref="J83:P83" si="75">+$C83*J28</f>
        <v>5.2920000000000007</v>
      </c>
      <c r="K83" s="56">
        <f t="shared" si="75"/>
        <v>3.6162000000000001</v>
      </c>
      <c r="L83" s="56">
        <f t="shared" si="75"/>
        <v>5.2214400000000003</v>
      </c>
      <c r="M83" s="56">
        <f t="shared" si="75"/>
        <v>5.2920000000000007</v>
      </c>
      <c r="N83" s="56">
        <f t="shared" si="75"/>
        <v>5.0626800000000012</v>
      </c>
      <c r="O83" s="56">
        <f t="shared" si="75"/>
        <v>1.7816400000000001</v>
      </c>
      <c r="P83" s="56">
        <f t="shared" si="75"/>
        <v>7.0560000000000009</v>
      </c>
      <c r="Q83" s="56">
        <f t="shared" si="68"/>
        <v>7.4088000000000012</v>
      </c>
    </row>
    <row r="84" spans="1:17" x14ac:dyDescent="0.25">
      <c r="A84" s="53" t="s">
        <v>27</v>
      </c>
      <c r="B84" s="54"/>
      <c r="C84" s="69">
        <f>+'Costo M.P.yMat.'!D17</f>
        <v>0.17</v>
      </c>
      <c r="D84" s="56">
        <f t="shared" si="64"/>
        <v>0.68</v>
      </c>
      <c r="E84" s="56">
        <f t="shared" si="65"/>
        <v>0.68</v>
      </c>
      <c r="G84" s="118">
        <f t="shared" si="62"/>
        <v>9.4</v>
      </c>
      <c r="I84" s="56">
        <f t="shared" si="66"/>
        <v>1.1441000000000001</v>
      </c>
      <c r="J84" s="56">
        <f t="shared" ref="J84:P84" si="76">+$C84*J29</f>
        <v>1.2750000000000001</v>
      </c>
      <c r="K84" s="56">
        <f t="shared" si="76"/>
        <v>0.78625</v>
      </c>
      <c r="L84" s="56">
        <f t="shared" si="76"/>
        <v>1.2716000000000001</v>
      </c>
      <c r="M84" s="56">
        <f t="shared" si="76"/>
        <v>1.1169000000000002</v>
      </c>
      <c r="N84" s="56">
        <f t="shared" si="76"/>
        <v>1.0140500000000001</v>
      </c>
      <c r="O84" s="56">
        <f t="shared" si="76"/>
        <v>0.44539999999999996</v>
      </c>
      <c r="P84" s="56">
        <f t="shared" si="76"/>
        <v>1.0897000000000001</v>
      </c>
      <c r="Q84" s="56">
        <f t="shared" si="68"/>
        <v>1.2342</v>
      </c>
    </row>
    <row r="85" spans="1:17" x14ac:dyDescent="0.25">
      <c r="A85" s="53" t="s">
        <v>31</v>
      </c>
      <c r="B85" s="54"/>
      <c r="C85" s="69">
        <f>+'Costo M.P.yMat.'!D19</f>
        <v>0.04</v>
      </c>
      <c r="D85" s="56">
        <f t="shared" si="64"/>
        <v>0.4</v>
      </c>
      <c r="E85" s="56">
        <f t="shared" si="65"/>
        <v>0.4</v>
      </c>
      <c r="G85" s="118">
        <f t="shared" si="62"/>
        <v>5.3999999999999995</v>
      </c>
      <c r="I85" s="56">
        <f t="shared" si="66"/>
        <v>0.54800000000000004</v>
      </c>
      <c r="J85" s="56">
        <f t="shared" ref="J85:P85" si="77">+$C85*J30</f>
        <v>0.70000000000000007</v>
      </c>
      <c r="K85" s="56">
        <f t="shared" si="77"/>
        <v>0.44499999999999995</v>
      </c>
      <c r="L85" s="56">
        <f t="shared" si="77"/>
        <v>0.69599999999999995</v>
      </c>
      <c r="M85" s="56">
        <f t="shared" si="77"/>
        <v>0.63800000000000001</v>
      </c>
      <c r="N85" s="56">
        <f t="shared" si="77"/>
        <v>0.58900000000000008</v>
      </c>
      <c r="O85" s="56">
        <f t="shared" si="77"/>
        <v>0.24199999999999999</v>
      </c>
      <c r="P85" s="56">
        <f t="shared" si="77"/>
        <v>0.69399999999999995</v>
      </c>
      <c r="Q85" s="56">
        <f t="shared" si="68"/>
        <v>0.76400000000000012</v>
      </c>
    </row>
    <row r="86" spans="1:17" x14ac:dyDescent="0.25">
      <c r="A86" s="53" t="s">
        <v>32</v>
      </c>
      <c r="B86" s="54"/>
      <c r="C86" s="69">
        <f>+'Costo M.P.yMat.'!D20</f>
        <v>0.04</v>
      </c>
      <c r="D86" s="56">
        <f t="shared" si="64"/>
        <v>0.4</v>
      </c>
      <c r="E86" s="56">
        <f t="shared" si="65"/>
        <v>0.4</v>
      </c>
      <c r="G86" s="118">
        <f t="shared" si="62"/>
        <v>5.3999999999999995</v>
      </c>
      <c r="I86" s="56">
        <f t="shared" si="66"/>
        <v>0.54800000000000004</v>
      </c>
      <c r="J86" s="56">
        <f t="shared" ref="J86:P86" si="78">+$C86*J31</f>
        <v>0.70000000000000007</v>
      </c>
      <c r="K86" s="56">
        <f t="shared" si="78"/>
        <v>0.44499999999999995</v>
      </c>
      <c r="L86" s="56">
        <f t="shared" si="78"/>
        <v>0.69599999999999995</v>
      </c>
      <c r="M86" s="56">
        <f t="shared" si="78"/>
        <v>0.63800000000000001</v>
      </c>
      <c r="N86" s="56">
        <f t="shared" si="78"/>
        <v>0.58900000000000008</v>
      </c>
      <c r="O86" s="56">
        <f t="shared" si="78"/>
        <v>0.24199999999999999</v>
      </c>
      <c r="P86" s="56">
        <f t="shared" si="78"/>
        <v>0.69399999999999995</v>
      </c>
      <c r="Q86" s="56">
        <f t="shared" si="68"/>
        <v>0.76400000000000012</v>
      </c>
    </row>
    <row r="87" spans="1:17" x14ac:dyDescent="0.25">
      <c r="A87" s="53" t="s">
        <v>274</v>
      </c>
      <c r="B87" s="54">
        <v>0.151</v>
      </c>
      <c r="C87" s="69">
        <f>+'Costo M.P.yMat.'!$C$89</f>
        <v>8.82</v>
      </c>
      <c r="D87" s="56">
        <f t="shared" si="64"/>
        <v>1.33182</v>
      </c>
      <c r="E87" s="56">
        <f t="shared" si="65"/>
        <v>2.66364</v>
      </c>
      <c r="G87" s="118">
        <f t="shared" si="62"/>
        <v>16.400000000000002</v>
      </c>
      <c r="I87" s="56">
        <f t="shared" si="66"/>
        <v>0.99220589999999997</v>
      </c>
      <c r="J87" s="56">
        <f t="shared" ref="J87:P87" si="79">+$C87*J32</f>
        <v>1.9977299999999998</v>
      </c>
      <c r="K87" s="56">
        <f t="shared" si="79"/>
        <v>1.3651154999999997</v>
      </c>
      <c r="L87" s="56">
        <f t="shared" si="79"/>
        <v>1.9710935999999999</v>
      </c>
      <c r="M87" s="56">
        <f t="shared" si="79"/>
        <v>1.9977299999999998</v>
      </c>
      <c r="N87" s="56">
        <f t="shared" si="79"/>
        <v>1.9111616999999999</v>
      </c>
      <c r="O87" s="56">
        <f t="shared" si="79"/>
        <v>0.67256910000000003</v>
      </c>
      <c r="P87" s="56">
        <f t="shared" si="79"/>
        <v>2.66364</v>
      </c>
      <c r="Q87" s="56">
        <f t="shared" si="68"/>
        <v>2.7968220000000001</v>
      </c>
    </row>
    <row r="88" spans="1:17" x14ac:dyDescent="0.25">
      <c r="A88" s="53" t="s">
        <v>275</v>
      </c>
      <c r="B88" s="54">
        <v>0.25700000000000001</v>
      </c>
      <c r="C88" s="69">
        <f>+'Costo M.P.yMat.'!$C$89</f>
        <v>8.82</v>
      </c>
      <c r="D88" s="56">
        <f t="shared" si="64"/>
        <v>0</v>
      </c>
      <c r="E88" s="56">
        <f t="shared" si="65"/>
        <v>2.26674</v>
      </c>
      <c r="G88" s="118">
        <f t="shared" si="62"/>
        <v>0</v>
      </c>
      <c r="I88" s="56">
        <f t="shared" si="66"/>
        <v>0</v>
      </c>
      <c r="J88" s="56">
        <f t="shared" ref="J88:P88" si="80">+$C88*J33</f>
        <v>0</v>
      </c>
      <c r="K88" s="56">
        <f t="shared" si="80"/>
        <v>0</v>
      </c>
      <c r="L88" s="56">
        <f t="shared" si="80"/>
        <v>0</v>
      </c>
      <c r="M88" s="56">
        <f t="shared" si="80"/>
        <v>0</v>
      </c>
      <c r="N88" s="56">
        <f t="shared" si="80"/>
        <v>0</v>
      </c>
      <c r="O88" s="56">
        <f t="shared" si="80"/>
        <v>0</v>
      </c>
      <c r="P88" s="56">
        <f t="shared" si="80"/>
        <v>0</v>
      </c>
      <c r="Q88" s="56">
        <f t="shared" si="68"/>
        <v>0</v>
      </c>
    </row>
    <row r="89" spans="1:17" x14ac:dyDescent="0.25">
      <c r="A89" s="53" t="s">
        <v>210</v>
      </c>
      <c r="B89" s="54">
        <v>1.0129999999999999</v>
      </c>
      <c r="C89" s="69">
        <f>+'Costo M.P.yMat.'!$C$89</f>
        <v>8.82</v>
      </c>
      <c r="D89" s="56">
        <f t="shared" si="64"/>
        <v>8.9346599999999992</v>
      </c>
      <c r="E89" s="56">
        <f t="shared" si="65"/>
        <v>8.9346599999999992</v>
      </c>
      <c r="G89" s="118">
        <f t="shared" si="62"/>
        <v>127.69999999999999</v>
      </c>
      <c r="I89" s="56">
        <f t="shared" si="66"/>
        <v>17.824646699999999</v>
      </c>
      <c r="J89" s="56">
        <f t="shared" ref="J89:P89" si="81">+$C89*J34</f>
        <v>17.869319999999998</v>
      </c>
      <c r="K89" s="56">
        <f t="shared" si="81"/>
        <v>10.721591999999999</v>
      </c>
      <c r="L89" s="56">
        <f t="shared" si="81"/>
        <v>17.869319999999998</v>
      </c>
      <c r="M89" s="56">
        <f t="shared" si="81"/>
        <v>15.099575399999999</v>
      </c>
      <c r="N89" s="56">
        <f t="shared" si="81"/>
        <v>13.491336599999999</v>
      </c>
      <c r="O89" s="56">
        <f t="shared" si="81"/>
        <v>6.2989352999999992</v>
      </c>
      <c r="P89" s="56">
        <f t="shared" si="81"/>
        <v>13.133950199999999</v>
      </c>
      <c r="Q89" s="56">
        <f t="shared" si="68"/>
        <v>15.367615199999999</v>
      </c>
    </row>
    <row r="90" spans="1:17" x14ac:dyDescent="0.25">
      <c r="A90" s="53" t="s">
        <v>211</v>
      </c>
      <c r="B90" s="54">
        <v>0.40799999999999997</v>
      </c>
      <c r="C90" s="69">
        <f>+'Costo M.P.yMat.'!$C$89</f>
        <v>8.82</v>
      </c>
      <c r="D90" s="56">
        <f t="shared" si="64"/>
        <v>3.59856</v>
      </c>
      <c r="E90" s="56">
        <f t="shared" si="65"/>
        <v>3.59856</v>
      </c>
      <c r="G90" s="118">
        <f t="shared" si="62"/>
        <v>51.5</v>
      </c>
      <c r="I90" s="56">
        <f t="shared" si="66"/>
        <v>7.1791272000000008</v>
      </c>
      <c r="J90" s="56">
        <f t="shared" ref="J90:P90" si="82">+$C90*J35</f>
        <v>7.19712</v>
      </c>
      <c r="K90" s="56">
        <f t="shared" si="82"/>
        <v>4.3182719999999994</v>
      </c>
      <c r="L90" s="56">
        <f t="shared" si="82"/>
        <v>7.19712</v>
      </c>
      <c r="M90" s="56">
        <f t="shared" si="82"/>
        <v>6.0815663999999998</v>
      </c>
      <c r="N90" s="56">
        <f t="shared" si="82"/>
        <v>5.4338255999999996</v>
      </c>
      <c r="O90" s="56">
        <f t="shared" si="82"/>
        <v>2.5369847999999995</v>
      </c>
      <c r="P90" s="56">
        <f t="shared" si="82"/>
        <v>5.2898832000000002</v>
      </c>
      <c r="Q90" s="56">
        <f t="shared" si="68"/>
        <v>6.1895232</v>
      </c>
    </row>
    <row r="91" spans="1:17" x14ac:dyDescent="0.25">
      <c r="A91" s="53" t="s">
        <v>212</v>
      </c>
      <c r="B91" s="54">
        <v>0.47799999999999998</v>
      </c>
      <c r="C91" s="69">
        <f>+'Costo M.P.yMat.'!$C$89</f>
        <v>8.82</v>
      </c>
      <c r="D91" s="56">
        <f t="shared" si="64"/>
        <v>4.2159599999999999</v>
      </c>
      <c r="E91" s="56">
        <f t="shared" si="65"/>
        <v>4.2159599999999999</v>
      </c>
      <c r="G91" s="118">
        <f t="shared" si="62"/>
        <v>60.300000000000004</v>
      </c>
      <c r="I91" s="56">
        <f t="shared" si="66"/>
        <v>8.4108401999999991</v>
      </c>
      <c r="J91" s="56">
        <f t="shared" ref="J91:P91" si="83">+$C91*J36</f>
        <v>8.4319199999999999</v>
      </c>
      <c r="K91" s="56">
        <f t="shared" si="83"/>
        <v>5.0591520000000001</v>
      </c>
      <c r="L91" s="56">
        <f t="shared" si="83"/>
        <v>8.4319199999999999</v>
      </c>
      <c r="M91" s="56">
        <f t="shared" si="83"/>
        <v>7.1249723999999999</v>
      </c>
      <c r="N91" s="56">
        <f t="shared" si="83"/>
        <v>6.3660996000000001</v>
      </c>
      <c r="O91" s="56">
        <f t="shared" si="83"/>
        <v>2.9722517999999996</v>
      </c>
      <c r="P91" s="56">
        <f t="shared" si="83"/>
        <v>6.1974611999999993</v>
      </c>
      <c r="Q91" s="56">
        <f t="shared" si="68"/>
        <v>7.2514512</v>
      </c>
    </row>
    <row r="92" spans="1:17" x14ac:dyDescent="0.25">
      <c r="A92" s="53" t="s">
        <v>213</v>
      </c>
      <c r="B92" s="54">
        <v>0.125</v>
      </c>
      <c r="C92" s="69">
        <f>+'Costo M.P.yMat.'!$C$89</f>
        <v>8.82</v>
      </c>
      <c r="D92" s="56">
        <f t="shared" si="64"/>
        <v>1.1025</v>
      </c>
      <c r="E92" s="56">
        <f t="shared" si="65"/>
        <v>1.1025</v>
      </c>
      <c r="G92" s="118">
        <f t="shared" si="62"/>
        <v>15.799999999999999</v>
      </c>
      <c r="I92" s="56">
        <f t="shared" ref="I92:I99" si="84">+$C92*I37</f>
        <v>2.1994875</v>
      </c>
      <c r="J92" s="56">
        <f t="shared" ref="J92:P92" si="85">+$C92*J37</f>
        <v>2.2050000000000001</v>
      </c>
      <c r="K92" s="56">
        <f t="shared" si="85"/>
        <v>1.323</v>
      </c>
      <c r="L92" s="56">
        <f t="shared" si="85"/>
        <v>2.2050000000000001</v>
      </c>
      <c r="M92" s="56">
        <f t="shared" si="85"/>
        <v>1.8632249999999999</v>
      </c>
      <c r="N92" s="56">
        <f t="shared" si="85"/>
        <v>1.6647750000000001</v>
      </c>
      <c r="O92" s="56">
        <f t="shared" si="85"/>
        <v>0.77726249999999997</v>
      </c>
      <c r="P92" s="56">
        <f t="shared" si="85"/>
        <v>1.6206750000000001</v>
      </c>
      <c r="Q92" s="56">
        <f t="shared" si="68"/>
        <v>1.8963000000000001</v>
      </c>
    </row>
    <row r="93" spans="1:17" x14ac:dyDescent="0.25">
      <c r="A93" s="60">
        <v>1510</v>
      </c>
      <c r="B93" s="54"/>
      <c r="C93" s="69">
        <f>+'Costo M.P.yMat.'!D73</f>
        <v>25.3</v>
      </c>
      <c r="D93" s="56">
        <f t="shared" si="64"/>
        <v>25.3</v>
      </c>
      <c r="E93" s="56">
        <f t="shared" si="65"/>
        <v>25.3</v>
      </c>
      <c r="G93" s="118">
        <f t="shared" si="62"/>
        <v>25.3</v>
      </c>
      <c r="I93" s="56">
        <f t="shared" si="84"/>
        <v>0</v>
      </c>
      <c r="J93" s="56">
        <f t="shared" ref="J93:P93" si="86">+$C93*J38</f>
        <v>0</v>
      </c>
      <c r="K93" s="56">
        <f t="shared" si="86"/>
        <v>0</v>
      </c>
      <c r="L93" s="56">
        <f t="shared" si="86"/>
        <v>0</v>
      </c>
      <c r="M93" s="56">
        <f t="shared" si="86"/>
        <v>0</v>
      </c>
      <c r="N93" s="56">
        <f t="shared" si="86"/>
        <v>0</v>
      </c>
      <c r="O93" s="56">
        <f t="shared" si="86"/>
        <v>0</v>
      </c>
      <c r="P93" s="56">
        <f t="shared" si="86"/>
        <v>0</v>
      </c>
      <c r="Q93" s="56">
        <f t="shared" si="68"/>
        <v>25.3</v>
      </c>
    </row>
    <row r="94" spans="1:17" x14ac:dyDescent="0.25">
      <c r="A94" s="60">
        <v>1511</v>
      </c>
      <c r="B94" s="54"/>
      <c r="C94" s="69">
        <f>+'Costo M.P.yMat.'!D74</f>
        <v>15.07</v>
      </c>
      <c r="D94" s="56">
        <f t="shared" si="64"/>
        <v>0</v>
      </c>
      <c r="E94" s="56">
        <f t="shared" si="65"/>
        <v>15.07</v>
      </c>
      <c r="G94" s="118">
        <f t="shared" si="62"/>
        <v>0</v>
      </c>
      <c r="I94" s="56">
        <f t="shared" si="84"/>
        <v>0</v>
      </c>
      <c r="J94" s="56">
        <f t="shared" ref="J94:P94" si="87">+$C94*J39</f>
        <v>0</v>
      </c>
      <c r="K94" s="56">
        <f t="shared" si="87"/>
        <v>0</v>
      </c>
      <c r="L94" s="56">
        <f t="shared" si="87"/>
        <v>0</v>
      </c>
      <c r="M94" s="56">
        <f t="shared" si="87"/>
        <v>0</v>
      </c>
      <c r="N94" s="56">
        <f t="shared" si="87"/>
        <v>0</v>
      </c>
      <c r="O94" s="56">
        <f t="shared" si="87"/>
        <v>0</v>
      </c>
      <c r="P94" s="56">
        <f t="shared" si="87"/>
        <v>0</v>
      </c>
      <c r="Q94" s="56">
        <f t="shared" si="68"/>
        <v>0</v>
      </c>
    </row>
    <row r="95" spans="1:17" x14ac:dyDescent="0.25">
      <c r="A95" s="53" t="s">
        <v>214</v>
      </c>
      <c r="B95" s="6"/>
      <c r="C95" s="69">
        <f>+'Costo M.P.yMat.'!D75</f>
        <v>3.2699999999999996</v>
      </c>
      <c r="D95" s="56">
        <f t="shared" si="64"/>
        <v>3.2699999999999996</v>
      </c>
      <c r="E95" s="56">
        <f t="shared" si="65"/>
        <v>0</v>
      </c>
      <c r="G95" s="118">
        <f t="shared" si="62"/>
        <v>3.3000000000000003</v>
      </c>
      <c r="I95" s="56">
        <f t="shared" si="84"/>
        <v>0</v>
      </c>
      <c r="J95" s="56">
        <f t="shared" ref="J95:P95" si="88">+$C95*J40</f>
        <v>0</v>
      </c>
      <c r="K95" s="56">
        <f t="shared" si="88"/>
        <v>0</v>
      </c>
      <c r="L95" s="56">
        <f t="shared" si="88"/>
        <v>0</v>
      </c>
      <c r="M95" s="56">
        <f t="shared" si="88"/>
        <v>0</v>
      </c>
      <c r="N95" s="56">
        <f t="shared" si="88"/>
        <v>0</v>
      </c>
      <c r="O95" s="56">
        <f t="shared" si="88"/>
        <v>0</v>
      </c>
      <c r="P95" s="56">
        <f t="shared" si="88"/>
        <v>0</v>
      </c>
      <c r="Q95" s="56">
        <f t="shared" si="68"/>
        <v>3.2699999999999996</v>
      </c>
    </row>
    <row r="96" spans="1:17" x14ac:dyDescent="0.25">
      <c r="A96" s="53" t="s">
        <v>215</v>
      </c>
      <c r="B96" s="54"/>
      <c r="C96" s="69">
        <f>+'Costo M.P.yMat.'!D59</f>
        <v>3.52</v>
      </c>
      <c r="D96" s="56">
        <f t="shared" si="64"/>
        <v>7.04</v>
      </c>
      <c r="E96" s="56">
        <f t="shared" si="65"/>
        <v>14.08</v>
      </c>
      <c r="G96" s="118">
        <f t="shared" si="62"/>
        <v>63.4</v>
      </c>
      <c r="I96" s="56">
        <f t="shared" si="84"/>
        <v>7.04</v>
      </c>
      <c r="J96" s="56">
        <f t="shared" ref="J96:P96" si="89">+$C96*J41</f>
        <v>7.04</v>
      </c>
      <c r="K96" s="56">
        <f t="shared" si="89"/>
        <v>7.04</v>
      </c>
      <c r="L96" s="56">
        <f t="shared" si="89"/>
        <v>7.04</v>
      </c>
      <c r="M96" s="56">
        <f t="shared" si="89"/>
        <v>7.04</v>
      </c>
      <c r="N96" s="56">
        <f t="shared" si="89"/>
        <v>7.04</v>
      </c>
      <c r="O96" s="56">
        <f t="shared" si="89"/>
        <v>7.04</v>
      </c>
      <c r="P96" s="56">
        <f t="shared" si="89"/>
        <v>7.04</v>
      </c>
      <c r="Q96" s="56">
        <f t="shared" si="68"/>
        <v>7.04</v>
      </c>
    </row>
    <row r="97" spans="1:17" x14ac:dyDescent="0.25">
      <c r="A97" s="53" t="s">
        <v>216</v>
      </c>
      <c r="B97" s="54"/>
      <c r="C97" s="69">
        <f>+'Costo M.P.yMat.'!D79</f>
        <v>2.5099999999999998</v>
      </c>
      <c r="D97" s="56">
        <f t="shared" si="64"/>
        <v>0</v>
      </c>
      <c r="E97" s="56">
        <f t="shared" si="65"/>
        <v>0</v>
      </c>
      <c r="G97" s="118">
        <f t="shared" si="62"/>
        <v>20.100000000000001</v>
      </c>
      <c r="I97" s="56">
        <f t="shared" si="84"/>
        <v>2.5099999999999998</v>
      </c>
      <c r="J97" s="56">
        <f t="shared" ref="J97:P97" si="90">+$C97*J42</f>
        <v>2.5099999999999998</v>
      </c>
      <c r="K97" s="56">
        <f t="shared" si="90"/>
        <v>2.5099999999999998</v>
      </c>
      <c r="L97" s="56">
        <f t="shared" si="90"/>
        <v>2.5099999999999998</v>
      </c>
      <c r="M97" s="56">
        <f t="shared" si="90"/>
        <v>2.5099999999999998</v>
      </c>
      <c r="N97" s="56">
        <f t="shared" si="90"/>
        <v>2.5099999999999998</v>
      </c>
      <c r="O97" s="56">
        <f t="shared" si="90"/>
        <v>2.5099999999999998</v>
      </c>
      <c r="P97" s="56">
        <f t="shared" si="90"/>
        <v>2.5099999999999998</v>
      </c>
      <c r="Q97" s="56">
        <f t="shared" si="68"/>
        <v>0</v>
      </c>
    </row>
    <row r="98" spans="1:17" x14ac:dyDescent="0.25">
      <c r="A98" s="53">
        <v>1335</v>
      </c>
      <c r="B98" s="54"/>
      <c r="C98" s="69">
        <f>+'Costo M.P.yMat.'!D70</f>
        <v>6.22</v>
      </c>
      <c r="D98" s="56">
        <f t="shared" si="64"/>
        <v>0</v>
      </c>
      <c r="E98" s="56">
        <f t="shared" si="65"/>
        <v>0</v>
      </c>
      <c r="G98" s="118">
        <f t="shared" si="62"/>
        <v>49.800000000000004</v>
      </c>
      <c r="I98" s="56">
        <f t="shared" si="84"/>
        <v>6.22</v>
      </c>
      <c r="J98" s="56">
        <f t="shared" ref="J98:P98" si="91">+$C98*J43</f>
        <v>6.22</v>
      </c>
      <c r="K98" s="56">
        <f t="shared" si="91"/>
        <v>6.22</v>
      </c>
      <c r="L98" s="56">
        <f t="shared" si="91"/>
        <v>6.22</v>
      </c>
      <c r="M98" s="56">
        <f t="shared" si="91"/>
        <v>6.22</v>
      </c>
      <c r="N98" s="56">
        <f t="shared" si="91"/>
        <v>6.22</v>
      </c>
      <c r="O98" s="56">
        <f t="shared" si="91"/>
        <v>6.22</v>
      </c>
      <c r="P98" s="56">
        <f t="shared" si="91"/>
        <v>6.22</v>
      </c>
      <c r="Q98" s="56">
        <f t="shared" si="68"/>
        <v>0</v>
      </c>
    </row>
    <row r="99" spans="1:17" x14ac:dyDescent="0.25">
      <c r="A99" s="53" t="s">
        <v>217</v>
      </c>
      <c r="B99" s="54"/>
      <c r="C99" s="69">
        <f>+'Costo M.P.yMat.'!D51</f>
        <v>1.1000000000000001</v>
      </c>
      <c r="D99" s="56">
        <f t="shared" si="64"/>
        <v>0</v>
      </c>
      <c r="E99" s="56">
        <f t="shared" si="65"/>
        <v>0</v>
      </c>
      <c r="G99" s="118">
        <f t="shared" si="62"/>
        <v>8.8000000000000007</v>
      </c>
      <c r="I99" s="56">
        <f t="shared" si="84"/>
        <v>1.1000000000000001</v>
      </c>
      <c r="J99" s="56">
        <f t="shared" ref="J99:P99" si="92">+$C99*J44</f>
        <v>1.1000000000000001</v>
      </c>
      <c r="K99" s="56">
        <f t="shared" si="92"/>
        <v>1.1000000000000001</v>
      </c>
      <c r="L99" s="56">
        <f t="shared" si="92"/>
        <v>1.1000000000000001</v>
      </c>
      <c r="M99" s="56">
        <f t="shared" si="92"/>
        <v>1.1000000000000001</v>
      </c>
      <c r="N99" s="56">
        <f t="shared" si="92"/>
        <v>1.1000000000000001</v>
      </c>
      <c r="O99" s="56">
        <f t="shared" si="92"/>
        <v>1.1000000000000001</v>
      </c>
      <c r="P99" s="56">
        <f t="shared" si="92"/>
        <v>1.1000000000000001</v>
      </c>
      <c r="Q99" s="56">
        <f t="shared" si="68"/>
        <v>0</v>
      </c>
    </row>
    <row r="100" spans="1:17" x14ac:dyDescent="0.25">
      <c r="C100" s="73"/>
      <c r="D100" s="63"/>
      <c r="E100" s="63"/>
      <c r="I100" s="63"/>
      <c r="J100" s="63"/>
      <c r="K100" s="63"/>
      <c r="L100" s="63"/>
      <c r="M100" s="63"/>
      <c r="N100" s="63"/>
      <c r="O100" s="63"/>
      <c r="P100" s="63"/>
      <c r="Q100" s="63"/>
    </row>
    <row r="101" spans="1:17" x14ac:dyDescent="0.25">
      <c r="C101" s="127"/>
      <c r="D101" s="128"/>
      <c r="E101" s="128"/>
      <c r="F101" s="129"/>
      <c r="G101" s="129"/>
      <c r="I101" s="128"/>
      <c r="J101" s="128"/>
      <c r="K101" s="128"/>
      <c r="L101" s="128"/>
      <c r="M101" s="128"/>
      <c r="N101" s="128"/>
      <c r="O101" s="128"/>
      <c r="P101" s="128"/>
      <c r="Q101" s="128"/>
    </row>
    <row r="102" spans="1:17" ht="15.6" x14ac:dyDescent="0.3">
      <c r="A102" s="66" t="s">
        <v>276</v>
      </c>
      <c r="B102" s="67"/>
      <c r="C102" s="130" t="s">
        <v>272</v>
      </c>
      <c r="D102" s="130" t="s">
        <v>273</v>
      </c>
      <c r="E102" s="130" t="s">
        <v>271</v>
      </c>
      <c r="F102" s="129"/>
      <c r="G102" s="130" t="s">
        <v>270</v>
      </c>
      <c r="I102" s="130" t="s">
        <v>273</v>
      </c>
      <c r="J102" s="130" t="s">
        <v>273</v>
      </c>
      <c r="K102" s="130" t="s">
        <v>273</v>
      </c>
      <c r="L102" s="130" t="s">
        <v>273</v>
      </c>
      <c r="M102" s="130" t="s">
        <v>273</v>
      </c>
      <c r="N102" s="130" t="s">
        <v>273</v>
      </c>
      <c r="O102" s="130" t="s">
        <v>273</v>
      </c>
      <c r="P102" s="130" t="s">
        <v>273</v>
      </c>
      <c r="Q102" s="130" t="s">
        <v>273</v>
      </c>
    </row>
    <row r="103" spans="1:17" x14ac:dyDescent="0.25">
      <c r="A103" s="53" t="s">
        <v>35</v>
      </c>
      <c r="B103" s="69">
        <f>+C49</f>
        <v>36.46</v>
      </c>
      <c r="C103" s="131"/>
      <c r="D103" s="131"/>
      <c r="E103" s="131">
        <v>1</v>
      </c>
      <c r="F103" s="129"/>
      <c r="G103" s="131"/>
      <c r="I103" s="131"/>
      <c r="J103" s="131"/>
      <c r="K103" s="131"/>
      <c r="L103" s="131"/>
      <c r="M103" s="131"/>
      <c r="N103" s="131"/>
      <c r="O103" s="131"/>
      <c r="P103" s="131"/>
      <c r="Q103" s="131"/>
    </row>
    <row r="104" spans="1:17" x14ac:dyDescent="0.25">
      <c r="A104" s="53" t="s">
        <v>42</v>
      </c>
      <c r="B104" s="69">
        <f t="shared" ref="B104:B126" si="93">+C50</f>
        <v>52.41</v>
      </c>
      <c r="C104" s="131"/>
      <c r="D104" s="131"/>
      <c r="E104" s="131">
        <v>1</v>
      </c>
      <c r="F104" s="129"/>
      <c r="G104" s="131"/>
      <c r="I104" s="131"/>
      <c r="J104" s="131"/>
      <c r="K104" s="131"/>
      <c r="L104" s="131"/>
      <c r="M104" s="131"/>
      <c r="N104" s="131"/>
      <c r="O104" s="131"/>
      <c r="P104" s="131"/>
      <c r="Q104" s="131"/>
    </row>
    <row r="105" spans="1:17" x14ac:dyDescent="0.25">
      <c r="A105" s="53" t="s">
        <v>38</v>
      </c>
      <c r="B105" s="69">
        <f t="shared" si="93"/>
        <v>34.18</v>
      </c>
      <c r="C105" s="131"/>
      <c r="D105" s="131"/>
      <c r="E105" s="131">
        <v>1</v>
      </c>
      <c r="F105" s="129"/>
      <c r="G105" s="131"/>
      <c r="I105" s="131"/>
      <c r="J105" s="131"/>
      <c r="K105" s="131"/>
      <c r="L105" s="131"/>
      <c r="M105" s="131"/>
      <c r="N105" s="131"/>
      <c r="O105" s="131"/>
      <c r="P105" s="131"/>
      <c r="Q105" s="131"/>
    </row>
    <row r="106" spans="1:17" x14ac:dyDescent="0.25">
      <c r="A106" s="53" t="s">
        <v>43</v>
      </c>
      <c r="B106" s="69">
        <f t="shared" si="93"/>
        <v>50.129999999999995</v>
      </c>
      <c r="C106" s="131"/>
      <c r="D106" s="131"/>
      <c r="E106" s="131">
        <v>1</v>
      </c>
      <c r="F106" s="129"/>
      <c r="G106" s="131"/>
      <c r="I106" s="131"/>
      <c r="J106" s="131"/>
      <c r="K106" s="131"/>
      <c r="L106" s="131"/>
      <c r="M106" s="131"/>
      <c r="N106" s="131"/>
      <c r="O106" s="131"/>
      <c r="P106" s="131"/>
      <c r="Q106" s="131"/>
    </row>
    <row r="107" spans="1:17" x14ac:dyDescent="0.25">
      <c r="A107" s="53" t="s">
        <v>189</v>
      </c>
      <c r="B107" s="69">
        <f t="shared" si="93"/>
        <v>12.08</v>
      </c>
      <c r="C107" s="131"/>
      <c r="D107" s="131"/>
      <c r="E107" s="131">
        <v>1</v>
      </c>
      <c r="F107" s="129"/>
      <c r="G107" s="131"/>
      <c r="I107" s="131"/>
      <c r="J107" s="131"/>
      <c r="K107" s="131"/>
      <c r="L107" s="131"/>
      <c r="M107" s="131"/>
      <c r="N107" s="131"/>
      <c r="O107" s="131"/>
      <c r="P107" s="131"/>
      <c r="Q107" s="131"/>
    </row>
    <row r="108" spans="1:17" x14ac:dyDescent="0.25">
      <c r="A108" s="53" t="s">
        <v>197</v>
      </c>
      <c r="B108" s="69">
        <f t="shared" si="93"/>
        <v>2.76</v>
      </c>
      <c r="C108" s="131">
        <v>0.66666666666666663</v>
      </c>
      <c r="D108" s="131">
        <v>0.33333333333333331</v>
      </c>
      <c r="E108" s="131"/>
      <c r="F108" s="129"/>
      <c r="G108" s="131"/>
      <c r="I108" s="131">
        <v>0.33333333333333331</v>
      </c>
      <c r="J108" s="131">
        <v>0.33333333333333331</v>
      </c>
      <c r="K108" s="131">
        <v>0.33333333333333331</v>
      </c>
      <c r="L108" s="131">
        <v>0.33333333333333331</v>
      </c>
      <c r="M108" s="131">
        <v>0.33333333333333331</v>
      </c>
      <c r="N108" s="131">
        <v>0.33333333333333331</v>
      </c>
      <c r="O108" s="131">
        <v>0.33333333333333331</v>
      </c>
      <c r="P108" s="131">
        <v>0.33333333333333331</v>
      </c>
      <c r="Q108" s="131">
        <v>0.33333333333333331</v>
      </c>
    </row>
    <row r="109" spans="1:17" x14ac:dyDescent="0.25">
      <c r="A109" s="53" t="s">
        <v>16</v>
      </c>
      <c r="B109" s="69">
        <f t="shared" si="93"/>
        <v>0.75</v>
      </c>
      <c r="C109" s="131">
        <f>0.6</f>
        <v>0.6</v>
      </c>
      <c r="D109" s="131">
        <f>0.6</f>
        <v>0.6</v>
      </c>
      <c r="E109" s="131"/>
      <c r="F109" s="129"/>
      <c r="G109" s="131"/>
      <c r="I109" s="131">
        <f>0.6</f>
        <v>0.6</v>
      </c>
      <c r="J109" s="131">
        <f t="shared" ref="J109:Q109" si="94">0.6</f>
        <v>0.6</v>
      </c>
      <c r="K109" s="131">
        <f t="shared" si="94"/>
        <v>0.6</v>
      </c>
      <c r="L109" s="131">
        <f t="shared" si="94"/>
        <v>0.6</v>
      </c>
      <c r="M109" s="131">
        <f t="shared" si="94"/>
        <v>0.6</v>
      </c>
      <c r="N109" s="131">
        <f t="shared" si="94"/>
        <v>0.6</v>
      </c>
      <c r="O109" s="131">
        <f t="shared" si="94"/>
        <v>0.6</v>
      </c>
      <c r="P109" s="131">
        <f t="shared" si="94"/>
        <v>0.6</v>
      </c>
      <c r="Q109" s="131">
        <f t="shared" si="94"/>
        <v>0.6</v>
      </c>
    </row>
    <row r="110" spans="1:17" x14ac:dyDescent="0.25">
      <c r="A110" s="53" t="s">
        <v>331</v>
      </c>
      <c r="B110" s="69">
        <f t="shared" si="93"/>
        <v>8.82</v>
      </c>
      <c r="C110" s="131"/>
      <c r="D110" s="131">
        <v>0.318</v>
      </c>
      <c r="E110" s="131"/>
      <c r="F110" s="129"/>
      <c r="G110" s="131"/>
      <c r="I110" s="131">
        <v>0.318</v>
      </c>
      <c r="J110" s="131">
        <v>0.318</v>
      </c>
      <c r="K110" s="131">
        <v>0.318</v>
      </c>
      <c r="L110" s="131">
        <v>0.318</v>
      </c>
      <c r="M110" s="131">
        <v>0.318</v>
      </c>
      <c r="N110" s="131">
        <v>0.318</v>
      </c>
      <c r="O110" s="131">
        <v>0.318</v>
      </c>
      <c r="P110" s="131">
        <v>0.318</v>
      </c>
      <c r="Q110" s="131">
        <v>0.318</v>
      </c>
    </row>
    <row r="111" spans="1:17" x14ac:dyDescent="0.25">
      <c r="A111" s="53" t="s">
        <v>27</v>
      </c>
      <c r="B111" s="69">
        <f t="shared" si="93"/>
        <v>0.18000000000000002</v>
      </c>
      <c r="C111" s="131">
        <v>3</v>
      </c>
      <c r="D111" s="131">
        <v>1</v>
      </c>
      <c r="E111" s="131"/>
      <c r="F111" s="129"/>
      <c r="G111" s="131"/>
      <c r="I111" s="131">
        <v>1</v>
      </c>
      <c r="J111" s="131">
        <v>1</v>
      </c>
      <c r="K111" s="131">
        <v>1</v>
      </c>
      <c r="L111" s="131">
        <v>1</v>
      </c>
      <c r="M111" s="131">
        <v>1</v>
      </c>
      <c r="N111" s="131">
        <v>1</v>
      </c>
      <c r="O111" s="131">
        <v>1</v>
      </c>
      <c r="P111" s="131">
        <v>1</v>
      </c>
      <c r="Q111" s="131">
        <v>1</v>
      </c>
    </row>
    <row r="112" spans="1:17" x14ac:dyDescent="0.25">
      <c r="A112" s="53" t="s">
        <v>31</v>
      </c>
      <c r="B112" s="69">
        <f t="shared" si="93"/>
        <v>0.04</v>
      </c>
      <c r="C112" s="131">
        <v>5</v>
      </c>
      <c r="D112" s="131">
        <v>5</v>
      </c>
      <c r="E112" s="131"/>
      <c r="F112" s="129"/>
      <c r="G112" s="131"/>
      <c r="I112" s="131">
        <v>5</v>
      </c>
      <c r="J112" s="131">
        <v>5</v>
      </c>
      <c r="K112" s="131">
        <v>5</v>
      </c>
      <c r="L112" s="131">
        <v>5</v>
      </c>
      <c r="M112" s="131">
        <v>5</v>
      </c>
      <c r="N112" s="131">
        <v>5</v>
      </c>
      <c r="O112" s="131">
        <v>5</v>
      </c>
      <c r="P112" s="131">
        <v>5</v>
      </c>
      <c r="Q112" s="131">
        <v>5</v>
      </c>
    </row>
    <row r="113" spans="1:17" x14ac:dyDescent="0.25">
      <c r="A113" s="53" t="s">
        <v>32</v>
      </c>
      <c r="B113" s="69">
        <f t="shared" si="93"/>
        <v>0.04</v>
      </c>
      <c r="C113" s="131">
        <v>5</v>
      </c>
      <c r="D113" s="131">
        <v>5</v>
      </c>
      <c r="E113" s="131"/>
      <c r="F113" s="129"/>
      <c r="G113" s="131"/>
      <c r="I113" s="131">
        <v>5</v>
      </c>
      <c r="J113" s="131">
        <v>5</v>
      </c>
      <c r="K113" s="131">
        <v>5</v>
      </c>
      <c r="L113" s="131">
        <v>5</v>
      </c>
      <c r="M113" s="131">
        <v>5</v>
      </c>
      <c r="N113" s="131">
        <v>5</v>
      </c>
      <c r="O113" s="131">
        <v>5</v>
      </c>
      <c r="P113" s="131">
        <v>5</v>
      </c>
      <c r="Q113" s="131">
        <v>5</v>
      </c>
    </row>
    <row r="114" spans="1:17" x14ac:dyDescent="0.25">
      <c r="A114" s="53" t="s">
        <v>274</v>
      </c>
      <c r="B114" s="69">
        <f t="shared" si="93"/>
        <v>8.82</v>
      </c>
      <c r="C114" s="131"/>
      <c r="D114" s="131">
        <v>1</v>
      </c>
      <c r="E114" s="131"/>
      <c r="F114" s="129"/>
      <c r="G114" s="131"/>
      <c r="I114" s="131">
        <v>1</v>
      </c>
      <c r="J114" s="131">
        <v>1</v>
      </c>
      <c r="K114" s="131">
        <v>1</v>
      </c>
      <c r="L114" s="131">
        <v>1</v>
      </c>
      <c r="M114" s="131">
        <v>1</v>
      </c>
      <c r="N114" s="131">
        <v>1</v>
      </c>
      <c r="O114" s="131">
        <v>1</v>
      </c>
      <c r="P114" s="131">
        <v>1</v>
      </c>
      <c r="Q114" s="131">
        <v>1</v>
      </c>
    </row>
    <row r="115" spans="1:17" x14ac:dyDescent="0.25">
      <c r="A115" s="53" t="s">
        <v>275</v>
      </c>
      <c r="B115" s="69">
        <f t="shared" si="93"/>
        <v>8.82</v>
      </c>
      <c r="C115" s="131"/>
      <c r="D115" s="131"/>
      <c r="E115" s="131"/>
      <c r="F115" s="129"/>
      <c r="G115" s="131"/>
      <c r="I115" s="131"/>
      <c r="J115" s="131"/>
      <c r="K115" s="131"/>
      <c r="L115" s="131"/>
      <c r="M115" s="131"/>
      <c r="N115" s="131"/>
      <c r="O115" s="131"/>
      <c r="P115" s="131"/>
      <c r="Q115" s="131"/>
    </row>
    <row r="116" spans="1:17" x14ac:dyDescent="0.25">
      <c r="A116" s="53" t="s">
        <v>210</v>
      </c>
      <c r="B116" s="69">
        <f t="shared" si="93"/>
        <v>8.82</v>
      </c>
      <c r="C116" s="131">
        <v>1</v>
      </c>
      <c r="D116" s="131"/>
      <c r="E116" s="131"/>
      <c r="F116" s="129"/>
      <c r="G116" s="131"/>
      <c r="I116" s="131"/>
      <c r="J116" s="131"/>
      <c r="K116" s="131"/>
      <c r="L116" s="131"/>
      <c r="M116" s="131"/>
      <c r="N116" s="131"/>
      <c r="O116" s="131"/>
      <c r="P116" s="131"/>
      <c r="Q116" s="131"/>
    </row>
    <row r="117" spans="1:17" x14ac:dyDescent="0.25">
      <c r="A117" s="53" t="s">
        <v>211</v>
      </c>
      <c r="B117" s="69">
        <f t="shared" si="93"/>
        <v>8.82</v>
      </c>
      <c r="C117" s="131">
        <v>1</v>
      </c>
      <c r="D117" s="131"/>
      <c r="E117" s="131"/>
      <c r="F117" s="129"/>
      <c r="G117" s="131"/>
      <c r="I117" s="131"/>
      <c r="J117" s="131"/>
      <c r="K117" s="131"/>
      <c r="L117" s="131"/>
      <c r="M117" s="131"/>
      <c r="N117" s="131"/>
      <c r="O117" s="131"/>
      <c r="P117" s="131"/>
      <c r="Q117" s="131"/>
    </row>
    <row r="118" spans="1:17" x14ac:dyDescent="0.25">
      <c r="A118" s="53" t="s">
        <v>212</v>
      </c>
      <c r="B118" s="69">
        <f t="shared" si="93"/>
        <v>8.82</v>
      </c>
      <c r="C118" s="131">
        <v>1</v>
      </c>
      <c r="D118" s="131"/>
      <c r="E118" s="131"/>
      <c r="F118" s="129"/>
      <c r="G118" s="131"/>
      <c r="I118" s="131"/>
      <c r="J118" s="131"/>
      <c r="K118" s="131"/>
      <c r="L118" s="131"/>
      <c r="M118" s="131"/>
      <c r="N118" s="131"/>
      <c r="O118" s="131"/>
      <c r="P118" s="131"/>
      <c r="Q118" s="131"/>
    </row>
    <row r="119" spans="1:17" x14ac:dyDescent="0.25">
      <c r="A119" s="53" t="s">
        <v>213</v>
      </c>
      <c r="B119" s="69">
        <f t="shared" si="93"/>
        <v>8.82</v>
      </c>
      <c r="C119" s="131">
        <v>1</v>
      </c>
      <c r="D119" s="131"/>
      <c r="E119" s="131"/>
      <c r="F119" s="129"/>
      <c r="G119" s="131"/>
      <c r="I119" s="131"/>
      <c r="J119" s="131"/>
      <c r="K119" s="131"/>
      <c r="L119" s="131"/>
      <c r="M119" s="131"/>
      <c r="N119" s="131"/>
      <c r="O119" s="131"/>
      <c r="P119" s="131"/>
      <c r="Q119" s="131"/>
    </row>
    <row r="120" spans="1:17" x14ac:dyDescent="0.25">
      <c r="A120" s="60">
        <v>1510</v>
      </c>
      <c r="B120" s="69">
        <f t="shared" si="93"/>
        <v>27.78</v>
      </c>
      <c r="C120" s="131"/>
      <c r="D120" s="131"/>
      <c r="E120" s="131"/>
      <c r="F120" s="129"/>
      <c r="G120" s="131">
        <v>1</v>
      </c>
      <c r="I120" s="131"/>
      <c r="J120" s="131"/>
      <c r="K120" s="131"/>
      <c r="L120" s="131"/>
      <c r="M120" s="131"/>
      <c r="N120" s="131"/>
      <c r="O120" s="131"/>
      <c r="P120" s="131"/>
      <c r="Q120" s="131"/>
    </row>
    <row r="121" spans="1:17" x14ac:dyDescent="0.25">
      <c r="A121" s="60">
        <v>1511</v>
      </c>
      <c r="B121" s="69">
        <f t="shared" si="93"/>
        <v>16.55</v>
      </c>
      <c r="C121" s="131"/>
      <c r="D121" s="131"/>
      <c r="E121" s="131"/>
      <c r="F121" s="129"/>
      <c r="G121" s="131"/>
      <c r="I121" s="131"/>
      <c r="J121" s="131"/>
      <c r="K121" s="131"/>
      <c r="L121" s="131"/>
      <c r="M121" s="131"/>
      <c r="N121" s="131"/>
      <c r="O121" s="131"/>
      <c r="P121" s="131"/>
      <c r="Q121" s="131"/>
    </row>
    <row r="122" spans="1:17" x14ac:dyDescent="0.25">
      <c r="A122" s="53" t="s">
        <v>214</v>
      </c>
      <c r="B122" s="69">
        <f t="shared" si="93"/>
        <v>3.59</v>
      </c>
      <c r="C122" s="131"/>
      <c r="D122" s="131"/>
      <c r="E122" s="131"/>
      <c r="F122" s="129"/>
      <c r="G122" s="131">
        <v>1</v>
      </c>
      <c r="I122" s="131"/>
      <c r="J122" s="131"/>
      <c r="K122" s="131"/>
      <c r="L122" s="131"/>
      <c r="M122" s="131"/>
      <c r="N122" s="131"/>
      <c r="O122" s="131"/>
      <c r="P122" s="131"/>
      <c r="Q122" s="131"/>
    </row>
    <row r="123" spans="1:17" x14ac:dyDescent="0.25">
      <c r="A123" s="53" t="s">
        <v>215</v>
      </c>
      <c r="B123" s="69">
        <f t="shared" si="93"/>
        <v>3.8699999999999997</v>
      </c>
      <c r="C123" s="131"/>
      <c r="D123" s="131"/>
      <c r="E123" s="131"/>
      <c r="F123" s="129"/>
      <c r="G123" s="131">
        <v>2</v>
      </c>
      <c r="I123" s="131"/>
      <c r="J123" s="131"/>
      <c r="K123" s="131"/>
      <c r="L123" s="131"/>
      <c r="M123" s="131"/>
      <c r="N123" s="131"/>
      <c r="O123" s="131"/>
      <c r="P123" s="131"/>
      <c r="Q123" s="131"/>
    </row>
    <row r="124" spans="1:17" x14ac:dyDescent="0.25">
      <c r="A124" s="53" t="s">
        <v>216</v>
      </c>
      <c r="B124" s="69">
        <f t="shared" si="93"/>
        <v>2.76</v>
      </c>
      <c r="C124" s="131"/>
      <c r="D124" s="131"/>
      <c r="E124" s="131"/>
      <c r="F124" s="129"/>
      <c r="G124" s="131"/>
      <c r="I124" s="131"/>
      <c r="J124" s="131"/>
      <c r="K124" s="131"/>
      <c r="L124" s="131"/>
      <c r="M124" s="131"/>
      <c r="N124" s="131"/>
      <c r="O124" s="131"/>
      <c r="P124" s="131"/>
      <c r="Q124" s="131"/>
    </row>
    <row r="125" spans="1:17" x14ac:dyDescent="0.25">
      <c r="A125" s="53">
        <v>1335</v>
      </c>
      <c r="B125" s="69">
        <f t="shared" si="93"/>
        <v>6.83</v>
      </c>
      <c r="C125" s="131"/>
      <c r="D125" s="131"/>
      <c r="E125" s="131"/>
      <c r="F125" s="129"/>
      <c r="G125" s="131"/>
      <c r="I125" s="131"/>
      <c r="J125" s="131"/>
      <c r="K125" s="131"/>
      <c r="L125" s="131"/>
      <c r="M125" s="131"/>
      <c r="N125" s="131"/>
      <c r="O125" s="131"/>
      <c r="P125" s="131"/>
      <c r="Q125" s="131"/>
    </row>
    <row r="126" spans="1:17" x14ac:dyDescent="0.25">
      <c r="A126" s="53" t="s">
        <v>217</v>
      </c>
      <c r="B126" s="69">
        <f t="shared" si="93"/>
        <v>1.21</v>
      </c>
      <c r="C126" s="131"/>
      <c r="D126" s="131"/>
      <c r="E126" s="131"/>
      <c r="F126" s="129"/>
      <c r="G126" s="131"/>
      <c r="I126" s="131"/>
      <c r="J126" s="131"/>
      <c r="K126" s="131"/>
      <c r="L126" s="131"/>
      <c r="M126" s="131"/>
      <c r="N126" s="131"/>
      <c r="O126" s="131"/>
      <c r="P126" s="131"/>
      <c r="Q126" s="131"/>
    </row>
    <row r="127" spans="1:17" x14ac:dyDescent="0.25">
      <c r="C127" s="129"/>
      <c r="D127" s="129"/>
      <c r="E127" s="129"/>
      <c r="F127" s="129"/>
      <c r="G127" s="129"/>
      <c r="I127" s="129"/>
      <c r="J127" s="129"/>
      <c r="K127" s="129"/>
      <c r="L127" s="129"/>
      <c r="M127" s="129"/>
      <c r="N127" s="129"/>
      <c r="O127" s="129"/>
      <c r="P127" s="129"/>
      <c r="Q127" s="129"/>
    </row>
    <row r="128" spans="1:17" x14ac:dyDescent="0.25">
      <c r="A128" s="53" t="s">
        <v>35</v>
      </c>
      <c r="C128" s="129">
        <f>SUMPRODUCT($B$103:$B$126,C$103:C$126)</f>
        <v>38.510000000000005</v>
      </c>
      <c r="D128" s="129">
        <f>SUMPRODUCT($B$103:$B$126,D$103:D$126)</f>
        <v>13.574760000000001</v>
      </c>
      <c r="E128" s="129">
        <f>(E103*B103)+($E$107*$B$107)</f>
        <v>48.54</v>
      </c>
      <c r="F128" s="129"/>
      <c r="G128" s="129">
        <f>SUMPRODUCT($B$103:$B$126,G$103:G$126)</f>
        <v>39.11</v>
      </c>
      <c r="I128" s="129">
        <f>SUMPRODUCT($B$103:$B$126,I$103:I$126)</f>
        <v>13.574760000000001</v>
      </c>
      <c r="J128" s="129">
        <f t="shared" ref="J128:Q128" si="95">SUMPRODUCT($B$103:$B$126,J$103:J$126)</f>
        <v>13.574760000000001</v>
      </c>
      <c r="K128" s="129">
        <f t="shared" si="95"/>
        <v>13.574760000000001</v>
      </c>
      <c r="L128" s="129">
        <f t="shared" si="95"/>
        <v>13.574760000000001</v>
      </c>
      <c r="M128" s="129">
        <f t="shared" si="95"/>
        <v>13.574760000000001</v>
      </c>
      <c r="N128" s="129">
        <f t="shared" si="95"/>
        <v>13.574760000000001</v>
      </c>
      <c r="O128" s="129">
        <f t="shared" si="95"/>
        <v>13.574760000000001</v>
      </c>
      <c r="P128" s="129">
        <f t="shared" si="95"/>
        <v>13.574760000000001</v>
      </c>
      <c r="Q128" s="129">
        <f t="shared" si="95"/>
        <v>13.574760000000001</v>
      </c>
    </row>
    <row r="129" spans="1:17" x14ac:dyDescent="0.25">
      <c r="A129" s="53" t="s">
        <v>42</v>
      </c>
      <c r="C129" s="129">
        <f>SUMPRODUCT($B$103:$B$126,C$103:C$126)</f>
        <v>38.510000000000005</v>
      </c>
      <c r="D129" s="129">
        <f t="shared" ref="C129:D131" si="96">SUMPRODUCT($B$103:$B$126,D$103:D$126)</f>
        <v>13.574760000000001</v>
      </c>
      <c r="E129" s="129">
        <f>(E104*B104)+($E$107*$B$107)</f>
        <v>64.489999999999995</v>
      </c>
      <c r="F129" s="129"/>
      <c r="G129" s="129">
        <f>SUMPRODUCT($B$103:$B$126,G$103:G$126)</f>
        <v>39.11</v>
      </c>
      <c r="I129" s="129">
        <f t="shared" ref="I129:Q131" si="97">SUMPRODUCT($B$103:$B$126,I$103:I$126)</f>
        <v>13.574760000000001</v>
      </c>
      <c r="J129" s="129">
        <f t="shared" si="97"/>
        <v>13.574760000000001</v>
      </c>
      <c r="K129" s="129">
        <f t="shared" si="97"/>
        <v>13.574760000000001</v>
      </c>
      <c r="L129" s="129">
        <f t="shared" si="97"/>
        <v>13.574760000000001</v>
      </c>
      <c r="M129" s="129">
        <f t="shared" si="97"/>
        <v>13.574760000000001</v>
      </c>
      <c r="N129" s="129">
        <f t="shared" si="97"/>
        <v>13.574760000000001</v>
      </c>
      <c r="O129" s="129">
        <f t="shared" si="97"/>
        <v>13.574760000000001</v>
      </c>
      <c r="P129" s="129">
        <f t="shared" si="97"/>
        <v>13.574760000000001</v>
      </c>
      <c r="Q129" s="129">
        <f t="shared" si="97"/>
        <v>13.574760000000001</v>
      </c>
    </row>
    <row r="130" spans="1:17" x14ac:dyDescent="0.25">
      <c r="A130" s="53" t="s">
        <v>38</v>
      </c>
      <c r="C130" s="129">
        <f>SUMPRODUCT($B$103:$B$126,C$103:C$126)</f>
        <v>38.510000000000005</v>
      </c>
      <c r="D130" s="129">
        <f t="shared" si="96"/>
        <v>13.574760000000001</v>
      </c>
      <c r="E130" s="129">
        <f>(E105*B105)+($E$107*$B$107)</f>
        <v>46.26</v>
      </c>
      <c r="F130" s="129"/>
      <c r="G130" s="129">
        <f>SUMPRODUCT($B$103:$B$126,G$103:G$126)</f>
        <v>39.11</v>
      </c>
      <c r="I130" s="129">
        <f t="shared" si="97"/>
        <v>13.574760000000001</v>
      </c>
      <c r="J130" s="129">
        <f t="shared" si="97"/>
        <v>13.574760000000001</v>
      </c>
      <c r="K130" s="129">
        <f t="shared" si="97"/>
        <v>13.574760000000001</v>
      </c>
      <c r="L130" s="129">
        <f t="shared" si="97"/>
        <v>13.574760000000001</v>
      </c>
      <c r="M130" s="129">
        <f t="shared" si="97"/>
        <v>13.574760000000001</v>
      </c>
      <c r="N130" s="129">
        <f t="shared" si="97"/>
        <v>13.574760000000001</v>
      </c>
      <c r="O130" s="129">
        <f t="shared" si="97"/>
        <v>13.574760000000001</v>
      </c>
      <c r="P130" s="129">
        <f t="shared" si="97"/>
        <v>13.574760000000001</v>
      </c>
      <c r="Q130" s="129">
        <f t="shared" si="97"/>
        <v>13.574760000000001</v>
      </c>
    </row>
    <row r="131" spans="1:17" x14ac:dyDescent="0.25">
      <c r="A131" s="53" t="s">
        <v>43</v>
      </c>
      <c r="C131" s="129">
        <f t="shared" si="96"/>
        <v>38.510000000000005</v>
      </c>
      <c r="D131" s="129">
        <f t="shared" si="96"/>
        <v>13.574760000000001</v>
      </c>
      <c r="E131" s="129">
        <f>(E106*B106)+($E$107*$B$107)</f>
        <v>62.209999999999994</v>
      </c>
      <c r="F131" s="129"/>
      <c r="G131" s="129">
        <f>SUMPRODUCT($B$103:$B$126,G$103:G$126)</f>
        <v>39.11</v>
      </c>
      <c r="I131" s="129">
        <f t="shared" si="97"/>
        <v>13.574760000000001</v>
      </c>
      <c r="J131" s="129">
        <f t="shared" si="97"/>
        <v>13.574760000000001</v>
      </c>
      <c r="K131" s="129">
        <f t="shared" si="97"/>
        <v>13.574760000000001</v>
      </c>
      <c r="L131" s="129">
        <f t="shared" si="97"/>
        <v>13.574760000000001</v>
      </c>
      <c r="M131" s="129">
        <f t="shared" si="97"/>
        <v>13.574760000000001</v>
      </c>
      <c r="N131" s="129">
        <f t="shared" si="97"/>
        <v>13.574760000000001</v>
      </c>
      <c r="O131" s="129">
        <f t="shared" si="97"/>
        <v>13.574760000000001</v>
      </c>
      <c r="P131" s="129">
        <f t="shared" si="97"/>
        <v>13.574760000000001</v>
      </c>
      <c r="Q131" s="129">
        <f t="shared" si="97"/>
        <v>13.574760000000001</v>
      </c>
    </row>
    <row r="135" spans="1:17" x14ac:dyDescent="0.25">
      <c r="C135" s="123"/>
      <c r="D135" s="124"/>
      <c r="E135" s="124"/>
      <c r="G135" s="124"/>
      <c r="I135" s="124"/>
      <c r="J135" s="124"/>
      <c r="K135" s="124"/>
      <c r="L135" s="124"/>
      <c r="M135" s="124"/>
      <c r="N135" s="124"/>
      <c r="O135" s="124"/>
      <c r="P135" s="124"/>
      <c r="Q135" s="124"/>
    </row>
    <row r="136" spans="1:17" ht="15.6" x14ac:dyDescent="0.3">
      <c r="A136" s="66" t="s">
        <v>277</v>
      </c>
      <c r="B136" s="67"/>
      <c r="C136" s="125" t="s">
        <v>272</v>
      </c>
      <c r="D136" s="125" t="s">
        <v>273</v>
      </c>
      <c r="E136" s="125" t="s">
        <v>271</v>
      </c>
      <c r="G136" s="125" t="s">
        <v>270</v>
      </c>
      <c r="I136" s="125" t="s">
        <v>273</v>
      </c>
      <c r="J136" s="125" t="s">
        <v>273</v>
      </c>
      <c r="K136" s="125" t="s">
        <v>273</v>
      </c>
      <c r="L136" s="125" t="s">
        <v>273</v>
      </c>
      <c r="M136" s="125" t="s">
        <v>273</v>
      </c>
      <c r="N136" s="125" t="s">
        <v>273</v>
      </c>
      <c r="O136" s="125" t="s">
        <v>273</v>
      </c>
      <c r="P136" s="125" t="s">
        <v>273</v>
      </c>
      <c r="Q136" s="125" t="s">
        <v>273</v>
      </c>
    </row>
    <row r="137" spans="1:17" x14ac:dyDescent="0.25">
      <c r="A137" s="53" t="s">
        <v>35</v>
      </c>
      <c r="B137" s="69">
        <f>+B103</f>
        <v>36.46</v>
      </c>
      <c r="C137" s="126"/>
      <c r="D137" s="126"/>
      <c r="E137" s="126">
        <v>1</v>
      </c>
      <c r="G137" s="126"/>
      <c r="I137" s="126"/>
      <c r="J137" s="126"/>
      <c r="K137" s="126"/>
      <c r="L137" s="126"/>
      <c r="M137" s="126"/>
      <c r="N137" s="126"/>
      <c r="O137" s="126"/>
      <c r="P137" s="126"/>
      <c r="Q137" s="126"/>
    </row>
    <row r="138" spans="1:17" x14ac:dyDescent="0.25">
      <c r="A138" s="53" t="s">
        <v>42</v>
      </c>
      <c r="B138" s="69">
        <f t="shared" ref="B138:B160" si="98">+B104</f>
        <v>52.41</v>
      </c>
      <c r="C138" s="126"/>
      <c r="D138" s="126"/>
      <c r="E138" s="126">
        <v>1</v>
      </c>
      <c r="G138" s="126"/>
      <c r="I138" s="126"/>
      <c r="J138" s="126"/>
      <c r="K138" s="126"/>
      <c r="L138" s="126"/>
      <c r="M138" s="126"/>
      <c r="N138" s="126"/>
      <c r="O138" s="126"/>
      <c r="P138" s="126"/>
      <c r="Q138" s="126"/>
    </row>
    <row r="139" spans="1:17" x14ac:dyDescent="0.25">
      <c r="A139" s="53" t="s">
        <v>38</v>
      </c>
      <c r="B139" s="69">
        <f t="shared" si="98"/>
        <v>34.18</v>
      </c>
      <c r="C139" s="126"/>
      <c r="D139" s="126"/>
      <c r="E139" s="126">
        <v>1</v>
      </c>
      <c r="G139" s="126"/>
      <c r="I139" s="126"/>
      <c r="J139" s="126"/>
      <c r="K139" s="126"/>
      <c r="L139" s="126"/>
      <c r="M139" s="126"/>
      <c r="N139" s="126"/>
      <c r="O139" s="126"/>
      <c r="P139" s="126"/>
      <c r="Q139" s="126"/>
    </row>
    <row r="140" spans="1:17" x14ac:dyDescent="0.25">
      <c r="A140" s="53" t="s">
        <v>43</v>
      </c>
      <c r="B140" s="69">
        <f t="shared" si="98"/>
        <v>50.129999999999995</v>
      </c>
      <c r="C140" s="126"/>
      <c r="D140" s="126"/>
      <c r="E140" s="126">
        <v>1</v>
      </c>
      <c r="G140" s="126"/>
      <c r="I140" s="126"/>
      <c r="J140" s="126"/>
      <c r="K140" s="126"/>
      <c r="L140" s="126"/>
      <c r="M140" s="126"/>
      <c r="N140" s="126"/>
      <c r="O140" s="126"/>
      <c r="P140" s="126"/>
      <c r="Q140" s="126"/>
    </row>
    <row r="141" spans="1:17" x14ac:dyDescent="0.25">
      <c r="A141" s="53" t="s">
        <v>189</v>
      </c>
      <c r="B141" s="69">
        <f t="shared" si="98"/>
        <v>12.08</v>
      </c>
      <c r="C141" s="126"/>
      <c r="D141" s="126"/>
      <c r="E141" s="126">
        <v>1</v>
      </c>
      <c r="G141" s="126"/>
      <c r="I141" s="126"/>
      <c r="J141" s="126"/>
      <c r="K141" s="126"/>
      <c r="L141" s="126"/>
      <c r="M141" s="126"/>
      <c r="N141" s="126"/>
      <c r="O141" s="126"/>
      <c r="P141" s="126"/>
      <c r="Q141" s="126"/>
    </row>
    <row r="142" spans="1:17" x14ac:dyDescent="0.25">
      <c r="A142" s="53" t="s">
        <v>197</v>
      </c>
      <c r="B142" s="69">
        <f t="shared" si="98"/>
        <v>2.76</v>
      </c>
      <c r="C142" s="126">
        <v>0.66666666666666663</v>
      </c>
      <c r="D142" s="126">
        <v>0.33333333333333331</v>
      </c>
      <c r="E142" s="126"/>
      <c r="G142" s="126"/>
      <c r="I142" s="126">
        <v>0.33333333333333331</v>
      </c>
      <c r="J142" s="126">
        <v>0.33333333333333331</v>
      </c>
      <c r="K142" s="126">
        <v>0.33333333333333331</v>
      </c>
      <c r="L142" s="126">
        <v>0.33333333333333331</v>
      </c>
      <c r="M142" s="126">
        <v>0.33333333333333331</v>
      </c>
      <c r="N142" s="126">
        <v>0.33333333333333331</v>
      </c>
      <c r="O142" s="126">
        <v>0.33333333333333331</v>
      </c>
      <c r="P142" s="126">
        <v>0.33333333333333331</v>
      </c>
      <c r="Q142" s="126">
        <v>0.33333333333333331</v>
      </c>
    </row>
    <row r="143" spans="1:17" x14ac:dyDescent="0.25">
      <c r="A143" s="53" t="s">
        <v>16</v>
      </c>
      <c r="B143" s="69">
        <f t="shared" si="98"/>
        <v>0.75</v>
      </c>
      <c r="C143" s="126">
        <f>+C142*0.6</f>
        <v>0.39999999999999997</v>
      </c>
      <c r="D143" s="126">
        <f>+D142*0.6</f>
        <v>0.19999999999999998</v>
      </c>
      <c r="E143" s="126"/>
      <c r="G143" s="126"/>
      <c r="I143" s="126">
        <f>+I142*0.6</f>
        <v>0.19999999999999998</v>
      </c>
      <c r="J143" s="126">
        <f t="shared" ref="J143:Q143" si="99">+J142*0.6</f>
        <v>0.19999999999999998</v>
      </c>
      <c r="K143" s="126">
        <f t="shared" si="99"/>
        <v>0.19999999999999998</v>
      </c>
      <c r="L143" s="126">
        <f t="shared" si="99"/>
        <v>0.19999999999999998</v>
      </c>
      <c r="M143" s="126">
        <f t="shared" si="99"/>
        <v>0.19999999999999998</v>
      </c>
      <c r="N143" s="126">
        <f t="shared" si="99"/>
        <v>0.19999999999999998</v>
      </c>
      <c r="O143" s="126">
        <f t="shared" si="99"/>
        <v>0.19999999999999998</v>
      </c>
      <c r="P143" s="126">
        <f t="shared" si="99"/>
        <v>0.19999999999999998</v>
      </c>
      <c r="Q143" s="126">
        <f t="shared" si="99"/>
        <v>0.19999999999999998</v>
      </c>
    </row>
    <row r="144" spans="1:17" x14ac:dyDescent="0.25">
      <c r="A144" s="53" t="s">
        <v>192</v>
      </c>
      <c r="B144" s="69">
        <f t="shared" si="98"/>
        <v>8.82</v>
      </c>
      <c r="C144" s="126"/>
      <c r="D144" s="126">
        <v>0.318</v>
      </c>
      <c r="E144" s="126"/>
      <c r="G144" s="126"/>
      <c r="I144" s="126">
        <v>0.318</v>
      </c>
      <c r="J144" s="126">
        <v>0.318</v>
      </c>
      <c r="K144" s="126">
        <v>0.318</v>
      </c>
      <c r="L144" s="126">
        <v>0.318</v>
      </c>
      <c r="M144" s="126">
        <v>0.318</v>
      </c>
      <c r="N144" s="126">
        <v>0.318</v>
      </c>
      <c r="O144" s="126">
        <v>0.318</v>
      </c>
      <c r="P144" s="126">
        <v>0.318</v>
      </c>
      <c r="Q144" s="126">
        <v>0.318</v>
      </c>
    </row>
    <row r="145" spans="1:17" x14ac:dyDescent="0.25">
      <c r="A145" s="53" t="s">
        <v>27</v>
      </c>
      <c r="B145" s="69">
        <f t="shared" si="98"/>
        <v>0.18000000000000002</v>
      </c>
      <c r="C145" s="126">
        <v>3</v>
      </c>
      <c r="D145" s="126">
        <v>1</v>
      </c>
      <c r="E145" s="126"/>
      <c r="G145" s="126"/>
      <c r="I145" s="126">
        <v>1</v>
      </c>
      <c r="J145" s="126">
        <v>1</v>
      </c>
      <c r="K145" s="126">
        <v>1</v>
      </c>
      <c r="L145" s="126">
        <v>1</v>
      </c>
      <c r="M145" s="126">
        <v>1</v>
      </c>
      <c r="N145" s="126">
        <v>1</v>
      </c>
      <c r="O145" s="126">
        <v>1</v>
      </c>
      <c r="P145" s="126">
        <v>1</v>
      </c>
      <c r="Q145" s="126">
        <v>1</v>
      </c>
    </row>
    <row r="146" spans="1:17" x14ac:dyDescent="0.25">
      <c r="A146" s="53" t="s">
        <v>31</v>
      </c>
      <c r="B146" s="69">
        <f t="shared" si="98"/>
        <v>0.04</v>
      </c>
      <c r="C146" s="126">
        <v>5</v>
      </c>
      <c r="D146" s="126">
        <v>5</v>
      </c>
      <c r="E146" s="126"/>
      <c r="G146" s="126"/>
      <c r="I146" s="126">
        <v>5</v>
      </c>
      <c r="J146" s="126">
        <v>5</v>
      </c>
      <c r="K146" s="126">
        <v>5</v>
      </c>
      <c r="L146" s="126">
        <v>5</v>
      </c>
      <c r="M146" s="126">
        <v>5</v>
      </c>
      <c r="N146" s="126">
        <v>5</v>
      </c>
      <c r="O146" s="126">
        <v>5</v>
      </c>
      <c r="P146" s="126">
        <v>5</v>
      </c>
      <c r="Q146" s="126">
        <v>5</v>
      </c>
    </row>
    <row r="147" spans="1:17" x14ac:dyDescent="0.25">
      <c r="A147" s="53" t="s">
        <v>32</v>
      </c>
      <c r="B147" s="69">
        <f t="shared" si="98"/>
        <v>0.04</v>
      </c>
      <c r="C147" s="126">
        <v>5</v>
      </c>
      <c r="D147" s="126">
        <v>5</v>
      </c>
      <c r="E147" s="126"/>
      <c r="G147" s="126"/>
      <c r="I147" s="126">
        <v>5</v>
      </c>
      <c r="J147" s="126">
        <v>5</v>
      </c>
      <c r="K147" s="126">
        <v>5</v>
      </c>
      <c r="L147" s="126">
        <v>5</v>
      </c>
      <c r="M147" s="126">
        <v>5</v>
      </c>
      <c r="N147" s="126">
        <v>5</v>
      </c>
      <c r="O147" s="126">
        <v>5</v>
      </c>
      <c r="P147" s="126">
        <v>5</v>
      </c>
      <c r="Q147" s="126">
        <v>5</v>
      </c>
    </row>
    <row r="148" spans="1:17" x14ac:dyDescent="0.25">
      <c r="A148" s="53" t="s">
        <v>274</v>
      </c>
      <c r="B148" s="69">
        <f t="shared" si="98"/>
        <v>8.82</v>
      </c>
      <c r="C148" s="126"/>
      <c r="D148" s="126">
        <v>0.32</v>
      </c>
      <c r="E148" s="126"/>
      <c r="G148" s="126"/>
      <c r="I148" s="126">
        <v>0.32</v>
      </c>
      <c r="J148" s="126">
        <v>0.32</v>
      </c>
      <c r="K148" s="126">
        <v>0.32</v>
      </c>
      <c r="L148" s="126">
        <v>0.32</v>
      </c>
      <c r="M148" s="126">
        <v>0.32</v>
      </c>
      <c r="N148" s="126">
        <v>0.32</v>
      </c>
      <c r="O148" s="126">
        <v>0.32</v>
      </c>
      <c r="P148" s="126">
        <v>0.32</v>
      </c>
      <c r="Q148" s="126">
        <v>0.32</v>
      </c>
    </row>
    <row r="149" spans="1:17" x14ac:dyDescent="0.25">
      <c r="A149" s="53" t="s">
        <v>275</v>
      </c>
      <c r="B149" s="69">
        <f t="shared" si="98"/>
        <v>8.82</v>
      </c>
      <c r="C149" s="126"/>
      <c r="D149" s="126">
        <v>0.26</v>
      </c>
      <c r="E149" s="126"/>
      <c r="G149" s="126"/>
      <c r="I149" s="126">
        <v>0.26</v>
      </c>
      <c r="J149" s="126">
        <v>0.26</v>
      </c>
      <c r="K149" s="126">
        <v>0.26</v>
      </c>
      <c r="L149" s="126">
        <v>0.26</v>
      </c>
      <c r="M149" s="126">
        <v>0.26</v>
      </c>
      <c r="N149" s="126">
        <v>0.26</v>
      </c>
      <c r="O149" s="126">
        <v>0.26</v>
      </c>
      <c r="P149" s="126">
        <v>0.26</v>
      </c>
      <c r="Q149" s="126">
        <v>0.26</v>
      </c>
    </row>
    <row r="150" spans="1:17" x14ac:dyDescent="0.25">
      <c r="A150" s="53" t="s">
        <v>210</v>
      </c>
      <c r="B150" s="69">
        <f t="shared" si="98"/>
        <v>8.82</v>
      </c>
      <c r="C150" s="126">
        <v>1</v>
      </c>
      <c r="D150" s="126"/>
      <c r="E150" s="126"/>
      <c r="G150" s="126"/>
      <c r="I150" s="126"/>
      <c r="J150" s="126"/>
      <c r="K150" s="126"/>
      <c r="L150" s="126"/>
      <c r="M150" s="126"/>
      <c r="N150" s="126"/>
      <c r="O150" s="126"/>
      <c r="P150" s="126"/>
      <c r="Q150" s="126"/>
    </row>
    <row r="151" spans="1:17" x14ac:dyDescent="0.25">
      <c r="A151" s="53" t="s">
        <v>211</v>
      </c>
      <c r="B151" s="69">
        <f t="shared" si="98"/>
        <v>8.82</v>
      </c>
      <c r="C151" s="126">
        <v>1</v>
      </c>
      <c r="D151" s="126"/>
      <c r="E151" s="126"/>
      <c r="G151" s="126"/>
      <c r="I151" s="126"/>
      <c r="J151" s="126"/>
      <c r="K151" s="126"/>
      <c r="L151" s="126"/>
      <c r="M151" s="126"/>
      <c r="N151" s="126"/>
      <c r="O151" s="126"/>
      <c r="P151" s="126"/>
      <c r="Q151" s="126"/>
    </row>
    <row r="152" spans="1:17" x14ac:dyDescent="0.25">
      <c r="A152" s="53" t="s">
        <v>212</v>
      </c>
      <c r="B152" s="69">
        <f t="shared" si="98"/>
        <v>8.82</v>
      </c>
      <c r="C152" s="126">
        <v>1</v>
      </c>
      <c r="D152" s="126"/>
      <c r="E152" s="126"/>
      <c r="G152" s="126"/>
      <c r="I152" s="126"/>
      <c r="J152" s="126"/>
      <c r="K152" s="126"/>
      <c r="L152" s="126"/>
      <c r="M152" s="126"/>
      <c r="N152" s="126"/>
      <c r="O152" s="126"/>
      <c r="P152" s="126"/>
      <c r="Q152" s="126"/>
    </row>
    <row r="153" spans="1:17" x14ac:dyDescent="0.25">
      <c r="A153" s="53" t="s">
        <v>213</v>
      </c>
      <c r="B153" s="69">
        <f t="shared" si="98"/>
        <v>8.82</v>
      </c>
      <c r="C153" s="126">
        <v>1</v>
      </c>
      <c r="D153" s="126"/>
      <c r="E153" s="126"/>
      <c r="G153" s="126"/>
      <c r="I153" s="126"/>
      <c r="J153" s="126"/>
      <c r="K153" s="126"/>
      <c r="L153" s="126"/>
      <c r="M153" s="126"/>
      <c r="N153" s="126"/>
      <c r="O153" s="126"/>
      <c r="P153" s="126"/>
      <c r="Q153" s="126"/>
    </row>
    <row r="154" spans="1:17" x14ac:dyDescent="0.25">
      <c r="A154" s="60">
        <v>1510</v>
      </c>
      <c r="B154" s="69">
        <f t="shared" si="98"/>
        <v>27.78</v>
      </c>
      <c r="C154" s="126"/>
      <c r="D154" s="126"/>
      <c r="E154" s="126"/>
      <c r="G154" s="126">
        <v>1</v>
      </c>
      <c r="I154" s="126"/>
      <c r="J154" s="126"/>
      <c r="K154" s="126"/>
      <c r="L154" s="126"/>
      <c r="M154" s="126"/>
      <c r="N154" s="126"/>
      <c r="O154" s="126"/>
      <c r="P154" s="126"/>
      <c r="Q154" s="126"/>
    </row>
    <row r="155" spans="1:17" x14ac:dyDescent="0.25">
      <c r="A155" s="60">
        <v>1511</v>
      </c>
      <c r="B155" s="69">
        <f t="shared" si="98"/>
        <v>16.55</v>
      </c>
      <c r="C155" s="126"/>
      <c r="D155" s="126"/>
      <c r="E155" s="126"/>
      <c r="G155" s="126">
        <v>1</v>
      </c>
      <c r="I155" s="126"/>
      <c r="J155" s="126"/>
      <c r="K155" s="126"/>
      <c r="L155" s="126"/>
      <c r="M155" s="126"/>
      <c r="N155" s="126"/>
      <c r="O155" s="126"/>
      <c r="P155" s="126"/>
      <c r="Q155" s="126"/>
    </row>
    <row r="156" spans="1:17" x14ac:dyDescent="0.25">
      <c r="A156" s="53" t="s">
        <v>214</v>
      </c>
      <c r="B156" s="69">
        <f t="shared" si="98"/>
        <v>3.59</v>
      </c>
      <c r="C156" s="126"/>
      <c r="D156" s="126"/>
      <c r="E156" s="126"/>
      <c r="G156" s="126"/>
      <c r="I156" s="126"/>
      <c r="J156" s="126"/>
      <c r="K156" s="126"/>
      <c r="L156" s="126"/>
      <c r="M156" s="126"/>
      <c r="N156" s="126"/>
      <c r="O156" s="126"/>
      <c r="P156" s="126"/>
      <c r="Q156" s="126"/>
    </row>
    <row r="157" spans="1:17" x14ac:dyDescent="0.25">
      <c r="A157" s="53" t="s">
        <v>215</v>
      </c>
      <c r="B157" s="69">
        <f t="shared" si="98"/>
        <v>3.8699999999999997</v>
      </c>
      <c r="C157" s="126"/>
      <c r="D157" s="126"/>
      <c r="E157" s="126"/>
      <c r="G157" s="126">
        <v>4</v>
      </c>
      <c r="I157" s="126"/>
      <c r="J157" s="126"/>
      <c r="K157" s="126"/>
      <c r="L157" s="126"/>
      <c r="M157" s="126"/>
      <c r="N157" s="126"/>
      <c r="O157" s="126"/>
      <c r="P157" s="126"/>
      <c r="Q157" s="126"/>
    </row>
    <row r="158" spans="1:17" x14ac:dyDescent="0.25">
      <c r="A158" s="53" t="s">
        <v>216</v>
      </c>
      <c r="B158" s="69">
        <f t="shared" si="98"/>
        <v>2.76</v>
      </c>
      <c r="C158" s="126"/>
      <c r="D158" s="126"/>
      <c r="E158" s="126"/>
      <c r="G158" s="126"/>
      <c r="I158" s="126"/>
      <c r="J158" s="126"/>
      <c r="K158" s="126"/>
      <c r="L158" s="126"/>
      <c r="M158" s="126"/>
      <c r="N158" s="126"/>
      <c r="O158" s="126"/>
      <c r="P158" s="126"/>
      <c r="Q158" s="126"/>
    </row>
    <row r="159" spans="1:17" x14ac:dyDescent="0.25">
      <c r="A159" s="53">
        <v>1335</v>
      </c>
      <c r="B159" s="69">
        <f t="shared" si="98"/>
        <v>6.83</v>
      </c>
      <c r="C159" s="126"/>
      <c r="D159" s="126"/>
      <c r="E159" s="126"/>
      <c r="G159" s="126"/>
      <c r="I159" s="126"/>
      <c r="J159" s="126"/>
      <c r="K159" s="126"/>
      <c r="L159" s="126"/>
      <c r="M159" s="126"/>
      <c r="N159" s="126"/>
      <c r="O159" s="126"/>
      <c r="P159" s="126"/>
      <c r="Q159" s="126"/>
    </row>
    <row r="160" spans="1:17" x14ac:dyDescent="0.25">
      <c r="A160" s="53" t="s">
        <v>217</v>
      </c>
      <c r="B160" s="69">
        <f t="shared" si="98"/>
        <v>1.21</v>
      </c>
      <c r="C160" s="126"/>
      <c r="D160" s="126"/>
      <c r="E160" s="126"/>
      <c r="G160" s="126"/>
      <c r="I160" s="126"/>
      <c r="J160" s="126"/>
      <c r="K160" s="126"/>
      <c r="L160" s="126"/>
      <c r="M160" s="126"/>
      <c r="N160" s="126"/>
      <c r="O160" s="126"/>
      <c r="P160" s="126"/>
      <c r="Q160" s="126"/>
    </row>
    <row r="161" spans="1:17" x14ac:dyDescent="0.25">
      <c r="C161" s="123"/>
      <c r="D161" s="123"/>
      <c r="E161" s="123"/>
      <c r="G161" s="123"/>
      <c r="I161" s="123"/>
      <c r="J161" s="123"/>
      <c r="K161" s="123"/>
      <c r="L161" s="123"/>
      <c r="M161" s="123"/>
      <c r="N161" s="123"/>
      <c r="O161" s="123"/>
      <c r="P161" s="123"/>
      <c r="Q161" s="123"/>
    </row>
    <row r="162" spans="1:17" x14ac:dyDescent="0.25">
      <c r="A162" s="53" t="s">
        <v>35</v>
      </c>
      <c r="C162" s="123">
        <f t="shared" ref="C162:D165" si="100">SUMPRODUCT($B$103:$B$126,C$137:C$160)</f>
        <v>38.36</v>
      </c>
      <c r="D162" s="123">
        <f t="shared" si="100"/>
        <v>9.5703600000000009</v>
      </c>
      <c r="E162" s="123">
        <f>(E137*B103)+($E$141*$B$107)</f>
        <v>48.54</v>
      </c>
      <c r="G162" s="123">
        <f>SUMPRODUCT($B$103:$B$126,G$137:G$160)</f>
        <v>59.809999999999995</v>
      </c>
      <c r="I162" s="123">
        <f t="shared" ref="I162:Q165" si="101">SUMPRODUCT($B$103:$B$126,I$137:I$160)</f>
        <v>9.5703600000000009</v>
      </c>
      <c r="J162" s="123">
        <f t="shared" si="101"/>
        <v>9.5703600000000009</v>
      </c>
      <c r="K162" s="123">
        <f t="shared" si="101"/>
        <v>9.5703600000000009</v>
      </c>
      <c r="L162" s="123">
        <f t="shared" si="101"/>
        <v>9.5703600000000009</v>
      </c>
      <c r="M162" s="123">
        <f t="shared" si="101"/>
        <v>9.5703600000000009</v>
      </c>
      <c r="N162" s="123">
        <f t="shared" si="101"/>
        <v>9.5703600000000009</v>
      </c>
      <c r="O162" s="123">
        <f t="shared" si="101"/>
        <v>9.5703600000000009</v>
      </c>
      <c r="P162" s="123">
        <f t="shared" si="101"/>
        <v>9.5703600000000009</v>
      </c>
      <c r="Q162" s="123">
        <f t="shared" si="101"/>
        <v>9.5703600000000009</v>
      </c>
    </row>
    <row r="163" spans="1:17" x14ac:dyDescent="0.25">
      <c r="A163" s="53" t="s">
        <v>42</v>
      </c>
      <c r="C163" s="123">
        <f t="shared" si="100"/>
        <v>38.36</v>
      </c>
      <c r="D163" s="123">
        <f t="shared" si="100"/>
        <v>9.5703600000000009</v>
      </c>
      <c r="E163" s="123">
        <f>(E138*B104)+($E$141*$B$107)</f>
        <v>64.489999999999995</v>
      </c>
      <c r="G163" s="123">
        <f>SUMPRODUCT($B$103:$B$126,G$137:G$160)</f>
        <v>59.809999999999995</v>
      </c>
      <c r="I163" s="123">
        <f t="shared" si="101"/>
        <v>9.5703600000000009</v>
      </c>
      <c r="J163" s="123">
        <f t="shared" si="101"/>
        <v>9.5703600000000009</v>
      </c>
      <c r="K163" s="123">
        <f t="shared" si="101"/>
        <v>9.5703600000000009</v>
      </c>
      <c r="L163" s="123">
        <f t="shared" si="101"/>
        <v>9.5703600000000009</v>
      </c>
      <c r="M163" s="123">
        <f t="shared" si="101"/>
        <v>9.5703600000000009</v>
      </c>
      <c r="N163" s="123">
        <f t="shared" si="101"/>
        <v>9.5703600000000009</v>
      </c>
      <c r="O163" s="123">
        <f t="shared" si="101"/>
        <v>9.5703600000000009</v>
      </c>
      <c r="P163" s="123">
        <f t="shared" si="101"/>
        <v>9.5703600000000009</v>
      </c>
      <c r="Q163" s="123">
        <f t="shared" si="101"/>
        <v>9.5703600000000009</v>
      </c>
    </row>
    <row r="164" spans="1:17" x14ac:dyDescent="0.25">
      <c r="A164" s="53" t="s">
        <v>38</v>
      </c>
      <c r="C164" s="123">
        <f t="shared" si="100"/>
        <v>38.36</v>
      </c>
      <c r="D164" s="123">
        <f t="shared" si="100"/>
        <v>9.5703600000000009</v>
      </c>
      <c r="E164" s="123">
        <f>(E139*B105)+($E$141*$B$107)</f>
        <v>46.26</v>
      </c>
      <c r="G164" s="123">
        <f>SUMPRODUCT($B$103:$B$126,G$137:G$160)</f>
        <v>59.809999999999995</v>
      </c>
      <c r="I164" s="123">
        <f t="shared" si="101"/>
        <v>9.5703600000000009</v>
      </c>
      <c r="J164" s="123">
        <f t="shared" si="101"/>
        <v>9.5703600000000009</v>
      </c>
      <c r="K164" s="123">
        <f t="shared" si="101"/>
        <v>9.5703600000000009</v>
      </c>
      <c r="L164" s="123">
        <f t="shared" si="101"/>
        <v>9.5703600000000009</v>
      </c>
      <c r="M164" s="123">
        <f t="shared" si="101"/>
        <v>9.5703600000000009</v>
      </c>
      <c r="N164" s="123">
        <f t="shared" si="101"/>
        <v>9.5703600000000009</v>
      </c>
      <c r="O164" s="123">
        <f t="shared" si="101"/>
        <v>9.5703600000000009</v>
      </c>
      <c r="P164" s="123">
        <f t="shared" si="101"/>
        <v>9.5703600000000009</v>
      </c>
      <c r="Q164" s="123">
        <f t="shared" si="101"/>
        <v>9.5703600000000009</v>
      </c>
    </row>
    <row r="165" spans="1:17" x14ac:dyDescent="0.25">
      <c r="A165" s="53" t="s">
        <v>43</v>
      </c>
      <c r="C165" s="123">
        <f t="shared" si="100"/>
        <v>38.36</v>
      </c>
      <c r="D165" s="123">
        <f t="shared" si="100"/>
        <v>9.5703600000000009</v>
      </c>
      <c r="E165" s="123">
        <f>(E140*B106)+($E$141*$B$107)</f>
        <v>62.209999999999994</v>
      </c>
      <c r="G165" s="123">
        <f>SUMPRODUCT($B$103:$B$126,G$137:G$160)</f>
        <v>59.809999999999995</v>
      </c>
      <c r="I165" s="123">
        <f t="shared" si="101"/>
        <v>9.5703600000000009</v>
      </c>
      <c r="J165" s="123">
        <f t="shared" si="101"/>
        <v>9.5703600000000009</v>
      </c>
      <c r="K165" s="123">
        <f t="shared" si="101"/>
        <v>9.5703600000000009</v>
      </c>
      <c r="L165" s="123">
        <f t="shared" si="101"/>
        <v>9.5703600000000009</v>
      </c>
      <c r="M165" s="123">
        <f t="shared" si="101"/>
        <v>9.5703600000000009</v>
      </c>
      <c r="N165" s="123">
        <f t="shared" si="101"/>
        <v>9.5703600000000009</v>
      </c>
      <c r="O165" s="123">
        <f t="shared" si="101"/>
        <v>9.5703600000000009</v>
      </c>
      <c r="P165" s="123">
        <f t="shared" si="101"/>
        <v>9.5703600000000009</v>
      </c>
      <c r="Q165" s="123">
        <f t="shared" si="101"/>
        <v>9.5703600000000009</v>
      </c>
    </row>
    <row r="166" spans="1:17" x14ac:dyDescent="0.25">
      <c r="F166" s="25"/>
    </row>
    <row r="167" spans="1:17" x14ac:dyDescent="0.25">
      <c r="F167" s="25"/>
    </row>
    <row r="168" spans="1:17" x14ac:dyDescent="0.25">
      <c r="F168" s="25"/>
    </row>
    <row r="169" spans="1:17" x14ac:dyDescent="0.25">
      <c r="C169" s="127"/>
      <c r="D169" s="128"/>
      <c r="E169" s="128"/>
      <c r="F169" s="129"/>
      <c r="G169" s="129"/>
      <c r="I169" s="128"/>
      <c r="J169" s="128"/>
      <c r="K169" s="128"/>
      <c r="L169" s="128"/>
      <c r="M169" s="128"/>
      <c r="N169" s="128"/>
      <c r="O169" s="128"/>
      <c r="P169" s="128"/>
      <c r="Q169" s="128"/>
    </row>
    <row r="170" spans="1:17" ht="15.6" x14ac:dyDescent="0.3">
      <c r="A170" s="66" t="s">
        <v>279</v>
      </c>
      <c r="B170" s="67"/>
      <c r="C170" s="130" t="s">
        <v>272</v>
      </c>
      <c r="D170" s="130" t="s">
        <v>273</v>
      </c>
      <c r="E170" s="130" t="s">
        <v>271</v>
      </c>
      <c r="F170" s="129"/>
      <c r="G170" s="130" t="s">
        <v>270</v>
      </c>
      <c r="I170" s="130" t="s">
        <v>273</v>
      </c>
      <c r="J170" s="130" t="s">
        <v>273</v>
      </c>
      <c r="K170" s="130" t="s">
        <v>273</v>
      </c>
      <c r="L170" s="130" t="s">
        <v>273</v>
      </c>
      <c r="M170" s="130" t="s">
        <v>273</v>
      </c>
      <c r="N170" s="130" t="s">
        <v>273</v>
      </c>
      <c r="O170" s="130" t="s">
        <v>273</v>
      </c>
      <c r="P170" s="130" t="s">
        <v>273</v>
      </c>
      <c r="Q170" s="130" t="s">
        <v>273</v>
      </c>
    </row>
    <row r="171" spans="1:17" x14ac:dyDescent="0.25">
      <c r="A171" s="53" t="s">
        <v>35</v>
      </c>
      <c r="B171" s="69">
        <f>+B137</f>
        <v>36.46</v>
      </c>
      <c r="C171" s="131"/>
      <c r="D171" s="131"/>
      <c r="E171" s="131">
        <v>1</v>
      </c>
      <c r="F171" s="129"/>
      <c r="G171" s="131"/>
      <c r="I171" s="131"/>
      <c r="J171" s="131"/>
      <c r="K171" s="131"/>
      <c r="L171" s="131"/>
      <c r="M171" s="131"/>
      <c r="N171" s="131"/>
      <c r="O171" s="131"/>
      <c r="P171" s="131"/>
      <c r="Q171" s="131"/>
    </row>
    <row r="172" spans="1:17" x14ac:dyDescent="0.25">
      <c r="A172" s="53" t="s">
        <v>42</v>
      </c>
      <c r="B172" s="69">
        <f t="shared" ref="B172:B194" si="102">+B138</f>
        <v>52.41</v>
      </c>
      <c r="C172" s="131"/>
      <c r="D172" s="131"/>
      <c r="E172" s="131">
        <v>1</v>
      </c>
      <c r="F172" s="129"/>
      <c r="G172" s="131"/>
      <c r="I172" s="131"/>
      <c r="J172" s="131"/>
      <c r="K172" s="131"/>
      <c r="L172" s="131"/>
      <c r="M172" s="131"/>
      <c r="N172" s="131"/>
      <c r="O172" s="131"/>
      <c r="P172" s="131"/>
      <c r="Q172" s="131"/>
    </row>
    <row r="173" spans="1:17" x14ac:dyDescent="0.25">
      <c r="A173" s="53" t="s">
        <v>38</v>
      </c>
      <c r="B173" s="69">
        <f t="shared" si="102"/>
        <v>34.18</v>
      </c>
      <c r="C173" s="131"/>
      <c r="D173" s="131"/>
      <c r="E173" s="131">
        <v>1</v>
      </c>
      <c r="F173" s="129"/>
      <c r="G173" s="131"/>
      <c r="I173" s="131"/>
      <c r="J173" s="131"/>
      <c r="K173" s="131"/>
      <c r="L173" s="131"/>
      <c r="M173" s="131"/>
      <c r="N173" s="131"/>
      <c r="O173" s="131"/>
      <c r="P173" s="131"/>
      <c r="Q173" s="131"/>
    </row>
    <row r="174" spans="1:17" x14ac:dyDescent="0.25">
      <c r="A174" s="53" t="s">
        <v>43</v>
      </c>
      <c r="B174" s="69">
        <f t="shared" si="102"/>
        <v>50.129999999999995</v>
      </c>
      <c r="C174" s="131"/>
      <c r="D174" s="131"/>
      <c r="E174" s="131">
        <v>1</v>
      </c>
      <c r="F174" s="129"/>
      <c r="G174" s="131"/>
      <c r="I174" s="131"/>
      <c r="J174" s="131"/>
      <c r="K174" s="131"/>
      <c r="L174" s="131"/>
      <c r="M174" s="131"/>
      <c r="N174" s="131"/>
      <c r="O174" s="131"/>
      <c r="P174" s="131"/>
      <c r="Q174" s="131"/>
    </row>
    <row r="175" spans="1:17" x14ac:dyDescent="0.25">
      <c r="A175" s="53" t="s">
        <v>189</v>
      </c>
      <c r="B175" s="69">
        <f t="shared" si="102"/>
        <v>12.08</v>
      </c>
      <c r="C175" s="131"/>
      <c r="D175" s="131"/>
      <c r="E175" s="131">
        <v>1</v>
      </c>
      <c r="F175" s="129"/>
      <c r="G175" s="131"/>
      <c r="I175" s="131"/>
      <c r="J175" s="131"/>
      <c r="K175" s="131"/>
      <c r="L175" s="131"/>
      <c r="M175" s="131"/>
      <c r="N175" s="131"/>
      <c r="O175" s="131"/>
      <c r="P175" s="131"/>
      <c r="Q175" s="131"/>
    </row>
    <row r="176" spans="1:17" x14ac:dyDescent="0.25">
      <c r="A176" s="53" t="s">
        <v>197</v>
      </c>
      <c r="B176" s="69">
        <f t="shared" si="102"/>
        <v>2.76</v>
      </c>
      <c r="C176" s="131">
        <v>0.66666666666666663</v>
      </c>
      <c r="D176" s="131">
        <v>0.33333333333333331</v>
      </c>
      <c r="E176" s="131"/>
      <c r="F176" s="129"/>
      <c r="G176" s="131"/>
      <c r="I176" s="131">
        <v>0.33333333333333331</v>
      </c>
      <c r="J176" s="131">
        <v>0.33333333333333331</v>
      </c>
      <c r="K176" s="131">
        <v>0.33333333333333331</v>
      </c>
      <c r="L176" s="131">
        <v>0.33333333333333331</v>
      </c>
      <c r="M176" s="131">
        <v>0.33333333333333331</v>
      </c>
      <c r="N176" s="131">
        <v>0.33333333333333331</v>
      </c>
      <c r="O176" s="131">
        <v>0.33333333333333331</v>
      </c>
      <c r="P176" s="131">
        <v>0.33333333333333331</v>
      </c>
      <c r="Q176" s="131">
        <v>0.33333333333333331</v>
      </c>
    </row>
    <row r="177" spans="1:17" x14ac:dyDescent="0.25">
      <c r="A177" s="53" t="s">
        <v>16</v>
      </c>
      <c r="B177" s="69">
        <f t="shared" si="102"/>
        <v>0.75</v>
      </c>
      <c r="C177" s="131">
        <f>+C176*0.6</f>
        <v>0.39999999999999997</v>
      </c>
      <c r="D177" s="131">
        <f>+D176*0.6</f>
        <v>0.19999999999999998</v>
      </c>
      <c r="E177" s="131"/>
      <c r="F177" s="129"/>
      <c r="G177" s="131"/>
      <c r="I177" s="131">
        <f>+I176*0.6</f>
        <v>0.19999999999999998</v>
      </c>
      <c r="J177" s="131">
        <f t="shared" ref="J177:Q177" si="103">+J176*0.6</f>
        <v>0.19999999999999998</v>
      </c>
      <c r="K177" s="131">
        <f t="shared" si="103"/>
        <v>0.19999999999999998</v>
      </c>
      <c r="L177" s="131">
        <f t="shared" si="103"/>
        <v>0.19999999999999998</v>
      </c>
      <c r="M177" s="131">
        <f t="shared" si="103"/>
        <v>0.19999999999999998</v>
      </c>
      <c r="N177" s="131">
        <f t="shared" si="103"/>
        <v>0.19999999999999998</v>
      </c>
      <c r="O177" s="131">
        <f t="shared" si="103"/>
        <v>0.19999999999999998</v>
      </c>
      <c r="P177" s="131">
        <f t="shared" si="103"/>
        <v>0.19999999999999998</v>
      </c>
      <c r="Q177" s="131">
        <f t="shared" si="103"/>
        <v>0.19999999999999998</v>
      </c>
    </row>
    <row r="178" spans="1:17" x14ac:dyDescent="0.25">
      <c r="A178" s="53" t="s">
        <v>192</v>
      </c>
      <c r="B178" s="69">
        <f t="shared" si="102"/>
        <v>8.82</v>
      </c>
      <c r="C178" s="131"/>
      <c r="D178" s="131">
        <v>0.318</v>
      </c>
      <c r="E178" s="131"/>
      <c r="F178" s="129"/>
      <c r="G178" s="131"/>
      <c r="I178" s="131">
        <v>0.318</v>
      </c>
      <c r="J178" s="131">
        <v>0.318</v>
      </c>
      <c r="K178" s="131">
        <v>0.318</v>
      </c>
      <c r="L178" s="131">
        <v>0.318</v>
      </c>
      <c r="M178" s="131">
        <v>0.318</v>
      </c>
      <c r="N178" s="131">
        <v>0.318</v>
      </c>
      <c r="O178" s="131">
        <v>0.318</v>
      </c>
      <c r="P178" s="131">
        <v>0.318</v>
      </c>
      <c r="Q178" s="131">
        <v>0.318</v>
      </c>
    </row>
    <row r="179" spans="1:17" x14ac:dyDescent="0.25">
      <c r="A179" s="53" t="s">
        <v>27</v>
      </c>
      <c r="B179" s="69">
        <f t="shared" si="102"/>
        <v>0.18000000000000002</v>
      </c>
      <c r="C179" s="131">
        <v>3</v>
      </c>
      <c r="D179" s="131">
        <v>1</v>
      </c>
      <c r="E179" s="131"/>
      <c r="F179" s="129"/>
      <c r="G179" s="131"/>
      <c r="I179" s="131">
        <v>1</v>
      </c>
      <c r="J179" s="131">
        <v>1</v>
      </c>
      <c r="K179" s="131">
        <v>1</v>
      </c>
      <c r="L179" s="131">
        <v>1</v>
      </c>
      <c r="M179" s="131">
        <v>1</v>
      </c>
      <c r="N179" s="131">
        <v>1</v>
      </c>
      <c r="O179" s="131">
        <v>1</v>
      </c>
      <c r="P179" s="131">
        <v>1</v>
      </c>
      <c r="Q179" s="131">
        <v>1</v>
      </c>
    </row>
    <row r="180" spans="1:17" x14ac:dyDescent="0.25">
      <c r="A180" s="53" t="s">
        <v>31</v>
      </c>
      <c r="B180" s="69">
        <f t="shared" si="102"/>
        <v>0.04</v>
      </c>
      <c r="C180" s="131">
        <v>5</v>
      </c>
      <c r="D180" s="131">
        <v>5</v>
      </c>
      <c r="E180" s="131"/>
      <c r="F180" s="129"/>
      <c r="G180" s="131"/>
      <c r="I180" s="131">
        <v>5</v>
      </c>
      <c r="J180" s="131">
        <v>5</v>
      </c>
      <c r="K180" s="131">
        <v>5</v>
      </c>
      <c r="L180" s="131">
        <v>5</v>
      </c>
      <c r="M180" s="131">
        <v>5</v>
      </c>
      <c r="N180" s="131">
        <v>5</v>
      </c>
      <c r="O180" s="131">
        <v>5</v>
      </c>
      <c r="P180" s="131">
        <v>5</v>
      </c>
      <c r="Q180" s="131">
        <v>5</v>
      </c>
    </row>
    <row r="181" spans="1:17" x14ac:dyDescent="0.25">
      <c r="A181" s="53" t="s">
        <v>32</v>
      </c>
      <c r="B181" s="69">
        <f t="shared" si="102"/>
        <v>0.04</v>
      </c>
      <c r="C181" s="131">
        <v>5</v>
      </c>
      <c r="D181" s="131">
        <v>5</v>
      </c>
      <c r="E181" s="131"/>
      <c r="F181" s="129"/>
      <c r="G181" s="131"/>
      <c r="I181" s="131">
        <v>5</v>
      </c>
      <c r="J181" s="131">
        <v>5</v>
      </c>
      <c r="K181" s="131">
        <v>5</v>
      </c>
      <c r="L181" s="131">
        <v>5</v>
      </c>
      <c r="M181" s="131">
        <v>5</v>
      </c>
      <c r="N181" s="131">
        <v>5</v>
      </c>
      <c r="O181" s="131">
        <v>5</v>
      </c>
      <c r="P181" s="131">
        <v>5</v>
      </c>
      <c r="Q181" s="131">
        <v>5</v>
      </c>
    </row>
    <row r="182" spans="1:17" x14ac:dyDescent="0.25">
      <c r="A182" s="53" t="s">
        <v>274</v>
      </c>
      <c r="B182" s="69">
        <f t="shared" si="102"/>
        <v>8.82</v>
      </c>
      <c r="C182" s="131"/>
      <c r="D182" s="131">
        <v>1</v>
      </c>
      <c r="E182" s="131"/>
      <c r="F182" s="129"/>
      <c r="G182" s="131"/>
      <c r="I182" s="131">
        <v>1</v>
      </c>
      <c r="J182" s="131">
        <v>1</v>
      </c>
      <c r="K182" s="131">
        <v>1</v>
      </c>
      <c r="L182" s="131">
        <v>1</v>
      </c>
      <c r="M182" s="131">
        <v>1</v>
      </c>
      <c r="N182" s="131">
        <v>1</v>
      </c>
      <c r="O182" s="131">
        <v>1</v>
      </c>
      <c r="P182" s="131">
        <v>1</v>
      </c>
      <c r="Q182" s="131">
        <v>1</v>
      </c>
    </row>
    <row r="183" spans="1:17" x14ac:dyDescent="0.25">
      <c r="A183" s="53" t="s">
        <v>275</v>
      </c>
      <c r="B183" s="69">
        <f t="shared" si="102"/>
        <v>8.82</v>
      </c>
      <c r="C183" s="131"/>
      <c r="D183" s="131"/>
      <c r="E183" s="131"/>
      <c r="F183" s="129"/>
      <c r="G183" s="131"/>
      <c r="I183" s="131"/>
      <c r="J183" s="131"/>
      <c r="K183" s="131"/>
      <c r="L183" s="131"/>
      <c r="M183" s="131"/>
      <c r="N183" s="131"/>
      <c r="O183" s="131"/>
      <c r="P183" s="131"/>
      <c r="Q183" s="131"/>
    </row>
    <row r="184" spans="1:17" x14ac:dyDescent="0.25">
      <c r="A184" s="53" t="s">
        <v>210</v>
      </c>
      <c r="B184" s="69">
        <f t="shared" si="102"/>
        <v>8.82</v>
      </c>
      <c r="C184" s="131">
        <v>1</v>
      </c>
      <c r="D184" s="131"/>
      <c r="E184" s="131"/>
      <c r="F184" s="129"/>
      <c r="G184" s="131"/>
      <c r="I184" s="131"/>
      <c r="J184" s="131"/>
      <c r="K184" s="131"/>
      <c r="L184" s="131"/>
      <c r="M184" s="131"/>
      <c r="N184" s="131"/>
      <c r="O184" s="131"/>
      <c r="P184" s="131"/>
      <c r="Q184" s="131"/>
    </row>
    <row r="185" spans="1:17" x14ac:dyDescent="0.25">
      <c r="A185" s="53" t="s">
        <v>211</v>
      </c>
      <c r="B185" s="69">
        <f t="shared" si="102"/>
        <v>8.82</v>
      </c>
      <c r="C185" s="131">
        <v>1</v>
      </c>
      <c r="D185" s="131"/>
      <c r="E185" s="131"/>
      <c r="F185" s="129"/>
      <c r="G185" s="131"/>
      <c r="I185" s="131"/>
      <c r="J185" s="131"/>
      <c r="K185" s="131"/>
      <c r="L185" s="131"/>
      <c r="M185" s="131"/>
      <c r="N185" s="131"/>
      <c r="O185" s="131"/>
      <c r="P185" s="131"/>
      <c r="Q185" s="131"/>
    </row>
    <row r="186" spans="1:17" x14ac:dyDescent="0.25">
      <c r="A186" s="53" t="s">
        <v>212</v>
      </c>
      <c r="B186" s="69">
        <f t="shared" si="102"/>
        <v>8.82</v>
      </c>
      <c r="C186" s="131">
        <v>1</v>
      </c>
      <c r="D186" s="131"/>
      <c r="E186" s="131"/>
      <c r="F186" s="129"/>
      <c r="G186" s="131"/>
      <c r="I186" s="131"/>
      <c r="J186" s="131"/>
      <c r="K186" s="131"/>
      <c r="L186" s="131"/>
      <c r="M186" s="131"/>
      <c r="N186" s="131"/>
      <c r="O186" s="131"/>
      <c r="P186" s="131"/>
      <c r="Q186" s="131"/>
    </row>
    <row r="187" spans="1:17" x14ac:dyDescent="0.25">
      <c r="A187" s="53" t="s">
        <v>213</v>
      </c>
      <c r="B187" s="69">
        <f t="shared" si="102"/>
        <v>8.82</v>
      </c>
      <c r="C187" s="131">
        <v>1</v>
      </c>
      <c r="D187" s="131"/>
      <c r="E187" s="131"/>
      <c r="F187" s="129"/>
      <c r="G187" s="131"/>
      <c r="I187" s="131"/>
      <c r="J187" s="131"/>
      <c r="K187" s="131"/>
      <c r="L187" s="131"/>
      <c r="M187" s="131"/>
      <c r="N187" s="131"/>
      <c r="O187" s="131"/>
      <c r="P187" s="131"/>
      <c r="Q187" s="131"/>
    </row>
    <row r="188" spans="1:17" x14ac:dyDescent="0.25">
      <c r="A188" s="60">
        <v>1510</v>
      </c>
      <c r="B188" s="69">
        <f t="shared" si="102"/>
        <v>27.78</v>
      </c>
      <c r="C188" s="131"/>
      <c r="D188" s="131"/>
      <c r="E188" s="131"/>
      <c r="F188" s="129"/>
      <c r="G188" s="131"/>
      <c r="I188" s="131"/>
      <c r="J188" s="131"/>
      <c r="K188" s="131"/>
      <c r="L188" s="131"/>
      <c r="M188" s="131"/>
      <c r="N188" s="131"/>
      <c r="O188" s="131"/>
      <c r="P188" s="131"/>
      <c r="Q188" s="131"/>
    </row>
    <row r="189" spans="1:17" x14ac:dyDescent="0.25">
      <c r="A189" s="60">
        <v>1511</v>
      </c>
      <c r="B189" s="69">
        <f t="shared" si="102"/>
        <v>16.55</v>
      </c>
      <c r="C189" s="131"/>
      <c r="D189" s="131"/>
      <c r="E189" s="131"/>
      <c r="F189" s="129"/>
      <c r="G189" s="131"/>
      <c r="I189" s="131"/>
      <c r="J189" s="131"/>
      <c r="K189" s="131"/>
      <c r="L189" s="131"/>
      <c r="M189" s="131"/>
      <c r="N189" s="131"/>
      <c r="O189" s="131"/>
      <c r="P189" s="131"/>
      <c r="Q189" s="131"/>
    </row>
    <row r="190" spans="1:17" x14ac:dyDescent="0.25">
      <c r="A190" s="53" t="s">
        <v>214</v>
      </c>
      <c r="B190" s="69">
        <f t="shared" si="102"/>
        <v>3.59</v>
      </c>
      <c r="C190" s="131"/>
      <c r="D190" s="131"/>
      <c r="E190" s="131"/>
      <c r="F190" s="129"/>
      <c r="G190" s="131"/>
      <c r="I190" s="131"/>
      <c r="J190" s="131"/>
      <c r="K190" s="131"/>
      <c r="L190" s="131"/>
      <c r="M190" s="131"/>
      <c r="N190" s="131"/>
      <c r="O190" s="131"/>
      <c r="P190" s="131"/>
      <c r="Q190" s="131"/>
    </row>
    <row r="191" spans="1:17" x14ac:dyDescent="0.25">
      <c r="A191" s="53" t="s">
        <v>215</v>
      </c>
      <c r="B191" s="69">
        <f t="shared" si="102"/>
        <v>3.8699999999999997</v>
      </c>
      <c r="C191" s="131"/>
      <c r="D191" s="131"/>
      <c r="E191" s="131"/>
      <c r="F191" s="129"/>
      <c r="G191" s="131">
        <v>2</v>
      </c>
      <c r="I191" s="131"/>
      <c r="J191" s="131"/>
      <c r="K191" s="131"/>
      <c r="L191" s="131"/>
      <c r="M191" s="131"/>
      <c r="N191" s="131"/>
      <c r="O191" s="131"/>
      <c r="P191" s="131"/>
      <c r="Q191" s="131"/>
    </row>
    <row r="192" spans="1:17" x14ac:dyDescent="0.25">
      <c r="A192" s="53" t="s">
        <v>216</v>
      </c>
      <c r="B192" s="69">
        <f t="shared" si="102"/>
        <v>2.76</v>
      </c>
      <c r="C192" s="131"/>
      <c r="D192" s="131"/>
      <c r="E192" s="131"/>
      <c r="F192" s="129"/>
      <c r="G192" s="131">
        <v>1</v>
      </c>
      <c r="I192" s="131"/>
      <c r="J192" s="131"/>
      <c r="K192" s="131"/>
      <c r="L192" s="131"/>
      <c r="M192" s="131"/>
      <c r="N192" s="131"/>
      <c r="O192" s="131"/>
      <c r="P192" s="131"/>
      <c r="Q192" s="131"/>
    </row>
    <row r="193" spans="1:17" x14ac:dyDescent="0.25">
      <c r="A193" s="53">
        <v>1335</v>
      </c>
      <c r="B193" s="69">
        <f t="shared" si="102"/>
        <v>6.83</v>
      </c>
      <c r="C193" s="131"/>
      <c r="D193" s="131"/>
      <c r="E193" s="131"/>
      <c r="F193" s="129"/>
      <c r="G193" s="131">
        <v>1</v>
      </c>
      <c r="I193" s="131"/>
      <c r="J193" s="131"/>
      <c r="K193" s="131"/>
      <c r="L193" s="131"/>
      <c r="M193" s="131"/>
      <c r="N193" s="131"/>
      <c r="O193" s="131"/>
      <c r="P193" s="131"/>
      <c r="Q193" s="131"/>
    </row>
    <row r="194" spans="1:17" x14ac:dyDescent="0.25">
      <c r="A194" s="53" t="s">
        <v>217</v>
      </c>
      <c r="B194" s="69">
        <f t="shared" si="102"/>
        <v>1.21</v>
      </c>
      <c r="C194" s="131"/>
      <c r="D194" s="131"/>
      <c r="E194" s="131"/>
      <c r="F194" s="129"/>
      <c r="G194" s="131">
        <v>1</v>
      </c>
      <c r="I194" s="131"/>
      <c r="J194" s="131"/>
      <c r="K194" s="131"/>
      <c r="L194" s="131"/>
      <c r="M194" s="131"/>
      <c r="N194" s="131"/>
      <c r="O194" s="131"/>
      <c r="P194" s="131"/>
      <c r="Q194" s="131"/>
    </row>
    <row r="195" spans="1:17" x14ac:dyDescent="0.25">
      <c r="C195" s="129"/>
      <c r="D195" s="129"/>
      <c r="E195" s="129"/>
      <c r="F195" s="129"/>
      <c r="G195" s="129"/>
      <c r="I195" s="129"/>
      <c r="J195" s="129"/>
      <c r="K195" s="129"/>
      <c r="L195" s="129"/>
      <c r="M195" s="129"/>
      <c r="N195" s="129"/>
      <c r="O195" s="129"/>
      <c r="P195" s="129"/>
      <c r="Q195" s="129"/>
    </row>
    <row r="196" spans="1:17" x14ac:dyDescent="0.25">
      <c r="A196" s="53" t="s">
        <v>35</v>
      </c>
      <c r="C196" s="129">
        <f t="shared" ref="C196:D199" si="104">SUMPRODUCT($B$103:$B$126,C$171:C$194)</f>
        <v>38.36</v>
      </c>
      <c r="D196" s="129">
        <f t="shared" si="104"/>
        <v>13.274760000000001</v>
      </c>
      <c r="E196" s="129">
        <f>(E171*B171)+($E$175*$B$107)</f>
        <v>48.54</v>
      </c>
      <c r="F196" s="129"/>
      <c r="G196" s="129">
        <f>SUMPRODUCT($B$103:$B$126,G$171:G$194)</f>
        <v>18.54</v>
      </c>
      <c r="I196" s="129">
        <f t="shared" ref="I196:Q199" si="105">SUMPRODUCT($B$103:$B$126,I$171:I$194)</f>
        <v>13.274760000000001</v>
      </c>
      <c r="J196" s="129">
        <f t="shared" si="105"/>
        <v>13.274760000000001</v>
      </c>
      <c r="K196" s="129">
        <f t="shared" si="105"/>
        <v>13.274760000000001</v>
      </c>
      <c r="L196" s="129">
        <f t="shared" si="105"/>
        <v>13.274760000000001</v>
      </c>
      <c r="M196" s="129">
        <f t="shared" si="105"/>
        <v>13.274760000000001</v>
      </c>
      <c r="N196" s="129">
        <f t="shared" si="105"/>
        <v>13.274760000000001</v>
      </c>
      <c r="O196" s="129">
        <f t="shared" si="105"/>
        <v>13.274760000000001</v>
      </c>
      <c r="P196" s="129">
        <f t="shared" si="105"/>
        <v>13.274760000000001</v>
      </c>
      <c r="Q196" s="129">
        <f t="shared" si="105"/>
        <v>13.274760000000001</v>
      </c>
    </row>
    <row r="197" spans="1:17" x14ac:dyDescent="0.25">
      <c r="A197" s="53" t="s">
        <v>42</v>
      </c>
      <c r="C197" s="129">
        <f t="shared" si="104"/>
        <v>38.36</v>
      </c>
      <c r="D197" s="129">
        <f t="shared" si="104"/>
        <v>13.274760000000001</v>
      </c>
      <c r="E197" s="129">
        <f>(E172*B172)+($E$175*$B$107)</f>
        <v>64.489999999999995</v>
      </c>
      <c r="F197" s="129"/>
      <c r="G197" s="129">
        <f>SUMPRODUCT($B$103:$B$126,G$171:G$194)</f>
        <v>18.54</v>
      </c>
      <c r="I197" s="129">
        <f t="shared" si="105"/>
        <v>13.274760000000001</v>
      </c>
      <c r="J197" s="129">
        <f t="shared" si="105"/>
        <v>13.274760000000001</v>
      </c>
      <c r="K197" s="129">
        <f t="shared" si="105"/>
        <v>13.274760000000001</v>
      </c>
      <c r="L197" s="129">
        <f t="shared" si="105"/>
        <v>13.274760000000001</v>
      </c>
      <c r="M197" s="129">
        <f t="shared" si="105"/>
        <v>13.274760000000001</v>
      </c>
      <c r="N197" s="129">
        <f t="shared" si="105"/>
        <v>13.274760000000001</v>
      </c>
      <c r="O197" s="129">
        <f t="shared" si="105"/>
        <v>13.274760000000001</v>
      </c>
      <c r="P197" s="129">
        <f t="shared" si="105"/>
        <v>13.274760000000001</v>
      </c>
      <c r="Q197" s="129">
        <f t="shared" si="105"/>
        <v>13.274760000000001</v>
      </c>
    </row>
    <row r="198" spans="1:17" x14ac:dyDescent="0.25">
      <c r="A198" s="53" t="s">
        <v>38</v>
      </c>
      <c r="C198" s="129">
        <f t="shared" si="104"/>
        <v>38.36</v>
      </c>
      <c r="D198" s="129">
        <f t="shared" si="104"/>
        <v>13.274760000000001</v>
      </c>
      <c r="E198" s="129">
        <f>(E173*B173)+($E$175*$B$107)</f>
        <v>46.26</v>
      </c>
      <c r="F198" s="129"/>
      <c r="G198" s="129">
        <f>SUMPRODUCT($B$103:$B$126,G$171:G$194)</f>
        <v>18.54</v>
      </c>
      <c r="I198" s="129">
        <f t="shared" si="105"/>
        <v>13.274760000000001</v>
      </c>
      <c r="J198" s="129">
        <f t="shared" si="105"/>
        <v>13.274760000000001</v>
      </c>
      <c r="K198" s="129">
        <f t="shared" si="105"/>
        <v>13.274760000000001</v>
      </c>
      <c r="L198" s="129">
        <f t="shared" si="105"/>
        <v>13.274760000000001</v>
      </c>
      <c r="M198" s="129">
        <f t="shared" si="105"/>
        <v>13.274760000000001</v>
      </c>
      <c r="N198" s="129">
        <f t="shared" si="105"/>
        <v>13.274760000000001</v>
      </c>
      <c r="O198" s="129">
        <f t="shared" si="105"/>
        <v>13.274760000000001</v>
      </c>
      <c r="P198" s="129">
        <f t="shared" si="105"/>
        <v>13.274760000000001</v>
      </c>
      <c r="Q198" s="129">
        <f t="shared" si="105"/>
        <v>13.274760000000001</v>
      </c>
    </row>
    <row r="199" spans="1:17" x14ac:dyDescent="0.25">
      <c r="A199" s="53" t="s">
        <v>43</v>
      </c>
      <c r="C199" s="129">
        <f t="shared" si="104"/>
        <v>38.36</v>
      </c>
      <c r="D199" s="129">
        <f t="shared" si="104"/>
        <v>13.274760000000001</v>
      </c>
      <c r="E199" s="129">
        <f>(E174*B174)+($E$175*$B$107)</f>
        <v>62.209999999999994</v>
      </c>
      <c r="F199" s="129"/>
      <c r="G199" s="129">
        <f>SUMPRODUCT($B$103:$B$126,G$171:G$194)</f>
        <v>18.54</v>
      </c>
      <c r="I199" s="129">
        <f t="shared" si="105"/>
        <v>13.274760000000001</v>
      </c>
      <c r="J199" s="129">
        <f t="shared" si="105"/>
        <v>13.274760000000001</v>
      </c>
      <c r="K199" s="129">
        <f t="shared" si="105"/>
        <v>13.274760000000001</v>
      </c>
      <c r="L199" s="129">
        <f t="shared" si="105"/>
        <v>13.274760000000001</v>
      </c>
      <c r="M199" s="129">
        <f t="shared" si="105"/>
        <v>13.274760000000001</v>
      </c>
      <c r="N199" s="129">
        <f t="shared" si="105"/>
        <v>13.274760000000001</v>
      </c>
      <c r="O199" s="129">
        <f t="shared" si="105"/>
        <v>13.274760000000001</v>
      </c>
      <c r="P199" s="129">
        <f t="shared" si="105"/>
        <v>13.274760000000001</v>
      </c>
      <c r="Q199" s="129">
        <f t="shared" si="105"/>
        <v>13.274760000000001</v>
      </c>
    </row>
    <row r="203" spans="1:17" x14ac:dyDescent="0.25">
      <c r="C203" s="123"/>
      <c r="D203" s="124"/>
      <c r="E203" s="124"/>
      <c r="G203" s="124"/>
      <c r="I203" s="124"/>
      <c r="J203" s="124"/>
      <c r="K203" s="124"/>
      <c r="L203" s="124"/>
      <c r="M203" s="124"/>
      <c r="N203" s="124"/>
      <c r="O203" s="124"/>
      <c r="P203" s="124"/>
      <c r="Q203" s="124"/>
    </row>
    <row r="204" spans="1:17" ht="15.6" x14ac:dyDescent="0.3">
      <c r="A204" s="66" t="s">
        <v>278</v>
      </c>
      <c r="B204" s="67"/>
      <c r="C204" s="125" t="s">
        <v>272</v>
      </c>
      <c r="D204" s="125" t="s">
        <v>273</v>
      </c>
      <c r="E204" s="125" t="s">
        <v>271</v>
      </c>
      <c r="G204" s="125" t="s">
        <v>270</v>
      </c>
      <c r="I204" s="125" t="s">
        <v>273</v>
      </c>
      <c r="J204" s="125" t="s">
        <v>273</v>
      </c>
      <c r="K204" s="125" t="s">
        <v>273</v>
      </c>
      <c r="L204" s="125" t="s">
        <v>273</v>
      </c>
      <c r="M204" s="125" t="s">
        <v>273</v>
      </c>
      <c r="N204" s="125" t="s">
        <v>273</v>
      </c>
      <c r="O204" s="125" t="s">
        <v>273</v>
      </c>
      <c r="P204" s="125" t="s">
        <v>273</v>
      </c>
      <c r="Q204" s="125" t="s">
        <v>273</v>
      </c>
    </row>
    <row r="205" spans="1:17" x14ac:dyDescent="0.25">
      <c r="A205" s="53" t="s">
        <v>35</v>
      </c>
      <c r="B205" s="69">
        <f>+B171</f>
        <v>36.46</v>
      </c>
      <c r="C205" s="126"/>
      <c r="D205" s="126"/>
      <c r="E205" s="126">
        <v>1</v>
      </c>
      <c r="G205" s="126"/>
      <c r="I205" s="126"/>
      <c r="J205" s="126"/>
      <c r="K205" s="126"/>
      <c r="L205" s="126"/>
      <c r="M205" s="126"/>
      <c r="N205" s="126"/>
      <c r="O205" s="126"/>
      <c r="P205" s="126"/>
      <c r="Q205" s="126"/>
    </row>
    <row r="206" spans="1:17" x14ac:dyDescent="0.25">
      <c r="A206" s="53" t="s">
        <v>42</v>
      </c>
      <c r="B206" s="69">
        <f t="shared" ref="B206:B228" si="106">+B172</f>
        <v>52.41</v>
      </c>
      <c r="C206" s="126"/>
      <c r="D206" s="126"/>
      <c r="E206" s="126">
        <v>1</v>
      </c>
      <c r="G206" s="126"/>
      <c r="I206" s="126"/>
      <c r="J206" s="126"/>
      <c r="K206" s="126"/>
      <c r="L206" s="126"/>
      <c r="M206" s="126"/>
      <c r="N206" s="126"/>
      <c r="O206" s="126"/>
      <c r="P206" s="126"/>
      <c r="Q206" s="126"/>
    </row>
    <row r="207" spans="1:17" x14ac:dyDescent="0.25">
      <c r="A207" s="53" t="s">
        <v>38</v>
      </c>
      <c r="B207" s="69">
        <f t="shared" si="106"/>
        <v>34.18</v>
      </c>
      <c r="C207" s="126"/>
      <c r="D207" s="126"/>
      <c r="E207" s="126">
        <v>1</v>
      </c>
      <c r="G207" s="126"/>
      <c r="I207" s="126"/>
      <c r="J207" s="126"/>
      <c r="K207" s="126"/>
      <c r="L207" s="126"/>
      <c r="M207" s="126"/>
      <c r="N207" s="126"/>
      <c r="O207" s="126"/>
      <c r="P207" s="126"/>
      <c r="Q207" s="126"/>
    </row>
    <row r="208" spans="1:17" x14ac:dyDescent="0.25">
      <c r="A208" s="53" t="s">
        <v>43</v>
      </c>
      <c r="B208" s="69">
        <f t="shared" si="106"/>
        <v>50.129999999999995</v>
      </c>
      <c r="C208" s="126"/>
      <c r="D208" s="126"/>
      <c r="E208" s="126">
        <v>1</v>
      </c>
      <c r="G208" s="126"/>
      <c r="I208" s="126"/>
      <c r="J208" s="126"/>
      <c r="K208" s="126"/>
      <c r="L208" s="126"/>
      <c r="M208" s="126"/>
      <c r="N208" s="126"/>
      <c r="O208" s="126"/>
      <c r="P208" s="126"/>
      <c r="Q208" s="126"/>
    </row>
    <row r="209" spans="1:17" x14ac:dyDescent="0.25">
      <c r="A209" s="53" t="s">
        <v>189</v>
      </c>
      <c r="B209" s="69">
        <f t="shared" si="106"/>
        <v>12.08</v>
      </c>
      <c r="C209" s="126"/>
      <c r="D209" s="126"/>
      <c r="E209" s="126">
        <v>1</v>
      </c>
      <c r="G209" s="126"/>
      <c r="I209" s="126"/>
      <c r="J209" s="126"/>
      <c r="K209" s="126"/>
      <c r="L209" s="126"/>
      <c r="M209" s="126"/>
      <c r="N209" s="126"/>
      <c r="O209" s="126"/>
      <c r="P209" s="126"/>
      <c r="Q209" s="126"/>
    </row>
    <row r="210" spans="1:17" x14ac:dyDescent="0.25">
      <c r="A210" s="53" t="s">
        <v>197</v>
      </c>
      <c r="B210" s="69">
        <f t="shared" si="106"/>
        <v>2.76</v>
      </c>
      <c r="C210" s="126">
        <v>0.66666666666666663</v>
      </c>
      <c r="D210" s="126">
        <v>0.33333333333333331</v>
      </c>
      <c r="E210" s="126"/>
      <c r="G210" s="126"/>
      <c r="I210" s="126">
        <v>0.33333333333333331</v>
      </c>
      <c r="J210" s="126">
        <v>0.33333333333333331</v>
      </c>
      <c r="K210" s="126">
        <v>0.33333333333333331</v>
      </c>
      <c r="L210" s="126">
        <v>0.33333333333333331</v>
      </c>
      <c r="M210" s="126">
        <v>0.33333333333333331</v>
      </c>
      <c r="N210" s="126">
        <v>0.33333333333333331</v>
      </c>
      <c r="O210" s="126">
        <v>0.33333333333333331</v>
      </c>
      <c r="P210" s="126">
        <v>0.33333333333333331</v>
      </c>
      <c r="Q210" s="126">
        <v>0.33333333333333331</v>
      </c>
    </row>
    <row r="211" spans="1:17" x14ac:dyDescent="0.25">
      <c r="A211" s="53" t="s">
        <v>16</v>
      </c>
      <c r="B211" s="69">
        <f t="shared" si="106"/>
        <v>0.75</v>
      </c>
      <c r="C211" s="126">
        <f>+C210*0.6</f>
        <v>0.39999999999999997</v>
      </c>
      <c r="D211" s="126">
        <f>+D210*0.6</f>
        <v>0.19999999999999998</v>
      </c>
      <c r="E211" s="126"/>
      <c r="G211" s="126"/>
      <c r="I211" s="126">
        <f>+I210*0.6</f>
        <v>0.19999999999999998</v>
      </c>
      <c r="J211" s="126">
        <f t="shared" ref="J211:Q211" si="107">+J210*0.6</f>
        <v>0.19999999999999998</v>
      </c>
      <c r="K211" s="126">
        <f t="shared" si="107"/>
        <v>0.19999999999999998</v>
      </c>
      <c r="L211" s="126">
        <f t="shared" si="107"/>
        <v>0.19999999999999998</v>
      </c>
      <c r="M211" s="126">
        <f t="shared" si="107"/>
        <v>0.19999999999999998</v>
      </c>
      <c r="N211" s="126">
        <f t="shared" si="107"/>
        <v>0.19999999999999998</v>
      </c>
      <c r="O211" s="126">
        <f t="shared" si="107"/>
        <v>0.19999999999999998</v>
      </c>
      <c r="P211" s="126">
        <f t="shared" si="107"/>
        <v>0.19999999999999998</v>
      </c>
      <c r="Q211" s="126">
        <f t="shared" si="107"/>
        <v>0.19999999999999998</v>
      </c>
    </row>
    <row r="212" spans="1:17" x14ac:dyDescent="0.25">
      <c r="A212" s="53" t="s">
        <v>192</v>
      </c>
      <c r="B212" s="69">
        <f t="shared" si="106"/>
        <v>8.82</v>
      </c>
      <c r="C212" s="126"/>
      <c r="D212" s="126">
        <v>0.318</v>
      </c>
      <c r="E212" s="126"/>
      <c r="G212" s="126"/>
      <c r="I212" s="126">
        <v>0.318</v>
      </c>
      <c r="J212" s="126">
        <v>0.318</v>
      </c>
      <c r="K212" s="126">
        <v>0.318</v>
      </c>
      <c r="L212" s="126">
        <v>0.318</v>
      </c>
      <c r="M212" s="126">
        <v>0.318</v>
      </c>
      <c r="N212" s="126">
        <v>0.318</v>
      </c>
      <c r="O212" s="126">
        <v>0.318</v>
      </c>
      <c r="P212" s="126">
        <v>0.318</v>
      </c>
      <c r="Q212" s="126">
        <v>0.318</v>
      </c>
    </row>
    <row r="213" spans="1:17" x14ac:dyDescent="0.25">
      <c r="A213" s="53" t="s">
        <v>27</v>
      </c>
      <c r="B213" s="69">
        <f t="shared" si="106"/>
        <v>0.18000000000000002</v>
      </c>
      <c r="C213" s="126">
        <v>3</v>
      </c>
      <c r="D213" s="126">
        <v>1</v>
      </c>
      <c r="E213" s="126"/>
      <c r="G213" s="126"/>
      <c r="I213" s="126">
        <v>1</v>
      </c>
      <c r="J213" s="126">
        <v>1</v>
      </c>
      <c r="K213" s="126">
        <v>1</v>
      </c>
      <c r="L213" s="126">
        <v>1</v>
      </c>
      <c r="M213" s="126">
        <v>1</v>
      </c>
      <c r="N213" s="126">
        <v>1</v>
      </c>
      <c r="O213" s="126">
        <v>1</v>
      </c>
      <c r="P213" s="126">
        <v>1</v>
      </c>
      <c r="Q213" s="126">
        <v>1</v>
      </c>
    </row>
    <row r="214" spans="1:17" x14ac:dyDescent="0.25">
      <c r="A214" s="53" t="s">
        <v>31</v>
      </c>
      <c r="B214" s="69">
        <f t="shared" si="106"/>
        <v>0.04</v>
      </c>
      <c r="C214" s="126">
        <v>5</v>
      </c>
      <c r="D214" s="126">
        <v>5</v>
      </c>
      <c r="E214" s="126"/>
      <c r="G214" s="126"/>
      <c r="I214" s="126">
        <v>5</v>
      </c>
      <c r="J214" s="126">
        <v>5</v>
      </c>
      <c r="K214" s="126">
        <v>5</v>
      </c>
      <c r="L214" s="126">
        <v>5</v>
      </c>
      <c r="M214" s="126">
        <v>5</v>
      </c>
      <c r="N214" s="126">
        <v>5</v>
      </c>
      <c r="O214" s="126">
        <v>5</v>
      </c>
      <c r="P214" s="126">
        <v>5</v>
      </c>
      <c r="Q214" s="126">
        <v>5</v>
      </c>
    </row>
    <row r="215" spans="1:17" x14ac:dyDescent="0.25">
      <c r="A215" s="53" t="s">
        <v>32</v>
      </c>
      <c r="B215" s="69">
        <f t="shared" si="106"/>
        <v>0.04</v>
      </c>
      <c r="C215" s="126">
        <v>5</v>
      </c>
      <c r="D215" s="126">
        <v>5</v>
      </c>
      <c r="E215" s="126"/>
      <c r="G215" s="126"/>
      <c r="I215" s="126">
        <v>5</v>
      </c>
      <c r="J215" s="126">
        <v>5</v>
      </c>
      <c r="K215" s="126">
        <v>5</v>
      </c>
      <c r="L215" s="126">
        <v>5</v>
      </c>
      <c r="M215" s="126">
        <v>5</v>
      </c>
      <c r="N215" s="126">
        <v>5</v>
      </c>
      <c r="O215" s="126">
        <v>5</v>
      </c>
      <c r="P215" s="126">
        <v>5</v>
      </c>
      <c r="Q215" s="126">
        <v>5</v>
      </c>
    </row>
    <row r="216" spans="1:17" x14ac:dyDescent="0.25">
      <c r="A216" s="53" t="s">
        <v>274</v>
      </c>
      <c r="B216" s="69">
        <f t="shared" si="106"/>
        <v>8.82</v>
      </c>
      <c r="C216" s="126"/>
      <c r="D216" s="126">
        <v>0.32</v>
      </c>
      <c r="E216" s="126"/>
      <c r="G216" s="126"/>
      <c r="I216" s="126">
        <v>0.32</v>
      </c>
      <c r="J216" s="126">
        <v>0.32</v>
      </c>
      <c r="K216" s="126">
        <v>0.32</v>
      </c>
      <c r="L216" s="126">
        <v>0.32</v>
      </c>
      <c r="M216" s="126">
        <v>0.32</v>
      </c>
      <c r="N216" s="126">
        <v>0.32</v>
      </c>
      <c r="O216" s="126">
        <v>0.32</v>
      </c>
      <c r="P216" s="126">
        <v>0.32</v>
      </c>
      <c r="Q216" s="126">
        <v>0.32</v>
      </c>
    </row>
    <row r="217" spans="1:17" x14ac:dyDescent="0.25">
      <c r="A217" s="53" t="s">
        <v>275</v>
      </c>
      <c r="B217" s="69">
        <f t="shared" si="106"/>
        <v>8.82</v>
      </c>
      <c r="C217" s="126"/>
      <c r="D217" s="126">
        <v>0.26</v>
      </c>
      <c r="E217" s="126"/>
      <c r="G217" s="126"/>
      <c r="I217" s="126">
        <v>0.26</v>
      </c>
      <c r="J217" s="126">
        <v>0.26</v>
      </c>
      <c r="K217" s="126">
        <v>0.26</v>
      </c>
      <c r="L217" s="126">
        <v>0.26</v>
      </c>
      <c r="M217" s="126">
        <v>0.26</v>
      </c>
      <c r="N217" s="126">
        <v>0.26</v>
      </c>
      <c r="O217" s="126">
        <v>0.26</v>
      </c>
      <c r="P217" s="126">
        <v>0.26</v>
      </c>
      <c r="Q217" s="126">
        <v>0.26</v>
      </c>
    </row>
    <row r="218" spans="1:17" x14ac:dyDescent="0.25">
      <c r="A218" s="53" t="s">
        <v>210</v>
      </c>
      <c r="B218" s="69">
        <f t="shared" si="106"/>
        <v>8.82</v>
      </c>
      <c r="C218" s="126">
        <v>1</v>
      </c>
      <c r="D218" s="126"/>
      <c r="E218" s="126"/>
      <c r="G218" s="126"/>
      <c r="I218" s="126"/>
      <c r="J218" s="126"/>
      <c r="K218" s="126"/>
      <c r="L218" s="126"/>
      <c r="M218" s="126"/>
      <c r="N218" s="126"/>
      <c r="O218" s="126"/>
      <c r="P218" s="126"/>
      <c r="Q218" s="126"/>
    </row>
    <row r="219" spans="1:17" x14ac:dyDescent="0.25">
      <c r="A219" s="53" t="s">
        <v>211</v>
      </c>
      <c r="B219" s="69">
        <f t="shared" si="106"/>
        <v>8.82</v>
      </c>
      <c r="C219" s="126">
        <v>1</v>
      </c>
      <c r="D219" s="126"/>
      <c r="E219" s="126"/>
      <c r="G219" s="126"/>
      <c r="I219" s="126"/>
      <c r="J219" s="126"/>
      <c r="K219" s="126"/>
      <c r="L219" s="126"/>
      <c r="M219" s="126"/>
      <c r="N219" s="126"/>
      <c r="O219" s="126"/>
      <c r="P219" s="126"/>
      <c r="Q219" s="126"/>
    </row>
    <row r="220" spans="1:17" x14ac:dyDescent="0.25">
      <c r="A220" s="53" t="s">
        <v>212</v>
      </c>
      <c r="B220" s="69">
        <f t="shared" si="106"/>
        <v>8.82</v>
      </c>
      <c r="C220" s="126">
        <v>1</v>
      </c>
      <c r="D220" s="126"/>
      <c r="E220" s="126"/>
      <c r="G220" s="126"/>
      <c r="I220" s="126"/>
      <c r="J220" s="126"/>
      <c r="K220" s="126"/>
      <c r="L220" s="126"/>
      <c r="M220" s="126"/>
      <c r="N220" s="126"/>
      <c r="O220" s="126"/>
      <c r="P220" s="126"/>
      <c r="Q220" s="126"/>
    </row>
    <row r="221" spans="1:17" x14ac:dyDescent="0.25">
      <c r="A221" s="53" t="s">
        <v>213</v>
      </c>
      <c r="B221" s="69">
        <f t="shared" si="106"/>
        <v>8.82</v>
      </c>
      <c r="C221" s="126">
        <v>1</v>
      </c>
      <c r="D221" s="126"/>
      <c r="E221" s="126"/>
      <c r="G221" s="126"/>
      <c r="I221" s="126"/>
      <c r="J221" s="126"/>
      <c r="K221" s="126"/>
      <c r="L221" s="126"/>
      <c r="M221" s="126"/>
      <c r="N221" s="126"/>
      <c r="O221" s="126"/>
      <c r="P221" s="126"/>
      <c r="Q221" s="126"/>
    </row>
    <row r="222" spans="1:17" x14ac:dyDescent="0.25">
      <c r="A222" s="60">
        <v>1510</v>
      </c>
      <c r="B222" s="69">
        <f t="shared" si="106"/>
        <v>27.78</v>
      </c>
      <c r="C222" s="126"/>
      <c r="D222" s="126"/>
      <c r="E222" s="126"/>
      <c r="G222" s="126"/>
      <c r="I222" s="126"/>
      <c r="J222" s="126"/>
      <c r="K222" s="126"/>
      <c r="L222" s="126"/>
      <c r="M222" s="126"/>
      <c r="N222" s="126"/>
      <c r="O222" s="126"/>
      <c r="P222" s="126"/>
      <c r="Q222" s="126"/>
    </row>
    <row r="223" spans="1:17" x14ac:dyDescent="0.25">
      <c r="A223" s="60">
        <v>1511</v>
      </c>
      <c r="B223" s="69">
        <f t="shared" si="106"/>
        <v>16.55</v>
      </c>
      <c r="C223" s="126"/>
      <c r="D223" s="126"/>
      <c r="E223" s="126"/>
      <c r="G223" s="126"/>
      <c r="I223" s="126"/>
      <c r="J223" s="126"/>
      <c r="K223" s="126"/>
      <c r="L223" s="126"/>
      <c r="M223" s="126"/>
      <c r="N223" s="126"/>
      <c r="O223" s="126"/>
      <c r="P223" s="126"/>
      <c r="Q223" s="126"/>
    </row>
    <row r="224" spans="1:17" x14ac:dyDescent="0.25">
      <c r="A224" s="53" t="s">
        <v>214</v>
      </c>
      <c r="B224" s="69">
        <f t="shared" si="106"/>
        <v>3.59</v>
      </c>
      <c r="C224" s="126"/>
      <c r="D224" s="126"/>
      <c r="E224" s="126"/>
      <c r="G224" s="126"/>
      <c r="I224" s="126"/>
      <c r="J224" s="126"/>
      <c r="K224" s="126"/>
      <c r="L224" s="126"/>
      <c r="M224" s="126"/>
      <c r="N224" s="126"/>
      <c r="O224" s="126"/>
      <c r="P224" s="126"/>
      <c r="Q224" s="126"/>
    </row>
    <row r="225" spans="1:17" x14ac:dyDescent="0.25">
      <c r="A225" s="53" t="s">
        <v>215</v>
      </c>
      <c r="B225" s="69">
        <f t="shared" si="106"/>
        <v>3.8699999999999997</v>
      </c>
      <c r="C225" s="126"/>
      <c r="D225" s="126"/>
      <c r="E225" s="126"/>
      <c r="G225" s="126">
        <v>4</v>
      </c>
      <c r="I225" s="126"/>
      <c r="J225" s="126"/>
      <c r="K225" s="126"/>
      <c r="L225" s="126"/>
      <c r="M225" s="126"/>
      <c r="N225" s="126"/>
      <c r="O225" s="126"/>
      <c r="P225" s="126"/>
      <c r="Q225" s="126"/>
    </row>
    <row r="226" spans="1:17" x14ac:dyDescent="0.25">
      <c r="A226" s="53" t="s">
        <v>216</v>
      </c>
      <c r="B226" s="69">
        <f t="shared" si="106"/>
        <v>2.76</v>
      </c>
      <c r="C226" s="126"/>
      <c r="D226" s="126"/>
      <c r="E226" s="126"/>
      <c r="G226" s="126">
        <v>2</v>
      </c>
      <c r="I226" s="126"/>
      <c r="J226" s="126"/>
      <c r="K226" s="126"/>
      <c r="L226" s="126"/>
      <c r="M226" s="126"/>
      <c r="N226" s="126"/>
      <c r="O226" s="126"/>
      <c r="P226" s="126"/>
      <c r="Q226" s="126"/>
    </row>
    <row r="227" spans="1:17" x14ac:dyDescent="0.25">
      <c r="A227" s="53">
        <v>1335</v>
      </c>
      <c r="B227" s="69">
        <f t="shared" si="106"/>
        <v>6.83</v>
      </c>
      <c r="C227" s="126"/>
      <c r="D227" s="126"/>
      <c r="E227" s="126"/>
      <c r="G227" s="126">
        <v>2</v>
      </c>
      <c r="I227" s="126"/>
      <c r="J227" s="126"/>
      <c r="K227" s="126"/>
      <c r="L227" s="126"/>
      <c r="M227" s="126"/>
      <c r="N227" s="126"/>
      <c r="O227" s="126"/>
      <c r="P227" s="126"/>
      <c r="Q227" s="126"/>
    </row>
    <row r="228" spans="1:17" x14ac:dyDescent="0.25">
      <c r="A228" s="53" t="s">
        <v>217</v>
      </c>
      <c r="B228" s="69">
        <f t="shared" si="106"/>
        <v>1.21</v>
      </c>
      <c r="C228" s="126"/>
      <c r="D228" s="126"/>
      <c r="E228" s="126"/>
      <c r="G228" s="126">
        <v>2</v>
      </c>
      <c r="I228" s="126"/>
      <c r="J228" s="126"/>
      <c r="K228" s="126"/>
      <c r="L228" s="126"/>
      <c r="M228" s="126"/>
      <c r="N228" s="126"/>
      <c r="O228" s="126"/>
      <c r="P228" s="126"/>
      <c r="Q228" s="126"/>
    </row>
    <row r="229" spans="1:17" x14ac:dyDescent="0.25">
      <c r="C229" s="123"/>
      <c r="D229" s="123"/>
      <c r="E229" s="123"/>
      <c r="G229" s="123"/>
      <c r="I229" s="123"/>
      <c r="J229" s="123"/>
      <c r="K229" s="123"/>
      <c r="L229" s="123"/>
      <c r="M229" s="123"/>
      <c r="N229" s="123"/>
      <c r="O229" s="123"/>
      <c r="P229" s="123"/>
      <c r="Q229" s="123"/>
    </row>
    <row r="230" spans="1:17" x14ac:dyDescent="0.25">
      <c r="A230" s="53" t="s">
        <v>35</v>
      </c>
      <c r="C230" s="123">
        <f t="shared" ref="C230:D233" si="108">SUMPRODUCT($B$103:$B$126,C$205:C$228)</f>
        <v>38.36</v>
      </c>
      <c r="D230" s="123">
        <f t="shared" si="108"/>
        <v>9.5703600000000009</v>
      </c>
      <c r="E230" s="123">
        <f>(E205*B171)+($E$209*$B$107)</f>
        <v>48.54</v>
      </c>
      <c r="G230" s="123">
        <f>SUMPRODUCT($B$103:$B$126,G$205:G$228)</f>
        <v>37.08</v>
      </c>
      <c r="I230" s="123">
        <f t="shared" ref="I230:Q233" si="109">SUMPRODUCT($B$103:$B$126,I$205:I$228)</f>
        <v>9.5703600000000009</v>
      </c>
      <c r="J230" s="123">
        <f t="shared" si="109"/>
        <v>9.5703600000000009</v>
      </c>
      <c r="K230" s="123">
        <f t="shared" si="109"/>
        <v>9.5703600000000009</v>
      </c>
      <c r="L230" s="123">
        <f t="shared" si="109"/>
        <v>9.5703600000000009</v>
      </c>
      <c r="M230" s="123">
        <f t="shared" si="109"/>
        <v>9.5703600000000009</v>
      </c>
      <c r="N230" s="123">
        <f t="shared" si="109"/>
        <v>9.5703600000000009</v>
      </c>
      <c r="O230" s="123">
        <f t="shared" si="109"/>
        <v>9.5703600000000009</v>
      </c>
      <c r="P230" s="123">
        <f t="shared" si="109"/>
        <v>9.5703600000000009</v>
      </c>
      <c r="Q230" s="123">
        <f t="shared" si="109"/>
        <v>9.5703600000000009</v>
      </c>
    </row>
    <row r="231" spans="1:17" x14ac:dyDescent="0.25">
      <c r="A231" s="53" t="s">
        <v>42</v>
      </c>
      <c r="C231" s="123">
        <f t="shared" si="108"/>
        <v>38.36</v>
      </c>
      <c r="D231" s="123">
        <f t="shared" si="108"/>
        <v>9.5703600000000009</v>
      </c>
      <c r="E231" s="123">
        <f>(E206*B172)+($E$209*$B$107)</f>
        <v>64.489999999999995</v>
      </c>
      <c r="G231" s="123">
        <f>SUMPRODUCT($B$103:$B$126,G$205:G$228)</f>
        <v>37.08</v>
      </c>
      <c r="I231" s="123">
        <f t="shared" si="109"/>
        <v>9.5703600000000009</v>
      </c>
      <c r="J231" s="123">
        <f t="shared" si="109"/>
        <v>9.5703600000000009</v>
      </c>
      <c r="K231" s="123">
        <f t="shared" si="109"/>
        <v>9.5703600000000009</v>
      </c>
      <c r="L231" s="123">
        <f t="shared" si="109"/>
        <v>9.5703600000000009</v>
      </c>
      <c r="M231" s="123">
        <f t="shared" si="109"/>
        <v>9.5703600000000009</v>
      </c>
      <c r="N231" s="123">
        <f t="shared" si="109"/>
        <v>9.5703600000000009</v>
      </c>
      <c r="O231" s="123">
        <f t="shared" si="109"/>
        <v>9.5703600000000009</v>
      </c>
      <c r="P231" s="123">
        <f t="shared" si="109"/>
        <v>9.5703600000000009</v>
      </c>
      <c r="Q231" s="123">
        <f t="shared" si="109"/>
        <v>9.5703600000000009</v>
      </c>
    </row>
    <row r="232" spans="1:17" x14ac:dyDescent="0.25">
      <c r="A232" s="53" t="s">
        <v>38</v>
      </c>
      <c r="C232" s="123">
        <f t="shared" si="108"/>
        <v>38.36</v>
      </c>
      <c r="D232" s="123">
        <f t="shared" si="108"/>
        <v>9.5703600000000009</v>
      </c>
      <c r="E232" s="123">
        <f>(E207*B173)+($E$209*$B$107)</f>
        <v>46.26</v>
      </c>
      <c r="G232" s="123">
        <f>SUMPRODUCT($B$103:$B$126,G$205:G$228)</f>
        <v>37.08</v>
      </c>
      <c r="I232" s="123">
        <f t="shared" si="109"/>
        <v>9.5703600000000009</v>
      </c>
      <c r="J232" s="123">
        <f t="shared" si="109"/>
        <v>9.5703600000000009</v>
      </c>
      <c r="K232" s="123">
        <f t="shared" si="109"/>
        <v>9.5703600000000009</v>
      </c>
      <c r="L232" s="123">
        <f t="shared" si="109"/>
        <v>9.5703600000000009</v>
      </c>
      <c r="M232" s="123">
        <f t="shared" si="109"/>
        <v>9.5703600000000009</v>
      </c>
      <c r="N232" s="123">
        <f t="shared" si="109"/>
        <v>9.5703600000000009</v>
      </c>
      <c r="O232" s="123">
        <f t="shared" si="109"/>
        <v>9.5703600000000009</v>
      </c>
      <c r="P232" s="123">
        <f t="shared" si="109"/>
        <v>9.5703600000000009</v>
      </c>
      <c r="Q232" s="123">
        <f t="shared" si="109"/>
        <v>9.5703600000000009</v>
      </c>
    </row>
    <row r="233" spans="1:17" x14ac:dyDescent="0.25">
      <c r="A233" s="53" t="s">
        <v>43</v>
      </c>
      <c r="C233" s="123">
        <f t="shared" si="108"/>
        <v>38.36</v>
      </c>
      <c r="D233" s="123">
        <f t="shared" si="108"/>
        <v>9.5703600000000009</v>
      </c>
      <c r="E233" s="123">
        <f>(E208*B174)+($E$209*$B$107)</f>
        <v>62.209999999999994</v>
      </c>
      <c r="G233" s="123">
        <f>SUMPRODUCT($B$103:$B$126,G$205:G$228)</f>
        <v>37.08</v>
      </c>
      <c r="I233" s="123">
        <f t="shared" si="109"/>
        <v>9.5703600000000009</v>
      </c>
      <c r="J233" s="123">
        <f t="shared" si="109"/>
        <v>9.5703600000000009</v>
      </c>
      <c r="K233" s="123">
        <f t="shared" si="109"/>
        <v>9.5703600000000009</v>
      </c>
      <c r="L233" s="123">
        <f t="shared" si="109"/>
        <v>9.5703600000000009</v>
      </c>
      <c r="M233" s="123">
        <f t="shared" si="109"/>
        <v>9.5703600000000009</v>
      </c>
      <c r="N233" s="123">
        <f t="shared" si="109"/>
        <v>9.5703600000000009</v>
      </c>
      <c r="O233" s="123">
        <f t="shared" si="109"/>
        <v>9.5703600000000009</v>
      </c>
      <c r="P233" s="123">
        <f t="shared" si="109"/>
        <v>9.5703600000000009</v>
      </c>
      <c r="Q233" s="123">
        <f t="shared" si="109"/>
        <v>9.5703600000000009</v>
      </c>
    </row>
    <row r="234" spans="1:17" x14ac:dyDescent="0.25">
      <c r="F234" s="25"/>
    </row>
  </sheetData>
  <mergeCells count="3">
    <mergeCell ref="G2:H2"/>
    <mergeCell ref="A3:C3"/>
    <mergeCell ref="A2:C2"/>
  </mergeCells>
  <phoneticPr fontId="0" type="noConversion"/>
  <pageMargins left="0.55118110236220474" right="0.23622047244094491" top="0.27559055118110237" bottom="0.31496062992125984" header="0" footer="0"/>
  <pageSetup scale="73" orientation="landscape" horizontalDpi="180" verticalDpi="18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zoomScaleNormal="100" workbookViewId="0">
      <pane xSplit="3" topLeftCell="D1" activePane="topRight" state="frozen"/>
      <selection pane="topRight" activeCell="D1" sqref="D1"/>
    </sheetView>
  </sheetViews>
  <sheetFormatPr baseColWidth="10" defaultColWidth="11.44140625" defaultRowHeight="13.2" x14ac:dyDescent="0.25"/>
  <cols>
    <col min="1" max="1" width="31" style="25" customWidth="1"/>
    <col min="2" max="2" width="6.5546875" style="25" customWidth="1"/>
    <col min="3" max="3" width="8.88671875" style="25" customWidth="1"/>
    <col min="4" max="6" width="9.5546875" style="25" customWidth="1"/>
    <col min="7" max="7" width="2.33203125" style="64" customWidth="1"/>
    <col min="8" max="8" width="12" style="25" customWidth="1"/>
    <col min="9" max="9" width="9.88671875" style="25" customWidth="1"/>
    <col min="10" max="10" width="9.5546875" style="25" customWidth="1"/>
    <col min="11" max="16384" width="11.44140625" style="25"/>
  </cols>
  <sheetData>
    <row r="1" spans="1:10" ht="71.25" customHeight="1" thickBot="1" x14ac:dyDescent="0.4">
      <c r="A1" s="75"/>
      <c r="B1" s="76"/>
      <c r="C1" s="76"/>
    </row>
    <row r="2" spans="1:10" ht="18.600000000000001" x14ac:dyDescent="0.4">
      <c r="A2" s="223" t="s">
        <v>191</v>
      </c>
      <c r="B2" s="224"/>
      <c r="C2" s="225"/>
      <c r="D2" s="78" t="s">
        <v>182</v>
      </c>
      <c r="E2" s="78" t="s">
        <v>183</v>
      </c>
      <c r="F2" s="78" t="s">
        <v>184</v>
      </c>
      <c r="G2" s="79"/>
      <c r="H2" s="210" t="s">
        <v>165</v>
      </c>
      <c r="I2" s="211"/>
      <c r="J2" s="78" t="s">
        <v>182</v>
      </c>
    </row>
    <row r="3" spans="1:10" s="84" customFormat="1" ht="45" customHeight="1" x14ac:dyDescent="0.25">
      <c r="A3" s="220" t="s">
        <v>266</v>
      </c>
      <c r="B3" s="221"/>
      <c r="C3" s="222"/>
      <c r="D3" s="113" t="s">
        <v>185</v>
      </c>
      <c r="E3" s="113" t="s">
        <v>185</v>
      </c>
      <c r="F3" s="113" t="s">
        <v>185</v>
      </c>
      <c r="G3" s="81"/>
      <c r="H3" s="82"/>
      <c r="I3" s="83"/>
      <c r="J3" s="113" t="s">
        <v>185</v>
      </c>
    </row>
    <row r="4" spans="1:10" s="85" customFormat="1" ht="13.8" thickBot="1" x14ac:dyDescent="0.3">
      <c r="A4" s="85" t="s">
        <v>166</v>
      </c>
      <c r="C4" s="86"/>
      <c r="D4" s="87" t="str">
        <f>IF(D8=1,"INCOLORO","COLOR")</f>
        <v>INCOLORO</v>
      </c>
      <c r="E4" s="87" t="str">
        <f>IF(E8=1,"INCOLORO","COLOR")</f>
        <v>INCOLORO</v>
      </c>
      <c r="F4" s="87" t="str">
        <f>IF(F8=1,"INCOLORO","COLOR")</f>
        <v>INCOLORO</v>
      </c>
      <c r="G4" s="88"/>
      <c r="H4" s="89"/>
      <c r="I4" s="90"/>
      <c r="J4" s="87" t="str">
        <f>IF(J8=1,"INCOLORO","COLOR")</f>
        <v>COLOR</v>
      </c>
    </row>
    <row r="5" spans="1:10" ht="15.6" x14ac:dyDescent="0.3">
      <c r="A5" s="91" t="s">
        <v>167</v>
      </c>
      <c r="B5" s="92"/>
      <c r="C5" s="107"/>
      <c r="D5" s="28">
        <v>1</v>
      </c>
      <c r="E5" s="108">
        <v>1</v>
      </c>
      <c r="F5" s="108">
        <v>1.2</v>
      </c>
      <c r="G5" s="94"/>
      <c r="H5" s="95"/>
      <c r="I5" s="96"/>
      <c r="J5" s="28">
        <v>1.01</v>
      </c>
    </row>
    <row r="6" spans="1:10" ht="15.6" x14ac:dyDescent="0.3">
      <c r="A6" s="97" t="s">
        <v>168</v>
      </c>
      <c r="B6" s="98"/>
      <c r="C6" s="109"/>
      <c r="D6" s="28">
        <v>1</v>
      </c>
      <c r="E6" s="108">
        <v>1</v>
      </c>
      <c r="F6" s="108">
        <v>2</v>
      </c>
      <c r="G6" s="94"/>
      <c r="H6" s="95"/>
      <c r="I6" s="96"/>
      <c r="J6" s="28">
        <v>2.1</v>
      </c>
    </row>
    <row r="7" spans="1:10" ht="15.6" x14ac:dyDescent="0.3">
      <c r="A7" s="97" t="s">
        <v>169</v>
      </c>
      <c r="B7" s="98"/>
      <c r="C7" s="109"/>
      <c r="D7" s="28">
        <v>1</v>
      </c>
      <c r="E7" s="28">
        <v>1</v>
      </c>
      <c r="F7" s="28">
        <v>1</v>
      </c>
      <c r="G7" s="94"/>
      <c r="H7" s="23">
        <f>SUM(J7:IV7)</f>
        <v>1</v>
      </c>
      <c r="I7" s="24" t="s">
        <v>187</v>
      </c>
      <c r="J7" s="28">
        <v>1</v>
      </c>
    </row>
    <row r="8" spans="1:10" ht="15.6" x14ac:dyDescent="0.3">
      <c r="A8" s="100" t="s">
        <v>186</v>
      </c>
      <c r="B8" s="98"/>
      <c r="C8" s="109"/>
      <c r="D8" s="28">
        <v>1</v>
      </c>
      <c r="E8" s="28">
        <v>1</v>
      </c>
      <c r="F8" s="28">
        <v>1</v>
      </c>
      <c r="G8" s="94"/>
      <c r="H8" s="23"/>
      <c r="I8" s="24"/>
      <c r="J8" s="28">
        <v>2</v>
      </c>
    </row>
    <row r="9" spans="1:10" ht="16.2" thickBot="1" x14ac:dyDescent="0.35">
      <c r="A9" s="101" t="s">
        <v>188</v>
      </c>
      <c r="B9" s="102"/>
      <c r="C9" s="110"/>
      <c r="D9" s="28">
        <v>1</v>
      </c>
      <c r="E9" s="28">
        <v>1</v>
      </c>
      <c r="F9" s="28">
        <v>2</v>
      </c>
      <c r="G9" s="94"/>
      <c r="H9" s="23"/>
      <c r="I9" s="24"/>
      <c r="J9" s="28">
        <v>1</v>
      </c>
    </row>
    <row r="10" spans="1:10" ht="15.6" x14ac:dyDescent="0.3">
      <c r="A10" s="105" t="s">
        <v>170</v>
      </c>
      <c r="B10" s="41"/>
      <c r="C10" s="114"/>
      <c r="D10" s="21">
        <f>+D44</f>
        <v>194.61</v>
      </c>
      <c r="E10" s="21">
        <f>+E44</f>
        <v>341.41674000000006</v>
      </c>
      <c r="F10" s="21">
        <f>+F44</f>
        <v>257.60787999999997</v>
      </c>
      <c r="G10" s="22"/>
      <c r="H10" s="23">
        <f>SUM(J10:IV10)</f>
        <v>282.85328999999996</v>
      </c>
      <c r="I10" s="24" t="s">
        <v>171</v>
      </c>
      <c r="J10" s="21">
        <f>+J44</f>
        <v>282.85328999999996</v>
      </c>
    </row>
    <row r="11" spans="1:10" ht="15.6" x14ac:dyDescent="0.3">
      <c r="A11" s="26" t="s">
        <v>172</v>
      </c>
      <c r="B11" s="20"/>
      <c r="C11" s="27"/>
      <c r="D11" s="28">
        <f>+D5*D6*D$7</f>
        <v>1</v>
      </c>
      <c r="E11" s="108">
        <f>+E5*E6*E$7</f>
        <v>1</v>
      </c>
      <c r="F11" s="108">
        <f>+F5*F6*F$7</f>
        <v>2.4</v>
      </c>
      <c r="G11" s="29"/>
      <c r="H11" s="23">
        <f>SUM(J11:IV11)</f>
        <v>2.121</v>
      </c>
      <c r="I11" s="24" t="s">
        <v>36</v>
      </c>
      <c r="J11" s="28">
        <f>+J5*J6*J$7</f>
        <v>2.121</v>
      </c>
    </row>
    <row r="12" spans="1:10" ht="15.6" x14ac:dyDescent="0.3">
      <c r="A12" s="26" t="s">
        <v>173</v>
      </c>
      <c r="B12" s="20"/>
      <c r="C12" s="27"/>
      <c r="D12" s="21">
        <f>+D10/D11</f>
        <v>194.61</v>
      </c>
      <c r="E12" s="111">
        <f>+E10/E11</f>
        <v>341.41674000000006</v>
      </c>
      <c r="F12" s="111">
        <f>+F10/F11</f>
        <v>107.33661666666666</v>
      </c>
      <c r="G12" s="22"/>
      <c r="H12" s="23">
        <f>+H10/H11</f>
        <v>133.35845827439886</v>
      </c>
      <c r="I12" s="24" t="s">
        <v>174</v>
      </c>
      <c r="J12" s="21">
        <f>+J10/J11</f>
        <v>133.35845827439886</v>
      </c>
    </row>
    <row r="13" spans="1:10" ht="15.6" x14ac:dyDescent="0.3">
      <c r="A13" s="26" t="s">
        <v>175</v>
      </c>
      <c r="B13" s="20"/>
      <c r="C13" s="27"/>
      <c r="D13" s="21">
        <f>+D69</f>
        <v>181.77</v>
      </c>
      <c r="E13" s="21">
        <f>+E69</f>
        <v>320.24225999999999</v>
      </c>
      <c r="F13" s="21">
        <f>+F69</f>
        <v>235.19491999999997</v>
      </c>
      <c r="G13" s="22"/>
      <c r="H13" s="23">
        <f>SUM(J13:IV13)</f>
        <v>263.7573999999999</v>
      </c>
      <c r="I13" s="24" t="s">
        <v>171</v>
      </c>
      <c r="J13" s="21">
        <f>+J69</f>
        <v>263.7573999999999</v>
      </c>
    </row>
    <row r="14" spans="1:10" ht="15.6" x14ac:dyDescent="0.3">
      <c r="A14" s="26" t="s">
        <v>176</v>
      </c>
      <c r="B14" s="20"/>
      <c r="C14" s="27"/>
      <c r="D14" s="21">
        <f>+D13/D11</f>
        <v>181.77</v>
      </c>
      <c r="E14" s="111">
        <f>+E13/E11</f>
        <v>320.24225999999999</v>
      </c>
      <c r="F14" s="111">
        <f>+F13/F11</f>
        <v>97.99788333333332</v>
      </c>
      <c r="G14" s="22"/>
      <c r="H14" s="23">
        <f>+H13/H11</f>
        <v>124.35520980669492</v>
      </c>
      <c r="I14" s="24" t="s">
        <v>174</v>
      </c>
      <c r="J14" s="21">
        <f>+J13/J11</f>
        <v>124.35520980669492</v>
      </c>
    </row>
    <row r="15" spans="1:10" ht="15.6" x14ac:dyDescent="0.3">
      <c r="A15" s="26" t="s">
        <v>177</v>
      </c>
      <c r="B15" s="20"/>
      <c r="C15" s="27"/>
      <c r="D15" s="21"/>
      <c r="E15" s="111"/>
      <c r="F15" s="111"/>
      <c r="G15" s="22"/>
      <c r="H15" s="23"/>
      <c r="I15" s="24"/>
      <c r="J15" s="21"/>
    </row>
    <row r="16" spans="1:10" ht="15.6" x14ac:dyDescent="0.3">
      <c r="A16" s="30" t="s">
        <v>178</v>
      </c>
      <c r="B16" s="31"/>
      <c r="C16" s="32"/>
      <c r="D16" s="33">
        <f>+(D10-D13)/D10</f>
        <v>6.5978110066286427E-2</v>
      </c>
      <c r="E16" s="112">
        <f>+(E10-E13)/E10</f>
        <v>6.2019454582104172E-2</v>
      </c>
      <c r="F16" s="112">
        <f>+(F10-F13)/F10</f>
        <v>8.7004170835146818E-2</v>
      </c>
      <c r="G16" s="34"/>
      <c r="H16" s="35">
        <f>+(H10-H13)/H10</f>
        <v>6.7511641812616208E-2</v>
      </c>
      <c r="I16" s="36"/>
      <c r="J16" s="33">
        <f>+(J10-J13)/J10</f>
        <v>6.7511641812616208E-2</v>
      </c>
    </row>
    <row r="17" spans="1:10" ht="15.6" x14ac:dyDescent="0.3">
      <c r="A17" s="37"/>
      <c r="B17" s="31"/>
      <c r="C17" s="38"/>
      <c r="D17" s="39"/>
      <c r="E17" s="39"/>
      <c r="F17" s="39"/>
      <c r="G17" s="40"/>
      <c r="H17" s="39"/>
      <c r="I17" s="39"/>
      <c r="J17" s="39"/>
    </row>
    <row r="18" spans="1:10" x14ac:dyDescent="0.25">
      <c r="A18" s="41" t="s">
        <v>179</v>
      </c>
      <c r="B18" s="42"/>
      <c r="C18" s="43"/>
      <c r="D18" s="44"/>
      <c r="E18" s="44"/>
      <c r="F18" s="44"/>
      <c r="G18" s="45"/>
      <c r="H18" s="42"/>
      <c r="I18" s="42"/>
      <c r="J18" s="44"/>
    </row>
    <row r="19" spans="1:10" x14ac:dyDescent="0.25">
      <c r="A19" s="46" t="s">
        <v>180</v>
      </c>
      <c r="B19" s="47"/>
      <c r="C19" s="48" t="s">
        <v>2</v>
      </c>
      <c r="D19" s="49" t="s">
        <v>182</v>
      </c>
      <c r="E19" s="49" t="s">
        <v>183</v>
      </c>
      <c r="F19" s="49" t="s">
        <v>184</v>
      </c>
      <c r="G19" s="50"/>
      <c r="H19" s="51" t="s">
        <v>181</v>
      </c>
      <c r="I19" s="52" t="s">
        <v>2</v>
      </c>
      <c r="J19" s="49" t="s">
        <v>182</v>
      </c>
    </row>
    <row r="20" spans="1:10" ht="15.6" x14ac:dyDescent="0.3">
      <c r="A20" s="53" t="s">
        <v>35</v>
      </c>
      <c r="B20" s="54"/>
      <c r="C20" s="55" t="s">
        <v>36</v>
      </c>
      <c r="D20" s="56">
        <f>IF(D8=1,D$5*D$6*D$7,0)</f>
        <v>1</v>
      </c>
      <c r="E20" s="56">
        <f>IF(E8=1,E$5*E$6*E$7,0)</f>
        <v>1</v>
      </c>
      <c r="F20" s="56">
        <f>IF(F8=1,F$5*F$6*F$7,0)</f>
        <v>2.4</v>
      </c>
      <c r="G20" s="57"/>
      <c r="H20" s="58">
        <f>ROUNDUP(SUM(J20:IV20),1)</f>
        <v>0</v>
      </c>
      <c r="I20" s="59" t="s">
        <v>36</v>
      </c>
      <c r="J20" s="56">
        <f>IF(J8=1,J$5*J$6*J$7,0)</f>
        <v>0</v>
      </c>
    </row>
    <row r="21" spans="1:10" ht="15.6" x14ac:dyDescent="0.3">
      <c r="A21" s="53" t="s">
        <v>42</v>
      </c>
      <c r="B21" s="54"/>
      <c r="C21" s="55" t="s">
        <v>36</v>
      </c>
      <c r="D21" s="56">
        <f>IF(D8=2,D$5*D$6*D$7,0)</f>
        <v>0</v>
      </c>
      <c r="E21" s="56">
        <f>IF(E8=2,E$5*E$6*E$7,0)</f>
        <v>0</v>
      </c>
      <c r="F21" s="56">
        <f>IF(F8=2,F$5*F$6*F$7,0)</f>
        <v>0</v>
      </c>
      <c r="G21" s="57"/>
      <c r="H21" s="58">
        <f>ROUNDUP(SUM(J21:IV21),1)</f>
        <v>2.2000000000000002</v>
      </c>
      <c r="I21" s="59" t="s">
        <v>36</v>
      </c>
      <c r="J21" s="56">
        <f>IF(J8=2,J$5*J$6*J$7,0)</f>
        <v>2.121</v>
      </c>
    </row>
    <row r="22" spans="1:10" ht="15.6" x14ac:dyDescent="0.3">
      <c r="A22" s="53" t="s">
        <v>189</v>
      </c>
      <c r="B22" s="54"/>
      <c r="C22" s="55" t="s">
        <v>36</v>
      </c>
      <c r="D22" s="56">
        <f>+D11</f>
        <v>1</v>
      </c>
      <c r="E22" s="56">
        <f>+E11</f>
        <v>1</v>
      </c>
      <c r="F22" s="56">
        <f>+F11</f>
        <v>2.4</v>
      </c>
      <c r="G22" s="57"/>
      <c r="H22" s="58">
        <f>ROUNDUP(SUM(J22:IV22),1)</f>
        <v>2.2000000000000002</v>
      </c>
      <c r="I22" s="59" t="s">
        <v>36</v>
      </c>
      <c r="J22" s="56">
        <f>+J11</f>
        <v>2.121</v>
      </c>
    </row>
    <row r="23" spans="1:10" ht="15.6" x14ac:dyDescent="0.3">
      <c r="A23" s="53" t="s">
        <v>197</v>
      </c>
      <c r="B23" s="54"/>
      <c r="C23" s="55" t="s">
        <v>13</v>
      </c>
      <c r="D23" s="56"/>
      <c r="E23" s="56"/>
      <c r="F23" s="56">
        <f>((2*F$6+F$5)/6)*F$7</f>
        <v>0.8666666666666667</v>
      </c>
      <c r="G23" s="57"/>
      <c r="H23" s="58">
        <f>ROUNDUP(SUM(J23:IV23),1)</f>
        <v>0</v>
      </c>
      <c r="I23" s="59" t="s">
        <v>13</v>
      </c>
      <c r="J23" s="56"/>
    </row>
    <row r="24" spans="1:10" ht="15.6" x14ac:dyDescent="0.3">
      <c r="A24" s="53" t="s">
        <v>16</v>
      </c>
      <c r="B24" s="54"/>
      <c r="C24" s="55" t="s">
        <v>17</v>
      </c>
      <c r="D24" s="56"/>
      <c r="E24" s="56"/>
      <c r="F24" s="56">
        <f>2*(2*F$6+F$5)*F$7/20</f>
        <v>0.52</v>
      </c>
      <c r="G24" s="57"/>
      <c r="H24" s="58">
        <f>ROUNDUP(SUM(J24:IV24),1)</f>
        <v>0</v>
      </c>
      <c r="I24" s="59" t="s">
        <v>17</v>
      </c>
      <c r="J24" s="56"/>
    </row>
    <row r="25" spans="1:10" ht="15.6" x14ac:dyDescent="0.3">
      <c r="A25" s="53" t="s">
        <v>331</v>
      </c>
      <c r="B25" s="54">
        <v>0.2</v>
      </c>
      <c r="C25" s="55" t="s">
        <v>193</v>
      </c>
      <c r="D25" s="56"/>
      <c r="E25" s="56"/>
      <c r="F25" s="56">
        <f>(2*F$6+F$5)*$B25*F$7</f>
        <v>1.04</v>
      </c>
      <c r="G25" s="57"/>
      <c r="H25" s="58">
        <f>ROUNDUP(SUM(J25:IV25)/(B25*6),1)</f>
        <v>0</v>
      </c>
      <c r="I25" s="59" t="s">
        <v>196</v>
      </c>
      <c r="J25" s="56"/>
    </row>
    <row r="26" spans="1:10" ht="15.6" x14ac:dyDescent="0.3">
      <c r="A26" s="53" t="s">
        <v>27</v>
      </c>
      <c r="B26" s="54"/>
      <c r="C26" s="55" t="s">
        <v>20</v>
      </c>
      <c r="D26" s="56"/>
      <c r="E26" s="56">
        <f>+E$6*E$7</f>
        <v>1</v>
      </c>
      <c r="F26" s="56">
        <f>+F$6*F$7</f>
        <v>2</v>
      </c>
      <c r="G26" s="57"/>
      <c r="H26" s="58">
        <f t="shared" ref="H26:H41" si="0">ROUNDUP(SUM(J26:IV26),1)</f>
        <v>0</v>
      </c>
      <c r="I26" s="59" t="s">
        <v>20</v>
      </c>
      <c r="J26" s="56"/>
    </row>
    <row r="27" spans="1:10" ht="15.6" x14ac:dyDescent="0.3">
      <c r="A27" s="53" t="s">
        <v>31</v>
      </c>
      <c r="B27" s="54"/>
      <c r="C27" s="55" t="s">
        <v>29</v>
      </c>
      <c r="D27" s="56"/>
      <c r="E27" s="56"/>
      <c r="F27" s="56">
        <f>F$7*((2*F$6+F$5)/0.4)</f>
        <v>13</v>
      </c>
      <c r="G27" s="57"/>
      <c r="H27" s="58">
        <f t="shared" si="0"/>
        <v>0</v>
      </c>
      <c r="I27" s="59" t="s">
        <v>29</v>
      </c>
      <c r="J27" s="56"/>
    </row>
    <row r="28" spans="1:10" ht="15.6" x14ac:dyDescent="0.3">
      <c r="A28" s="53" t="s">
        <v>32</v>
      </c>
      <c r="B28" s="54"/>
      <c r="C28" s="55" t="s">
        <v>29</v>
      </c>
      <c r="D28" s="56"/>
      <c r="E28" s="56"/>
      <c r="F28" s="56">
        <f>F$7*((2*F$6+F$5)/0.4)</f>
        <v>13</v>
      </c>
      <c r="G28" s="57"/>
      <c r="H28" s="58">
        <f t="shared" si="0"/>
        <v>0</v>
      </c>
      <c r="I28" s="59" t="s">
        <v>29</v>
      </c>
      <c r="J28" s="56"/>
    </row>
    <row r="29" spans="1:10" ht="15.6" x14ac:dyDescent="0.3">
      <c r="A29" s="53" t="s">
        <v>275</v>
      </c>
      <c r="B29" s="54">
        <v>0.25700000000000001</v>
      </c>
      <c r="C29" s="55" t="s">
        <v>193</v>
      </c>
      <c r="D29" s="56"/>
      <c r="E29" s="56">
        <f>(E$6)*$B29*E$7</f>
        <v>0.25700000000000001</v>
      </c>
      <c r="F29" s="56">
        <f>(F$6)*$B29*F$7</f>
        <v>0.51400000000000001</v>
      </c>
      <c r="G29" s="57"/>
      <c r="H29" s="58">
        <f t="shared" si="0"/>
        <v>0</v>
      </c>
      <c r="I29" s="59" t="s">
        <v>50</v>
      </c>
      <c r="J29" s="56"/>
    </row>
    <row r="30" spans="1:10" ht="15.6" x14ac:dyDescent="0.3">
      <c r="A30" s="53" t="s">
        <v>58</v>
      </c>
      <c r="B30" s="54"/>
      <c r="C30" s="55" t="s">
        <v>29</v>
      </c>
      <c r="D30" s="56">
        <f>IF(D$9=1,D$7,0)</f>
        <v>1</v>
      </c>
      <c r="E30" s="56">
        <f>IF(E$9=1,2*E$7,0)</f>
        <v>2</v>
      </c>
      <c r="F30" s="56">
        <f>IF(F$9=1,2*F$7,0)</f>
        <v>0</v>
      </c>
      <c r="G30" s="57"/>
      <c r="H30" s="58">
        <f t="shared" si="0"/>
        <v>1</v>
      </c>
      <c r="I30" s="59" t="s">
        <v>29</v>
      </c>
      <c r="J30" s="56">
        <f>IF(J$9=1,J$7,0)</f>
        <v>1</v>
      </c>
    </row>
    <row r="31" spans="1:10" ht="15.6" x14ac:dyDescent="0.3">
      <c r="A31" s="53" t="s">
        <v>60</v>
      </c>
      <c r="B31" s="54"/>
      <c r="C31" s="55" t="s">
        <v>29</v>
      </c>
      <c r="D31" s="56">
        <f>2*D$7</f>
        <v>2</v>
      </c>
      <c r="E31" s="56">
        <f>4*E$7</f>
        <v>4</v>
      </c>
      <c r="F31" s="56">
        <f>4*F$7</f>
        <v>4</v>
      </c>
      <c r="G31" s="57"/>
      <c r="H31" s="58">
        <f t="shared" si="0"/>
        <v>2</v>
      </c>
      <c r="I31" s="59" t="s">
        <v>29</v>
      </c>
      <c r="J31" s="56">
        <f>2*J$7</f>
        <v>2</v>
      </c>
    </row>
    <row r="32" spans="1:10" ht="15.6" x14ac:dyDescent="0.3">
      <c r="A32" s="53">
        <v>1335</v>
      </c>
      <c r="B32" s="54"/>
      <c r="C32" s="55" t="s">
        <v>29</v>
      </c>
      <c r="D32" s="56"/>
      <c r="E32" s="56">
        <f t="shared" ref="E32:F34" si="1">E$7*2</f>
        <v>2</v>
      </c>
      <c r="F32" s="56">
        <f t="shared" si="1"/>
        <v>2</v>
      </c>
      <c r="G32" s="57"/>
      <c r="H32" s="58">
        <f t="shared" si="0"/>
        <v>0</v>
      </c>
      <c r="I32" s="59" t="s">
        <v>29</v>
      </c>
      <c r="J32" s="56"/>
    </row>
    <row r="33" spans="1:10" ht="15.6" x14ac:dyDescent="0.3">
      <c r="A33" s="53">
        <v>1103</v>
      </c>
      <c r="B33" s="54"/>
      <c r="C33" s="61" t="s">
        <v>29</v>
      </c>
      <c r="D33" s="56">
        <f>D$7</f>
        <v>1</v>
      </c>
      <c r="E33" s="56">
        <f t="shared" si="1"/>
        <v>2</v>
      </c>
      <c r="F33" s="56">
        <f t="shared" si="1"/>
        <v>2</v>
      </c>
      <c r="G33" s="57"/>
      <c r="H33" s="58">
        <f t="shared" si="0"/>
        <v>1</v>
      </c>
      <c r="I33" s="7" t="s">
        <v>29</v>
      </c>
      <c r="J33" s="56">
        <f>J$7</f>
        <v>1</v>
      </c>
    </row>
    <row r="34" spans="1:10" ht="15.6" x14ac:dyDescent="0.3">
      <c r="A34" s="60">
        <v>1101</v>
      </c>
      <c r="B34" s="54"/>
      <c r="C34" s="61" t="s">
        <v>29</v>
      </c>
      <c r="D34" s="56">
        <f>D$7</f>
        <v>1</v>
      </c>
      <c r="E34" s="56">
        <f t="shared" si="1"/>
        <v>2</v>
      </c>
      <c r="F34" s="56">
        <f t="shared" si="1"/>
        <v>2</v>
      </c>
      <c r="G34" s="57"/>
      <c r="H34" s="58">
        <f t="shared" si="0"/>
        <v>1</v>
      </c>
      <c r="I34" s="7" t="s">
        <v>29</v>
      </c>
      <c r="J34" s="56">
        <f>J$7</f>
        <v>1</v>
      </c>
    </row>
    <row r="35" spans="1:10" ht="15.6" x14ac:dyDescent="0.3">
      <c r="A35" s="60">
        <v>1636</v>
      </c>
      <c r="B35" s="54"/>
      <c r="C35" s="61" t="s">
        <v>29</v>
      </c>
      <c r="D35" s="56">
        <f>D$7*2</f>
        <v>2</v>
      </c>
      <c r="E35" s="56">
        <f>E$7*4</f>
        <v>4</v>
      </c>
      <c r="F35" s="56">
        <f>F$7*4</f>
        <v>4</v>
      </c>
      <c r="G35" s="57"/>
      <c r="H35" s="58">
        <f t="shared" si="0"/>
        <v>2</v>
      </c>
      <c r="I35" s="7" t="s">
        <v>29</v>
      </c>
      <c r="J35" s="56">
        <f>J$7*2</f>
        <v>2</v>
      </c>
    </row>
    <row r="36" spans="1:10" ht="15.6" x14ac:dyDescent="0.3">
      <c r="A36" s="53">
        <v>1520</v>
      </c>
      <c r="B36" s="6"/>
      <c r="C36" s="61" t="s">
        <v>29</v>
      </c>
      <c r="D36" s="56">
        <f>D$7</f>
        <v>1</v>
      </c>
      <c r="E36" s="56">
        <f>E$7</f>
        <v>1</v>
      </c>
      <c r="F36" s="56">
        <f>F$7</f>
        <v>1</v>
      </c>
      <c r="G36" s="57"/>
      <c r="H36" s="58">
        <f t="shared" si="0"/>
        <v>1</v>
      </c>
      <c r="I36" s="7" t="s">
        <v>29</v>
      </c>
      <c r="J36" s="56">
        <f>J$7</f>
        <v>1</v>
      </c>
    </row>
    <row r="37" spans="1:10" ht="15.6" x14ac:dyDescent="0.3">
      <c r="A37" s="53">
        <v>1531</v>
      </c>
      <c r="B37" s="54"/>
      <c r="C37" s="55" t="s">
        <v>29</v>
      </c>
      <c r="D37" s="56"/>
      <c r="E37" s="56">
        <f>E$7</f>
        <v>1</v>
      </c>
      <c r="F37" s="56">
        <f>F$7</f>
        <v>1</v>
      </c>
      <c r="G37" s="57"/>
      <c r="H37" s="58">
        <f t="shared" si="0"/>
        <v>0</v>
      </c>
      <c r="I37" s="59" t="s">
        <v>29</v>
      </c>
      <c r="J37" s="56"/>
    </row>
    <row r="38" spans="1:10" ht="15.6" x14ac:dyDescent="0.3">
      <c r="A38" s="53">
        <v>1038</v>
      </c>
      <c r="B38" s="54"/>
      <c r="C38" s="55" t="s">
        <v>29</v>
      </c>
      <c r="D38" s="56"/>
      <c r="E38" s="56">
        <f>E$7*4</f>
        <v>4</v>
      </c>
      <c r="F38" s="56">
        <f>F$7*4</f>
        <v>4</v>
      </c>
      <c r="G38" s="57"/>
      <c r="H38" s="58">
        <f t="shared" si="0"/>
        <v>0</v>
      </c>
      <c r="I38" s="59" t="s">
        <v>29</v>
      </c>
      <c r="J38" s="56"/>
    </row>
    <row r="39" spans="1:10" ht="15.6" x14ac:dyDescent="0.3">
      <c r="A39" s="53">
        <v>1013</v>
      </c>
      <c r="B39" s="54"/>
      <c r="C39" s="55" t="s">
        <v>29</v>
      </c>
      <c r="D39" s="56">
        <f>D$7</f>
        <v>1</v>
      </c>
      <c r="E39" s="56">
        <f>E$7*2</f>
        <v>2</v>
      </c>
      <c r="F39" s="56">
        <f>F$7*2</f>
        <v>2</v>
      </c>
      <c r="G39" s="57"/>
      <c r="H39" s="58">
        <f t="shared" si="0"/>
        <v>1</v>
      </c>
      <c r="I39" s="59" t="s">
        <v>29</v>
      </c>
      <c r="J39" s="56">
        <f>J$7</f>
        <v>1</v>
      </c>
    </row>
    <row r="40" spans="1:10" s="62" customFormat="1" ht="15.6" x14ac:dyDescent="0.3">
      <c r="A40" s="53">
        <v>1201</v>
      </c>
      <c r="B40" s="54"/>
      <c r="C40" s="55" t="s">
        <v>29</v>
      </c>
      <c r="D40" s="56">
        <f>+D$7</f>
        <v>1</v>
      </c>
      <c r="E40" s="56">
        <f>E$7*4</f>
        <v>4</v>
      </c>
      <c r="F40" s="56">
        <f>F$7*4</f>
        <v>4</v>
      </c>
      <c r="G40" s="57"/>
      <c r="H40" s="58">
        <f t="shared" si="0"/>
        <v>1</v>
      </c>
      <c r="I40" s="59" t="s">
        <v>29</v>
      </c>
      <c r="J40" s="56">
        <f>+J$7</f>
        <v>1</v>
      </c>
    </row>
    <row r="41" spans="1:10" ht="15.6" x14ac:dyDescent="0.3">
      <c r="A41" s="53" t="s">
        <v>190</v>
      </c>
      <c r="B41" s="54"/>
      <c r="C41" s="55" t="s">
        <v>29</v>
      </c>
      <c r="D41" s="56">
        <f>D$7</f>
        <v>1</v>
      </c>
      <c r="E41" s="56"/>
      <c r="F41" s="56"/>
      <c r="G41" s="57"/>
      <c r="H41" s="58">
        <f t="shared" si="0"/>
        <v>1</v>
      </c>
      <c r="I41" s="59" t="s">
        <v>29</v>
      </c>
      <c r="J41" s="56">
        <f>J$7</f>
        <v>1</v>
      </c>
    </row>
    <row r="42" spans="1:10" x14ac:dyDescent="0.25">
      <c r="C42" s="63"/>
      <c r="D42" s="63"/>
      <c r="E42" s="63"/>
      <c r="F42" s="63"/>
      <c r="J42" s="63"/>
    </row>
    <row r="43" spans="1:10" x14ac:dyDescent="0.25">
      <c r="C43" s="65"/>
      <c r="D43" s="65"/>
      <c r="E43" s="65"/>
      <c r="F43" s="65"/>
      <c r="J43" s="65"/>
    </row>
    <row r="44" spans="1:10" ht="15.6" x14ac:dyDescent="0.3">
      <c r="A44" s="66" t="s">
        <v>195</v>
      </c>
      <c r="B44" s="67"/>
      <c r="C44" s="68"/>
      <c r="D44" s="68">
        <f>SUM(D45:D66)</f>
        <v>194.61</v>
      </c>
      <c r="E44" s="68">
        <f>SUM(E45:E66)</f>
        <v>341.41674000000006</v>
      </c>
      <c r="F44" s="68">
        <f>SUM(F45:F66)</f>
        <v>257.60787999999997</v>
      </c>
      <c r="J44" s="68">
        <f>SUM(J45:J66)</f>
        <v>282.85328999999996</v>
      </c>
    </row>
    <row r="45" spans="1:10" x14ac:dyDescent="0.25">
      <c r="A45" s="53" t="s">
        <v>35</v>
      </c>
      <c r="B45" s="115"/>
      <c r="C45" s="69">
        <f>+'Costo M.P.yMat.'!C26</f>
        <v>36.46</v>
      </c>
      <c r="D45" s="56">
        <f t="shared" ref="D45:F66" si="2">+D20*$C45</f>
        <v>36.46</v>
      </c>
      <c r="E45" s="56">
        <f t="shared" si="2"/>
        <v>36.46</v>
      </c>
      <c r="F45" s="56">
        <f t="shared" si="2"/>
        <v>87.504000000000005</v>
      </c>
      <c r="J45" s="56">
        <f t="shared" ref="J45:J66" si="3">+J20*$C45</f>
        <v>0</v>
      </c>
    </row>
    <row r="46" spans="1:10" x14ac:dyDescent="0.25">
      <c r="A46" s="53" t="s">
        <v>42</v>
      </c>
      <c r="B46" s="115"/>
      <c r="C46" s="69">
        <f>+'Costo M.P.yMat.'!C31</f>
        <v>52.41</v>
      </c>
      <c r="D46" s="56">
        <f t="shared" si="2"/>
        <v>0</v>
      </c>
      <c r="E46" s="56">
        <f t="shared" si="2"/>
        <v>0</v>
      </c>
      <c r="F46" s="56">
        <f t="shared" si="2"/>
        <v>0</v>
      </c>
      <c r="J46" s="56">
        <f t="shared" si="3"/>
        <v>111.16161</v>
      </c>
    </row>
    <row r="47" spans="1:10" x14ac:dyDescent="0.25">
      <c r="A47" s="53" t="s">
        <v>189</v>
      </c>
      <c r="B47" s="115"/>
      <c r="C47" s="69">
        <f>+'Costo M.P.yMat.'!C84</f>
        <v>12.08</v>
      </c>
      <c r="D47" s="56">
        <f t="shared" si="2"/>
        <v>12.08</v>
      </c>
      <c r="E47" s="56">
        <f t="shared" si="2"/>
        <v>12.08</v>
      </c>
      <c r="F47" s="56">
        <f t="shared" si="2"/>
        <v>28.991999999999997</v>
      </c>
      <c r="J47" s="56">
        <f t="shared" si="3"/>
        <v>25.621680000000001</v>
      </c>
    </row>
    <row r="48" spans="1:10" x14ac:dyDescent="0.25">
      <c r="A48" s="53" t="s">
        <v>197</v>
      </c>
      <c r="B48" s="115"/>
      <c r="C48" s="69">
        <f>+'Costo M.P.yMat.'!C7</f>
        <v>2.76</v>
      </c>
      <c r="D48" s="56">
        <f t="shared" si="2"/>
        <v>0</v>
      </c>
      <c r="E48" s="56">
        <f t="shared" si="2"/>
        <v>0</v>
      </c>
      <c r="F48" s="56">
        <f t="shared" si="2"/>
        <v>2.3919999999999999</v>
      </c>
      <c r="J48" s="56">
        <f t="shared" si="3"/>
        <v>0</v>
      </c>
    </row>
    <row r="49" spans="1:10" x14ac:dyDescent="0.25">
      <c r="A49" s="53" t="s">
        <v>16</v>
      </c>
      <c r="B49" s="115"/>
      <c r="C49" s="69">
        <f>+'Costo M.P.yMat.'!C9</f>
        <v>0.75</v>
      </c>
      <c r="D49" s="56">
        <f t="shared" si="2"/>
        <v>0</v>
      </c>
      <c r="E49" s="56">
        <f t="shared" si="2"/>
        <v>0</v>
      </c>
      <c r="F49" s="56">
        <f t="shared" si="2"/>
        <v>0.39</v>
      </c>
      <c r="J49" s="56">
        <f t="shared" si="3"/>
        <v>0</v>
      </c>
    </row>
    <row r="50" spans="1:10" x14ac:dyDescent="0.25">
      <c r="A50" s="53" t="s">
        <v>331</v>
      </c>
      <c r="B50" s="54"/>
      <c r="C50" s="69">
        <f>+'Costo M.P.yMat.'!C10</f>
        <v>1.41</v>
      </c>
      <c r="D50" s="56">
        <f t="shared" si="2"/>
        <v>0</v>
      </c>
      <c r="E50" s="56">
        <f t="shared" si="2"/>
        <v>0</v>
      </c>
      <c r="F50" s="56">
        <f t="shared" si="2"/>
        <v>1.4663999999999999</v>
      </c>
      <c r="J50" s="56">
        <f t="shared" si="3"/>
        <v>0</v>
      </c>
    </row>
    <row r="51" spans="1:10" x14ac:dyDescent="0.25">
      <c r="A51" s="53" t="s">
        <v>27</v>
      </c>
      <c r="B51" s="115"/>
      <c r="C51" s="69">
        <f>+'Costo M.P.yMat.'!C17</f>
        <v>0.18000000000000002</v>
      </c>
      <c r="D51" s="56">
        <f t="shared" si="2"/>
        <v>0</v>
      </c>
      <c r="E51" s="56">
        <f t="shared" si="2"/>
        <v>0.18000000000000002</v>
      </c>
      <c r="F51" s="56">
        <f t="shared" si="2"/>
        <v>0.36000000000000004</v>
      </c>
      <c r="J51" s="56">
        <f t="shared" si="3"/>
        <v>0</v>
      </c>
    </row>
    <row r="52" spans="1:10" x14ac:dyDescent="0.25">
      <c r="A52" s="53" t="s">
        <v>31</v>
      </c>
      <c r="B52" s="115"/>
      <c r="C52" s="69">
        <f>+'Costo M.P.yMat.'!C19</f>
        <v>0.04</v>
      </c>
      <c r="D52" s="56">
        <f t="shared" si="2"/>
        <v>0</v>
      </c>
      <c r="E52" s="56">
        <f t="shared" si="2"/>
        <v>0</v>
      </c>
      <c r="F52" s="56">
        <f t="shared" si="2"/>
        <v>0.52</v>
      </c>
      <c r="J52" s="56">
        <f t="shared" si="3"/>
        <v>0</v>
      </c>
    </row>
    <row r="53" spans="1:10" x14ac:dyDescent="0.25">
      <c r="A53" s="53" t="s">
        <v>32</v>
      </c>
      <c r="B53" s="115"/>
      <c r="C53" s="69">
        <f>+'Costo M.P.yMat.'!C20</f>
        <v>0.04</v>
      </c>
      <c r="D53" s="56">
        <f t="shared" si="2"/>
        <v>0</v>
      </c>
      <c r="E53" s="56">
        <f t="shared" si="2"/>
        <v>0</v>
      </c>
      <c r="F53" s="56">
        <f t="shared" si="2"/>
        <v>0.52</v>
      </c>
      <c r="J53" s="56">
        <f t="shared" si="3"/>
        <v>0</v>
      </c>
    </row>
    <row r="54" spans="1:10" x14ac:dyDescent="0.25">
      <c r="A54" s="53" t="s">
        <v>275</v>
      </c>
      <c r="B54" s="54">
        <v>0.25700000000000001</v>
      </c>
      <c r="C54" s="69">
        <f>+'Costo M.P.yMat.'!C89</f>
        <v>8.82</v>
      </c>
      <c r="D54" s="56">
        <f t="shared" si="2"/>
        <v>0</v>
      </c>
      <c r="E54" s="56">
        <f t="shared" si="2"/>
        <v>2.26674</v>
      </c>
      <c r="F54" s="56">
        <f t="shared" si="2"/>
        <v>4.53348</v>
      </c>
      <c r="J54" s="56">
        <f t="shared" si="3"/>
        <v>0</v>
      </c>
    </row>
    <row r="55" spans="1:10" x14ac:dyDescent="0.25">
      <c r="A55" s="53" t="s">
        <v>58</v>
      </c>
      <c r="B55" s="115"/>
      <c r="C55" s="69">
        <f>+'Costo M.P.yMat.'!C46</f>
        <v>79.75</v>
      </c>
      <c r="D55" s="56">
        <f t="shared" si="2"/>
        <v>79.75</v>
      </c>
      <c r="E55" s="56">
        <f t="shared" si="2"/>
        <v>159.5</v>
      </c>
      <c r="F55" s="56">
        <f t="shared" si="2"/>
        <v>0</v>
      </c>
      <c r="J55" s="56">
        <f t="shared" si="3"/>
        <v>79.75</v>
      </c>
    </row>
    <row r="56" spans="1:10" x14ac:dyDescent="0.25">
      <c r="A56" s="53" t="s">
        <v>60</v>
      </c>
      <c r="B56" s="115"/>
      <c r="C56" s="69">
        <f>+'Costo M.P.yMat.'!C47</f>
        <v>3.42</v>
      </c>
      <c r="D56" s="56">
        <f t="shared" si="2"/>
        <v>6.84</v>
      </c>
      <c r="E56" s="56">
        <f t="shared" si="2"/>
        <v>13.68</v>
      </c>
      <c r="F56" s="56">
        <f t="shared" si="2"/>
        <v>13.68</v>
      </c>
      <c r="J56" s="56">
        <f t="shared" si="3"/>
        <v>6.84</v>
      </c>
    </row>
    <row r="57" spans="1:10" x14ac:dyDescent="0.25">
      <c r="A57" s="53">
        <v>1335</v>
      </c>
      <c r="B57" s="115"/>
      <c r="C57" s="69">
        <f>+'Costo M.P.yMat.'!C70</f>
        <v>6.83</v>
      </c>
      <c r="D57" s="56">
        <f t="shared" si="2"/>
        <v>0</v>
      </c>
      <c r="E57" s="56">
        <f t="shared" si="2"/>
        <v>13.66</v>
      </c>
      <c r="F57" s="56">
        <f t="shared" si="2"/>
        <v>13.66</v>
      </c>
      <c r="J57" s="56">
        <f t="shared" si="3"/>
        <v>0</v>
      </c>
    </row>
    <row r="58" spans="1:10" x14ac:dyDescent="0.25">
      <c r="A58" s="53">
        <v>1103</v>
      </c>
      <c r="B58" s="115"/>
      <c r="C58" s="69">
        <f>+'Costo M.P.yMat.'!C53</f>
        <v>12.08</v>
      </c>
      <c r="D58" s="56">
        <f t="shared" si="2"/>
        <v>12.08</v>
      </c>
      <c r="E58" s="56">
        <f t="shared" si="2"/>
        <v>24.16</v>
      </c>
      <c r="F58" s="56">
        <f t="shared" si="2"/>
        <v>24.16</v>
      </c>
      <c r="J58" s="56">
        <f t="shared" si="3"/>
        <v>12.08</v>
      </c>
    </row>
    <row r="59" spans="1:10" x14ac:dyDescent="0.25">
      <c r="A59" s="60">
        <v>1101</v>
      </c>
      <c r="B59" s="115"/>
      <c r="C59" s="69">
        <f>+'Costo M.P.yMat.'!C52</f>
        <v>8.89</v>
      </c>
      <c r="D59" s="56">
        <f t="shared" si="2"/>
        <v>8.89</v>
      </c>
      <c r="E59" s="56">
        <f t="shared" si="2"/>
        <v>17.78</v>
      </c>
      <c r="F59" s="56">
        <f t="shared" si="2"/>
        <v>17.78</v>
      </c>
      <c r="J59" s="56">
        <f t="shared" si="3"/>
        <v>8.89</v>
      </c>
    </row>
    <row r="60" spans="1:10" x14ac:dyDescent="0.25">
      <c r="A60" s="60">
        <v>1636</v>
      </c>
      <c r="B60" s="115"/>
      <c r="C60" s="69">
        <f>+'Costo M.P.yMat.'!C81</f>
        <v>3.59</v>
      </c>
      <c r="D60" s="56">
        <f t="shared" si="2"/>
        <v>7.18</v>
      </c>
      <c r="E60" s="56">
        <f t="shared" si="2"/>
        <v>14.36</v>
      </c>
      <c r="F60" s="56">
        <f t="shared" si="2"/>
        <v>14.36</v>
      </c>
      <c r="J60" s="56">
        <f t="shared" si="3"/>
        <v>7.18</v>
      </c>
    </row>
    <row r="61" spans="1:10" x14ac:dyDescent="0.25">
      <c r="A61" s="53">
        <v>1520</v>
      </c>
      <c r="B61" s="115"/>
      <c r="C61" s="69">
        <f>+'Costo M.P.yMat.'!C76</f>
        <v>22.950000000000003</v>
      </c>
      <c r="D61" s="56">
        <f t="shared" si="2"/>
        <v>22.950000000000003</v>
      </c>
      <c r="E61" s="56">
        <f t="shared" si="2"/>
        <v>22.950000000000003</v>
      </c>
      <c r="F61" s="56">
        <f t="shared" si="2"/>
        <v>22.950000000000003</v>
      </c>
      <c r="J61" s="56">
        <f t="shared" si="3"/>
        <v>22.950000000000003</v>
      </c>
    </row>
    <row r="62" spans="1:10" x14ac:dyDescent="0.25">
      <c r="A62" s="53">
        <v>1531</v>
      </c>
      <c r="B62" s="115"/>
      <c r="C62" s="69">
        <f>+'Costo M.P.yMat.'!C78</f>
        <v>8.48</v>
      </c>
      <c r="D62" s="56">
        <f t="shared" si="2"/>
        <v>0</v>
      </c>
      <c r="E62" s="56">
        <f t="shared" si="2"/>
        <v>8.48</v>
      </c>
      <c r="F62" s="56">
        <f t="shared" si="2"/>
        <v>8.48</v>
      </c>
      <c r="J62" s="56">
        <f t="shared" si="3"/>
        <v>0</v>
      </c>
    </row>
    <row r="63" spans="1:10" x14ac:dyDescent="0.25">
      <c r="A63" s="53">
        <v>1038</v>
      </c>
      <c r="B63" s="115"/>
      <c r="C63" s="69">
        <f>+'Costo M.P.yMat.'!C50</f>
        <v>0.97</v>
      </c>
      <c r="D63" s="56">
        <f t="shared" si="2"/>
        <v>0</v>
      </c>
      <c r="E63" s="56">
        <f t="shared" si="2"/>
        <v>3.88</v>
      </c>
      <c r="F63" s="56">
        <f t="shared" si="2"/>
        <v>3.88</v>
      </c>
      <c r="J63" s="56">
        <f t="shared" si="3"/>
        <v>0</v>
      </c>
    </row>
    <row r="64" spans="1:10" x14ac:dyDescent="0.25">
      <c r="A64" s="53">
        <v>1013</v>
      </c>
      <c r="B64" s="115"/>
      <c r="C64" s="69">
        <f>+'Costo M.P.yMat.'!C49</f>
        <v>3.59</v>
      </c>
      <c r="D64" s="56">
        <f t="shared" si="2"/>
        <v>3.59</v>
      </c>
      <c r="E64" s="56">
        <f t="shared" si="2"/>
        <v>7.18</v>
      </c>
      <c r="F64" s="56">
        <f t="shared" si="2"/>
        <v>7.18</v>
      </c>
      <c r="J64" s="56">
        <f t="shared" si="3"/>
        <v>3.59</v>
      </c>
    </row>
    <row r="65" spans="1:10" x14ac:dyDescent="0.25">
      <c r="A65" s="53">
        <v>1201</v>
      </c>
      <c r="B65" s="115"/>
      <c r="C65" s="69">
        <f>+'Costo M.P.yMat.'!C60</f>
        <v>1.2</v>
      </c>
      <c r="D65" s="56">
        <f t="shared" si="2"/>
        <v>1.2</v>
      </c>
      <c r="E65" s="56">
        <f t="shared" si="2"/>
        <v>4.8</v>
      </c>
      <c r="F65" s="56">
        <f t="shared" si="2"/>
        <v>4.8</v>
      </c>
      <c r="J65" s="56">
        <f t="shared" si="3"/>
        <v>1.2</v>
      </c>
    </row>
    <row r="66" spans="1:10" x14ac:dyDescent="0.25">
      <c r="A66" s="53" t="s">
        <v>190</v>
      </c>
      <c r="B66" s="115"/>
      <c r="C66" s="69">
        <f>+'Costo M.P.yMat.'!C75</f>
        <v>3.59</v>
      </c>
      <c r="D66" s="56">
        <f t="shared" si="2"/>
        <v>3.59</v>
      </c>
      <c r="E66" s="56">
        <f t="shared" si="2"/>
        <v>0</v>
      </c>
      <c r="F66" s="56">
        <f t="shared" si="2"/>
        <v>0</v>
      </c>
      <c r="J66" s="56">
        <f t="shared" si="3"/>
        <v>3.59</v>
      </c>
    </row>
    <row r="67" spans="1:10" x14ac:dyDescent="0.25">
      <c r="C67" s="70"/>
      <c r="D67" s="65"/>
      <c r="E67" s="65"/>
      <c r="F67" s="65"/>
      <c r="J67" s="65"/>
    </row>
    <row r="68" spans="1:10" x14ac:dyDescent="0.25">
      <c r="C68" s="70"/>
      <c r="D68" s="65"/>
      <c r="E68" s="65"/>
      <c r="F68" s="65"/>
      <c r="J68" s="65"/>
    </row>
    <row r="69" spans="1:10" s="72" customFormat="1" ht="15.6" x14ac:dyDescent="0.3">
      <c r="A69" s="66" t="s">
        <v>194</v>
      </c>
      <c r="B69" s="67"/>
      <c r="C69" s="68"/>
      <c r="D69" s="68">
        <f>SUM(D70:D91)</f>
        <v>181.77</v>
      </c>
      <c r="E69" s="68">
        <f>SUM(E70:E91)</f>
        <v>320.24225999999999</v>
      </c>
      <c r="F69" s="68">
        <f>SUM(F70:F91)</f>
        <v>235.19491999999997</v>
      </c>
      <c r="G69" s="71"/>
      <c r="J69" s="68">
        <f>SUM(J70:J91)</f>
        <v>263.7573999999999</v>
      </c>
    </row>
    <row r="70" spans="1:10" x14ac:dyDescent="0.25">
      <c r="A70" s="53" t="s">
        <v>35</v>
      </c>
      <c r="B70" s="115"/>
      <c r="C70" s="69">
        <f>+'Costo M.P.yMat.'!D26</f>
        <v>33</v>
      </c>
      <c r="D70" s="56">
        <f t="shared" ref="D70:F91" si="4">+$C70*D20</f>
        <v>33</v>
      </c>
      <c r="E70" s="56">
        <f t="shared" si="4"/>
        <v>33</v>
      </c>
      <c r="F70" s="56">
        <f t="shared" si="4"/>
        <v>79.2</v>
      </c>
      <c r="J70" s="56">
        <f t="shared" ref="J70:J91" si="5">+$C70*J20</f>
        <v>0</v>
      </c>
    </row>
    <row r="71" spans="1:10" x14ac:dyDescent="0.25">
      <c r="A71" s="53" t="s">
        <v>42</v>
      </c>
      <c r="B71" s="115"/>
      <c r="C71" s="69">
        <f>+'Costo M.P.yMat.'!D31</f>
        <v>48.4</v>
      </c>
      <c r="D71" s="56">
        <f t="shared" si="4"/>
        <v>0</v>
      </c>
      <c r="E71" s="56">
        <f t="shared" si="4"/>
        <v>0</v>
      </c>
      <c r="F71" s="56">
        <f t="shared" si="4"/>
        <v>0</v>
      </c>
      <c r="J71" s="56">
        <f t="shared" si="5"/>
        <v>102.65639999999999</v>
      </c>
    </row>
    <row r="72" spans="1:10" x14ac:dyDescent="0.25">
      <c r="A72" s="53" t="s">
        <v>189</v>
      </c>
      <c r="B72" s="115"/>
      <c r="C72" s="69">
        <f>+'Costo M.P.yMat.'!D84</f>
        <v>11</v>
      </c>
      <c r="D72" s="56">
        <f t="shared" si="4"/>
        <v>11</v>
      </c>
      <c r="E72" s="56">
        <f t="shared" si="4"/>
        <v>11</v>
      </c>
      <c r="F72" s="56">
        <f t="shared" si="4"/>
        <v>26.4</v>
      </c>
      <c r="J72" s="56">
        <f t="shared" si="5"/>
        <v>23.331</v>
      </c>
    </row>
    <row r="73" spans="1:10" x14ac:dyDescent="0.25">
      <c r="A73" s="53" t="s">
        <v>197</v>
      </c>
      <c r="B73" s="115"/>
      <c r="C73" s="69">
        <f>+'Costo M.P.yMat.'!D7</f>
        <v>2.67</v>
      </c>
      <c r="D73" s="56">
        <f t="shared" si="4"/>
        <v>0</v>
      </c>
      <c r="E73" s="56">
        <f t="shared" si="4"/>
        <v>0</v>
      </c>
      <c r="F73" s="56">
        <f t="shared" si="4"/>
        <v>2.3140000000000001</v>
      </c>
      <c r="J73" s="56">
        <f t="shared" si="5"/>
        <v>0</v>
      </c>
    </row>
    <row r="74" spans="1:10" x14ac:dyDescent="0.25">
      <c r="A74" s="53" t="s">
        <v>16</v>
      </c>
      <c r="B74" s="115"/>
      <c r="C74" s="69">
        <f>+'Costo M.P.yMat.'!D9</f>
        <v>0.72</v>
      </c>
      <c r="D74" s="56">
        <f t="shared" si="4"/>
        <v>0</v>
      </c>
      <c r="E74" s="56">
        <f t="shared" si="4"/>
        <v>0</v>
      </c>
      <c r="F74" s="56">
        <f t="shared" si="4"/>
        <v>0.37440000000000001</v>
      </c>
      <c r="J74" s="56">
        <f t="shared" si="5"/>
        <v>0</v>
      </c>
    </row>
    <row r="75" spans="1:10" x14ac:dyDescent="0.25">
      <c r="A75" s="53" t="s">
        <v>331</v>
      </c>
      <c r="B75" s="115"/>
      <c r="C75" s="69">
        <f>+'Costo M.P.yMat.'!D10</f>
        <v>1.3</v>
      </c>
      <c r="D75" s="56">
        <f t="shared" si="4"/>
        <v>0</v>
      </c>
      <c r="E75" s="56">
        <f t="shared" si="4"/>
        <v>0</v>
      </c>
      <c r="F75" s="56">
        <f t="shared" si="4"/>
        <v>1.3520000000000001</v>
      </c>
      <c r="J75" s="56">
        <f t="shared" si="5"/>
        <v>0</v>
      </c>
    </row>
    <row r="76" spans="1:10" x14ac:dyDescent="0.25">
      <c r="A76" s="53" t="s">
        <v>27</v>
      </c>
      <c r="B76" s="115"/>
      <c r="C76" s="69">
        <f>+'Costo M.P.yMat.'!D17</f>
        <v>0.17</v>
      </c>
      <c r="D76" s="56">
        <f t="shared" si="4"/>
        <v>0</v>
      </c>
      <c r="E76" s="56">
        <f t="shared" si="4"/>
        <v>0.17</v>
      </c>
      <c r="F76" s="56">
        <f t="shared" si="4"/>
        <v>0.34</v>
      </c>
      <c r="J76" s="56">
        <f t="shared" si="5"/>
        <v>0</v>
      </c>
    </row>
    <row r="77" spans="1:10" x14ac:dyDescent="0.25">
      <c r="A77" s="53" t="s">
        <v>31</v>
      </c>
      <c r="B77" s="115"/>
      <c r="C77" s="69">
        <f>+'Costo M.P.yMat.'!D19</f>
        <v>0.04</v>
      </c>
      <c r="D77" s="56">
        <f t="shared" si="4"/>
        <v>0</v>
      </c>
      <c r="E77" s="56">
        <f t="shared" si="4"/>
        <v>0</v>
      </c>
      <c r="F77" s="56">
        <f t="shared" si="4"/>
        <v>0.52</v>
      </c>
      <c r="J77" s="56">
        <f t="shared" si="5"/>
        <v>0</v>
      </c>
    </row>
    <row r="78" spans="1:10" x14ac:dyDescent="0.25">
      <c r="A78" s="53" t="s">
        <v>32</v>
      </c>
      <c r="B78" s="115"/>
      <c r="C78" s="69">
        <f>+'Costo M.P.yMat.'!D20</f>
        <v>0.04</v>
      </c>
      <c r="D78" s="56">
        <f t="shared" si="4"/>
        <v>0</v>
      </c>
      <c r="E78" s="56">
        <f t="shared" si="4"/>
        <v>0</v>
      </c>
      <c r="F78" s="56">
        <f t="shared" si="4"/>
        <v>0.52</v>
      </c>
      <c r="J78" s="56">
        <f t="shared" si="5"/>
        <v>0</v>
      </c>
    </row>
    <row r="79" spans="1:10" x14ac:dyDescent="0.25">
      <c r="A79" s="53" t="s">
        <v>275</v>
      </c>
      <c r="B79" s="54">
        <v>0.25700000000000001</v>
      </c>
      <c r="C79" s="69">
        <f>+'Costo M.P.yMat.'!D89</f>
        <v>8.18</v>
      </c>
      <c r="D79" s="56">
        <f t="shared" si="4"/>
        <v>0</v>
      </c>
      <c r="E79" s="56">
        <f t="shared" si="4"/>
        <v>2.1022599999999998</v>
      </c>
      <c r="F79" s="56">
        <f t="shared" si="4"/>
        <v>4.2045199999999996</v>
      </c>
      <c r="J79" s="56">
        <f t="shared" si="5"/>
        <v>0</v>
      </c>
    </row>
    <row r="80" spans="1:10" x14ac:dyDescent="0.25">
      <c r="A80" s="53" t="s">
        <v>58</v>
      </c>
      <c r="B80" s="115"/>
      <c r="C80" s="69">
        <f>+'Costo M.P.yMat.'!D46</f>
        <v>77</v>
      </c>
      <c r="D80" s="56">
        <f t="shared" si="4"/>
        <v>77</v>
      </c>
      <c r="E80" s="56">
        <f t="shared" si="4"/>
        <v>154</v>
      </c>
      <c r="F80" s="56">
        <f t="shared" si="4"/>
        <v>0</v>
      </c>
      <c r="J80" s="56">
        <f t="shared" si="5"/>
        <v>77</v>
      </c>
    </row>
    <row r="81" spans="1:10" x14ac:dyDescent="0.25">
      <c r="A81" s="53" t="s">
        <v>60</v>
      </c>
      <c r="B81" s="115"/>
      <c r="C81" s="69">
        <f>+'Costo M.P.yMat.'!D47</f>
        <v>3.3</v>
      </c>
      <c r="D81" s="56">
        <f t="shared" si="4"/>
        <v>6.6</v>
      </c>
      <c r="E81" s="56">
        <f t="shared" si="4"/>
        <v>13.2</v>
      </c>
      <c r="F81" s="56">
        <f t="shared" si="4"/>
        <v>13.2</v>
      </c>
      <c r="J81" s="56">
        <f t="shared" si="5"/>
        <v>6.6</v>
      </c>
    </row>
    <row r="82" spans="1:10" x14ac:dyDescent="0.25">
      <c r="A82" s="53">
        <v>1335</v>
      </c>
      <c r="B82" s="115"/>
      <c r="C82" s="69">
        <f>+'Costo M.P.yMat.'!D70</f>
        <v>6.22</v>
      </c>
      <c r="D82" s="56">
        <f t="shared" si="4"/>
        <v>0</v>
      </c>
      <c r="E82" s="56">
        <f t="shared" si="4"/>
        <v>12.44</v>
      </c>
      <c r="F82" s="56">
        <f t="shared" si="4"/>
        <v>12.44</v>
      </c>
      <c r="J82" s="56">
        <f t="shared" si="5"/>
        <v>0</v>
      </c>
    </row>
    <row r="83" spans="1:10" x14ac:dyDescent="0.25">
      <c r="A83" s="53">
        <v>1103</v>
      </c>
      <c r="B83" s="115"/>
      <c r="C83" s="69">
        <f>+'Costo M.P.yMat.'!D53</f>
        <v>11</v>
      </c>
      <c r="D83" s="56">
        <f t="shared" si="4"/>
        <v>11</v>
      </c>
      <c r="E83" s="56">
        <f t="shared" si="4"/>
        <v>22</v>
      </c>
      <c r="F83" s="56">
        <f t="shared" si="4"/>
        <v>22</v>
      </c>
      <c r="J83" s="56">
        <f t="shared" si="5"/>
        <v>11</v>
      </c>
    </row>
    <row r="84" spans="1:10" x14ac:dyDescent="0.25">
      <c r="A84" s="60">
        <v>1101</v>
      </c>
      <c r="B84" s="115"/>
      <c r="C84" s="69">
        <f>+'Costo M.P.yMat.'!D52</f>
        <v>8.1</v>
      </c>
      <c r="D84" s="56">
        <f t="shared" si="4"/>
        <v>8.1</v>
      </c>
      <c r="E84" s="56">
        <f t="shared" si="4"/>
        <v>16.2</v>
      </c>
      <c r="F84" s="56">
        <f t="shared" si="4"/>
        <v>16.2</v>
      </c>
      <c r="J84" s="56">
        <f t="shared" si="5"/>
        <v>8.1</v>
      </c>
    </row>
    <row r="85" spans="1:10" x14ac:dyDescent="0.25">
      <c r="A85" s="60">
        <v>1636</v>
      </c>
      <c r="B85" s="115"/>
      <c r="C85" s="69">
        <f>+'Costo M.P.yMat.'!D81</f>
        <v>3.2699999999999996</v>
      </c>
      <c r="D85" s="56">
        <f t="shared" si="4"/>
        <v>6.5399999999999991</v>
      </c>
      <c r="E85" s="56">
        <f t="shared" si="4"/>
        <v>13.079999999999998</v>
      </c>
      <c r="F85" s="56">
        <f t="shared" si="4"/>
        <v>13.079999999999998</v>
      </c>
      <c r="J85" s="56">
        <f t="shared" si="5"/>
        <v>6.5399999999999991</v>
      </c>
    </row>
    <row r="86" spans="1:10" x14ac:dyDescent="0.25">
      <c r="A86" s="53">
        <v>1520</v>
      </c>
      <c r="B86" s="115"/>
      <c r="C86" s="69">
        <f>+'Costo M.P.yMat.'!D76</f>
        <v>20.9</v>
      </c>
      <c r="D86" s="56">
        <f t="shared" si="4"/>
        <v>20.9</v>
      </c>
      <c r="E86" s="56">
        <f t="shared" si="4"/>
        <v>20.9</v>
      </c>
      <c r="F86" s="56">
        <f t="shared" si="4"/>
        <v>20.9</v>
      </c>
      <c r="J86" s="56">
        <f t="shared" si="5"/>
        <v>20.9</v>
      </c>
    </row>
    <row r="87" spans="1:10" x14ac:dyDescent="0.25">
      <c r="A87" s="53">
        <v>1531</v>
      </c>
      <c r="B87" s="115"/>
      <c r="C87" s="69">
        <f>+'Costo M.P.yMat.'!D78</f>
        <v>7.7299999999999995</v>
      </c>
      <c r="D87" s="56">
        <f t="shared" si="4"/>
        <v>0</v>
      </c>
      <c r="E87" s="56">
        <f t="shared" si="4"/>
        <v>7.7299999999999995</v>
      </c>
      <c r="F87" s="56">
        <f t="shared" si="4"/>
        <v>7.7299999999999995</v>
      </c>
      <c r="J87" s="56">
        <f t="shared" si="5"/>
        <v>0</v>
      </c>
    </row>
    <row r="88" spans="1:10" x14ac:dyDescent="0.25">
      <c r="A88" s="53">
        <v>1038</v>
      </c>
      <c r="B88" s="115"/>
      <c r="C88" s="69">
        <f>+'Costo M.P.yMat.'!D50</f>
        <v>0.88</v>
      </c>
      <c r="D88" s="56">
        <f t="shared" si="4"/>
        <v>0</v>
      </c>
      <c r="E88" s="56">
        <f t="shared" si="4"/>
        <v>3.52</v>
      </c>
      <c r="F88" s="56">
        <f t="shared" si="4"/>
        <v>3.52</v>
      </c>
      <c r="J88" s="56">
        <f t="shared" si="5"/>
        <v>0</v>
      </c>
    </row>
    <row r="89" spans="1:10" x14ac:dyDescent="0.25">
      <c r="A89" s="53">
        <v>1013</v>
      </c>
      <c r="B89" s="115"/>
      <c r="C89" s="69">
        <f>+'Costo M.P.yMat.'!D49</f>
        <v>3.2699999999999996</v>
      </c>
      <c r="D89" s="56">
        <f t="shared" si="4"/>
        <v>3.2699999999999996</v>
      </c>
      <c r="E89" s="56">
        <f t="shared" si="4"/>
        <v>6.5399999999999991</v>
      </c>
      <c r="F89" s="56">
        <f t="shared" si="4"/>
        <v>6.5399999999999991</v>
      </c>
      <c r="J89" s="56">
        <f t="shared" si="5"/>
        <v>3.2699999999999996</v>
      </c>
    </row>
    <row r="90" spans="1:10" x14ac:dyDescent="0.25">
      <c r="A90" s="53">
        <v>1201</v>
      </c>
      <c r="B90" s="115"/>
      <c r="C90" s="69">
        <f>+'Costo M.P.yMat.'!D60</f>
        <v>1.0900000000000001</v>
      </c>
      <c r="D90" s="56">
        <f t="shared" si="4"/>
        <v>1.0900000000000001</v>
      </c>
      <c r="E90" s="56">
        <f t="shared" si="4"/>
        <v>4.3600000000000003</v>
      </c>
      <c r="F90" s="56">
        <f t="shared" si="4"/>
        <v>4.3600000000000003</v>
      </c>
      <c r="J90" s="56">
        <f t="shared" si="5"/>
        <v>1.0900000000000001</v>
      </c>
    </row>
    <row r="91" spans="1:10" x14ac:dyDescent="0.25">
      <c r="A91" s="53" t="s">
        <v>190</v>
      </c>
      <c r="B91" s="115"/>
      <c r="C91" s="69">
        <f>+'Costo M.P.yMat.'!D75</f>
        <v>3.2699999999999996</v>
      </c>
      <c r="D91" s="56">
        <f t="shared" si="4"/>
        <v>3.2699999999999996</v>
      </c>
      <c r="E91" s="56">
        <f t="shared" si="4"/>
        <v>0</v>
      </c>
      <c r="F91" s="56">
        <f t="shared" si="4"/>
        <v>0</v>
      </c>
      <c r="J91" s="56">
        <f t="shared" si="5"/>
        <v>3.2699999999999996</v>
      </c>
    </row>
    <row r="92" spans="1:10" x14ac:dyDescent="0.25">
      <c r="C92" s="73"/>
      <c r="D92" s="63"/>
      <c r="E92" s="63"/>
      <c r="F92" s="63"/>
      <c r="J92" s="63"/>
    </row>
    <row r="93" spans="1:10" x14ac:dyDescent="0.25">
      <c r="C93" s="73"/>
      <c r="D93" s="63"/>
      <c r="E93" s="63"/>
      <c r="F93" s="63"/>
      <c r="J93" s="63"/>
    </row>
    <row r="94" spans="1:10" ht="15.6" x14ac:dyDescent="0.3">
      <c r="A94" s="137" t="s">
        <v>286</v>
      </c>
      <c r="B94" s="138"/>
      <c r="C94" s="139"/>
      <c r="D94" s="139" t="s">
        <v>268</v>
      </c>
      <c r="E94" s="139" t="s">
        <v>269</v>
      </c>
      <c r="F94" s="139" t="s">
        <v>271</v>
      </c>
      <c r="G94" s="120"/>
      <c r="H94" s="139" t="s">
        <v>285</v>
      </c>
      <c r="J94" s="63"/>
    </row>
    <row r="95" spans="1:10" x14ac:dyDescent="0.25">
      <c r="A95" s="140" t="s">
        <v>35</v>
      </c>
      <c r="B95" s="141"/>
      <c r="C95" s="142">
        <f>+C45</f>
        <v>36.46</v>
      </c>
      <c r="D95" s="122"/>
      <c r="E95" s="122"/>
      <c r="F95" s="122"/>
      <c r="G95" s="120"/>
      <c r="H95" s="122"/>
      <c r="J95" s="63"/>
    </row>
    <row r="96" spans="1:10" x14ac:dyDescent="0.25">
      <c r="A96" s="140" t="s">
        <v>42</v>
      </c>
      <c r="B96" s="141"/>
      <c r="C96" s="142">
        <f t="shared" ref="C96:C115" si="6">+C46</f>
        <v>52.41</v>
      </c>
      <c r="D96" s="122"/>
      <c r="E96" s="122"/>
      <c r="F96" s="122"/>
      <c r="G96" s="120"/>
      <c r="H96" s="122"/>
      <c r="J96" s="63"/>
    </row>
    <row r="97" spans="1:10" x14ac:dyDescent="0.25">
      <c r="A97" s="140" t="s">
        <v>189</v>
      </c>
      <c r="B97" s="141"/>
      <c r="C97" s="142">
        <f t="shared" si="6"/>
        <v>12.08</v>
      </c>
      <c r="D97" s="122"/>
      <c r="E97" s="122"/>
      <c r="F97" s="122">
        <v>1</v>
      </c>
      <c r="G97" s="120"/>
      <c r="H97" s="122"/>
      <c r="J97" s="63"/>
    </row>
    <row r="98" spans="1:10" x14ac:dyDescent="0.25">
      <c r="A98" s="140" t="s">
        <v>197</v>
      </c>
      <c r="B98" s="141"/>
      <c r="C98" s="142">
        <f t="shared" si="6"/>
        <v>2.76</v>
      </c>
      <c r="D98" s="122">
        <v>0.34</v>
      </c>
      <c r="E98" s="122">
        <v>0.17</v>
      </c>
      <c r="F98" s="122"/>
      <c r="G98" s="120"/>
      <c r="H98" s="122"/>
      <c r="J98" s="63"/>
    </row>
    <row r="99" spans="1:10" x14ac:dyDescent="0.25">
      <c r="A99" s="140" t="s">
        <v>16</v>
      </c>
      <c r="B99" s="141"/>
      <c r="C99" s="142">
        <f t="shared" si="6"/>
        <v>0.75</v>
      </c>
      <c r="D99" s="122">
        <f>0.34/10</f>
        <v>3.4000000000000002E-2</v>
      </c>
      <c r="E99" s="122">
        <f>0.17/10</f>
        <v>1.7000000000000001E-2</v>
      </c>
      <c r="F99" s="122"/>
      <c r="G99" s="120"/>
      <c r="H99" s="122"/>
    </row>
    <row r="100" spans="1:10" x14ac:dyDescent="0.25">
      <c r="A100" s="140" t="s">
        <v>192</v>
      </c>
      <c r="B100" s="143"/>
      <c r="C100" s="142">
        <f t="shared" si="6"/>
        <v>1.41</v>
      </c>
      <c r="D100" s="122">
        <v>2</v>
      </c>
      <c r="E100" s="122">
        <v>1</v>
      </c>
      <c r="F100" s="122"/>
      <c r="G100" s="120"/>
      <c r="H100" s="122"/>
    </row>
    <row r="101" spans="1:10" x14ac:dyDescent="0.25">
      <c r="A101" s="140" t="s">
        <v>27</v>
      </c>
      <c r="B101" s="141"/>
      <c r="C101" s="142">
        <f t="shared" si="6"/>
        <v>0.18000000000000002</v>
      </c>
      <c r="D101" s="122"/>
      <c r="E101" s="122">
        <v>1</v>
      </c>
      <c r="F101" s="122"/>
      <c r="G101" s="120"/>
      <c r="H101" s="122"/>
    </row>
    <row r="102" spans="1:10" x14ac:dyDescent="0.25">
      <c r="A102" s="140" t="s">
        <v>31</v>
      </c>
      <c r="B102" s="141"/>
      <c r="C102" s="142">
        <f t="shared" si="6"/>
        <v>0.04</v>
      </c>
      <c r="D102" s="122">
        <v>3</v>
      </c>
      <c r="E102" s="122">
        <v>5</v>
      </c>
      <c r="F102" s="122"/>
      <c r="G102" s="120"/>
      <c r="H102" s="122"/>
    </row>
    <row r="103" spans="1:10" x14ac:dyDescent="0.25">
      <c r="A103" s="140" t="s">
        <v>32</v>
      </c>
      <c r="B103" s="141"/>
      <c r="C103" s="142">
        <f t="shared" si="6"/>
        <v>0.04</v>
      </c>
      <c r="D103" s="122">
        <v>3</v>
      </c>
      <c r="E103" s="122">
        <v>5</v>
      </c>
      <c r="F103" s="122"/>
      <c r="G103" s="120"/>
      <c r="H103" s="122"/>
    </row>
    <row r="104" spans="1:10" x14ac:dyDescent="0.25">
      <c r="A104" s="140" t="s">
        <v>275</v>
      </c>
      <c r="B104" s="143">
        <v>0.25700000000000001</v>
      </c>
      <c r="C104" s="142">
        <f t="shared" si="6"/>
        <v>8.82</v>
      </c>
      <c r="D104" s="122"/>
      <c r="E104" s="122">
        <v>1</v>
      </c>
      <c r="F104" s="122"/>
      <c r="G104" s="120"/>
      <c r="H104" s="122"/>
    </row>
    <row r="105" spans="1:10" x14ac:dyDescent="0.25">
      <c r="A105" s="140" t="s">
        <v>58</v>
      </c>
      <c r="B105" s="141"/>
      <c r="C105" s="142">
        <f t="shared" si="6"/>
        <v>79.75</v>
      </c>
      <c r="D105" s="122"/>
      <c r="E105" s="122"/>
      <c r="F105" s="122"/>
      <c r="G105" s="120"/>
      <c r="H105" s="122">
        <v>2</v>
      </c>
    </row>
    <row r="106" spans="1:10" x14ac:dyDescent="0.25">
      <c r="A106" s="140" t="s">
        <v>60</v>
      </c>
      <c r="B106" s="141"/>
      <c r="C106" s="142">
        <f t="shared" si="6"/>
        <v>3.42</v>
      </c>
      <c r="D106" s="122"/>
      <c r="E106" s="122"/>
      <c r="F106" s="122"/>
      <c r="G106" s="120"/>
      <c r="H106" s="122">
        <v>4</v>
      </c>
    </row>
    <row r="107" spans="1:10" x14ac:dyDescent="0.25">
      <c r="A107" s="140">
        <v>1335</v>
      </c>
      <c r="B107" s="141"/>
      <c r="C107" s="142">
        <f t="shared" si="6"/>
        <v>6.83</v>
      </c>
      <c r="D107" s="122"/>
      <c r="E107" s="122"/>
      <c r="F107" s="122"/>
      <c r="G107" s="120"/>
      <c r="H107" s="122">
        <v>2</v>
      </c>
    </row>
    <row r="108" spans="1:10" x14ac:dyDescent="0.25">
      <c r="A108" s="140">
        <v>1103</v>
      </c>
      <c r="B108" s="141"/>
      <c r="C108" s="142">
        <f t="shared" si="6"/>
        <v>12.08</v>
      </c>
      <c r="D108" s="122"/>
      <c r="E108" s="122"/>
      <c r="F108" s="122"/>
      <c r="G108" s="120"/>
      <c r="H108" s="122">
        <v>2</v>
      </c>
    </row>
    <row r="109" spans="1:10" x14ac:dyDescent="0.25">
      <c r="A109" s="140">
        <v>1101</v>
      </c>
      <c r="B109" s="141"/>
      <c r="C109" s="142">
        <f t="shared" si="6"/>
        <v>8.89</v>
      </c>
      <c r="D109" s="122"/>
      <c r="E109" s="122"/>
      <c r="F109" s="122"/>
      <c r="G109" s="120"/>
      <c r="H109" s="122">
        <v>2</v>
      </c>
    </row>
    <row r="110" spans="1:10" x14ac:dyDescent="0.25">
      <c r="A110" s="140">
        <v>1636</v>
      </c>
      <c r="B110" s="141"/>
      <c r="C110" s="142">
        <f t="shared" si="6"/>
        <v>3.59</v>
      </c>
      <c r="D110" s="122"/>
      <c r="E110" s="122"/>
      <c r="F110" s="122"/>
      <c r="G110" s="120"/>
      <c r="H110" s="122">
        <v>4</v>
      </c>
    </row>
    <row r="111" spans="1:10" x14ac:dyDescent="0.25">
      <c r="A111" s="140">
        <v>1520</v>
      </c>
      <c r="B111" s="141"/>
      <c r="C111" s="142">
        <f t="shared" si="6"/>
        <v>22.950000000000003</v>
      </c>
      <c r="D111" s="122"/>
      <c r="E111" s="122"/>
      <c r="F111" s="122"/>
      <c r="G111" s="120"/>
      <c r="H111" s="122">
        <v>1</v>
      </c>
    </row>
    <row r="112" spans="1:10" x14ac:dyDescent="0.25">
      <c r="A112" s="140">
        <v>1531</v>
      </c>
      <c r="B112" s="141"/>
      <c r="C112" s="142">
        <f t="shared" si="6"/>
        <v>8.48</v>
      </c>
      <c r="D112" s="122"/>
      <c r="E112" s="122"/>
      <c r="F112" s="122"/>
      <c r="G112" s="120"/>
      <c r="H112" s="122">
        <v>1</v>
      </c>
    </row>
    <row r="113" spans="1:8" x14ac:dyDescent="0.25">
      <c r="A113" s="140">
        <v>1038</v>
      </c>
      <c r="B113" s="141"/>
      <c r="C113" s="142">
        <f t="shared" si="6"/>
        <v>0.97</v>
      </c>
      <c r="D113" s="122"/>
      <c r="E113" s="122"/>
      <c r="F113" s="122"/>
      <c r="G113" s="120"/>
      <c r="H113" s="122">
        <v>4</v>
      </c>
    </row>
    <row r="114" spans="1:8" x14ac:dyDescent="0.25">
      <c r="A114" s="140">
        <v>1013</v>
      </c>
      <c r="B114" s="141"/>
      <c r="C114" s="142">
        <f t="shared" si="6"/>
        <v>3.59</v>
      </c>
      <c r="D114" s="122"/>
      <c r="E114" s="122"/>
      <c r="F114" s="122"/>
      <c r="G114" s="120"/>
      <c r="H114" s="122">
        <v>2</v>
      </c>
    </row>
    <row r="115" spans="1:8" x14ac:dyDescent="0.25">
      <c r="A115" s="140">
        <v>1201</v>
      </c>
      <c r="B115" s="141"/>
      <c r="C115" s="142">
        <f t="shared" si="6"/>
        <v>1.2</v>
      </c>
      <c r="D115" s="122"/>
      <c r="E115" s="122"/>
      <c r="F115" s="122"/>
      <c r="G115" s="120"/>
      <c r="H115" s="122">
        <v>4</v>
      </c>
    </row>
    <row r="116" spans="1:8" x14ac:dyDescent="0.25">
      <c r="A116" s="120"/>
      <c r="B116" s="120"/>
      <c r="C116" s="120"/>
      <c r="D116" s="120"/>
      <c r="E116" s="120"/>
      <c r="F116" s="120"/>
      <c r="G116" s="120"/>
      <c r="H116" s="120"/>
    </row>
    <row r="117" spans="1:8" x14ac:dyDescent="0.25">
      <c r="A117" s="140" t="s">
        <v>35</v>
      </c>
      <c r="B117" s="120"/>
      <c r="C117" s="120"/>
      <c r="D117" s="121">
        <f>+D118</f>
        <v>4.0239000000000003</v>
      </c>
      <c r="E117" s="121">
        <f>+E118</f>
        <v>11.29195</v>
      </c>
      <c r="F117" s="121">
        <f>+F97*C97+C95</f>
        <v>48.54</v>
      </c>
      <c r="G117" s="120"/>
      <c r="H117" s="121">
        <f>+H118</f>
        <v>290.43</v>
      </c>
    </row>
    <row r="118" spans="1:8" x14ac:dyDescent="0.25">
      <c r="A118" s="140" t="s">
        <v>42</v>
      </c>
      <c r="B118" s="120"/>
      <c r="C118" s="120"/>
      <c r="D118" s="121">
        <f>SUMPRODUCT($C$95:$C$115,D$95:D$115)</f>
        <v>4.0239000000000003</v>
      </c>
      <c r="E118" s="121">
        <f>SUMPRODUCT($C$95:$C$115,E$95:E$115)</f>
        <v>11.29195</v>
      </c>
      <c r="F118" s="121">
        <f>SUMPRODUCT($C$95:$C$115,F$95:F$115)+C96</f>
        <v>64.489999999999995</v>
      </c>
      <c r="G118" s="121"/>
      <c r="H118" s="121">
        <f>SUMPRODUCT($C$95:$C$115,H$95:H$115)</f>
        <v>290.43</v>
      </c>
    </row>
    <row r="121" spans="1:8" ht="15.6" x14ac:dyDescent="0.3">
      <c r="A121" s="137" t="s">
        <v>287</v>
      </c>
      <c r="B121" s="138"/>
      <c r="C121" s="139"/>
      <c r="D121" s="139" t="s">
        <v>268</v>
      </c>
      <c r="E121" s="139" t="s">
        <v>269</v>
      </c>
      <c r="F121" s="139" t="s">
        <v>271</v>
      </c>
      <c r="G121" s="120"/>
      <c r="H121" s="139" t="s">
        <v>285</v>
      </c>
    </row>
    <row r="122" spans="1:8" x14ac:dyDescent="0.25">
      <c r="A122" s="140" t="s">
        <v>35</v>
      </c>
      <c r="B122" s="141"/>
      <c r="C122" s="142">
        <f>+C95</f>
        <v>36.46</v>
      </c>
      <c r="D122" s="122"/>
      <c r="E122" s="122"/>
      <c r="F122" s="122"/>
      <c r="G122" s="120"/>
      <c r="H122" s="122"/>
    </row>
    <row r="123" spans="1:8" x14ac:dyDescent="0.25">
      <c r="A123" s="140" t="s">
        <v>42</v>
      </c>
      <c r="B123" s="141"/>
      <c r="C123" s="142">
        <f>+C96</f>
        <v>52.41</v>
      </c>
      <c r="D123" s="122"/>
      <c r="E123" s="122"/>
      <c r="F123" s="122"/>
      <c r="G123" s="120"/>
      <c r="H123" s="122"/>
    </row>
    <row r="124" spans="1:8" x14ac:dyDescent="0.25">
      <c r="A124" s="140" t="s">
        <v>189</v>
      </c>
      <c r="B124" s="141"/>
      <c r="C124" s="142">
        <f>+C97</f>
        <v>12.08</v>
      </c>
      <c r="D124" s="122"/>
      <c r="E124" s="122"/>
      <c r="F124" s="122">
        <v>1</v>
      </c>
      <c r="G124" s="120"/>
      <c r="H124" s="122"/>
    </row>
    <row r="125" spans="1:8" x14ac:dyDescent="0.25">
      <c r="A125" s="140" t="s">
        <v>27</v>
      </c>
      <c r="B125" s="141"/>
      <c r="C125" s="142">
        <f>+C101</f>
        <v>0.18000000000000002</v>
      </c>
      <c r="D125" s="122"/>
      <c r="E125" s="122">
        <v>1</v>
      </c>
      <c r="F125" s="122"/>
      <c r="G125" s="120"/>
      <c r="H125" s="122"/>
    </row>
    <row r="126" spans="1:8" x14ac:dyDescent="0.25">
      <c r="A126" s="140" t="s">
        <v>275</v>
      </c>
      <c r="B126" s="143">
        <v>0.25700000000000001</v>
      </c>
      <c r="C126" s="142">
        <f t="shared" ref="C126:C137" si="7">+C104</f>
        <v>8.82</v>
      </c>
      <c r="D126" s="122"/>
      <c r="E126" s="122">
        <v>1</v>
      </c>
      <c r="F126" s="122"/>
      <c r="G126" s="120"/>
      <c r="H126" s="122"/>
    </row>
    <row r="127" spans="1:8" x14ac:dyDescent="0.25">
      <c r="A127" s="140" t="s">
        <v>58</v>
      </c>
      <c r="B127" s="141"/>
      <c r="C127" s="142">
        <f t="shared" si="7"/>
        <v>79.75</v>
      </c>
      <c r="D127" s="122"/>
      <c r="E127" s="122"/>
      <c r="F127" s="122"/>
      <c r="G127" s="120"/>
      <c r="H127" s="122">
        <v>2</v>
      </c>
    </row>
    <row r="128" spans="1:8" x14ac:dyDescent="0.25">
      <c r="A128" s="140" t="s">
        <v>60</v>
      </c>
      <c r="B128" s="141"/>
      <c r="C128" s="142">
        <f t="shared" si="7"/>
        <v>3.42</v>
      </c>
      <c r="D128" s="122"/>
      <c r="E128" s="122"/>
      <c r="F128" s="122"/>
      <c r="G128" s="120"/>
      <c r="H128" s="122">
        <v>4</v>
      </c>
    </row>
    <row r="129" spans="1:8" x14ac:dyDescent="0.25">
      <c r="A129" s="140">
        <v>1335</v>
      </c>
      <c r="B129" s="141"/>
      <c r="C129" s="142">
        <f t="shared" si="7"/>
        <v>6.83</v>
      </c>
      <c r="D129" s="122"/>
      <c r="E129" s="122"/>
      <c r="F129" s="122"/>
      <c r="G129" s="120"/>
      <c r="H129" s="122">
        <v>2</v>
      </c>
    </row>
    <row r="130" spans="1:8" x14ac:dyDescent="0.25">
      <c r="A130" s="140">
        <v>1103</v>
      </c>
      <c r="B130" s="141"/>
      <c r="C130" s="142">
        <f t="shared" si="7"/>
        <v>12.08</v>
      </c>
      <c r="D130" s="122"/>
      <c r="E130" s="122"/>
      <c r="F130" s="122"/>
      <c r="G130" s="120"/>
      <c r="H130" s="122">
        <v>2</v>
      </c>
    </row>
    <row r="131" spans="1:8" x14ac:dyDescent="0.25">
      <c r="A131" s="140">
        <v>1101</v>
      </c>
      <c r="B131" s="141"/>
      <c r="C131" s="142">
        <f t="shared" si="7"/>
        <v>8.89</v>
      </c>
      <c r="D131" s="122"/>
      <c r="E131" s="122"/>
      <c r="F131" s="122"/>
      <c r="G131" s="120"/>
      <c r="H131" s="122">
        <v>2</v>
      </c>
    </row>
    <row r="132" spans="1:8" x14ac:dyDescent="0.25">
      <c r="A132" s="140">
        <v>1636</v>
      </c>
      <c r="B132" s="141"/>
      <c r="C132" s="142">
        <f t="shared" si="7"/>
        <v>3.59</v>
      </c>
      <c r="D132" s="122"/>
      <c r="E132" s="122"/>
      <c r="F132" s="122"/>
      <c r="G132" s="120"/>
      <c r="H132" s="122">
        <v>4</v>
      </c>
    </row>
    <row r="133" spans="1:8" x14ac:dyDescent="0.25">
      <c r="A133" s="140">
        <v>1520</v>
      </c>
      <c r="B133" s="141"/>
      <c r="C133" s="142">
        <f t="shared" si="7"/>
        <v>22.950000000000003</v>
      </c>
      <c r="D133" s="122"/>
      <c r="E133" s="122"/>
      <c r="F133" s="122"/>
      <c r="G133" s="120"/>
      <c r="H133" s="122">
        <v>1</v>
      </c>
    </row>
    <row r="134" spans="1:8" x14ac:dyDescent="0.25">
      <c r="A134" s="140">
        <v>1531</v>
      </c>
      <c r="B134" s="141"/>
      <c r="C134" s="142">
        <f t="shared" si="7"/>
        <v>8.48</v>
      </c>
      <c r="D134" s="122"/>
      <c r="E134" s="122"/>
      <c r="F134" s="122"/>
      <c r="G134" s="120"/>
      <c r="H134" s="122">
        <v>1</v>
      </c>
    </row>
    <row r="135" spans="1:8" x14ac:dyDescent="0.25">
      <c r="A135" s="140">
        <v>1038</v>
      </c>
      <c r="B135" s="141"/>
      <c r="C135" s="142">
        <f t="shared" si="7"/>
        <v>0.97</v>
      </c>
      <c r="D135" s="122"/>
      <c r="E135" s="122"/>
      <c r="F135" s="122"/>
      <c r="G135" s="120"/>
      <c r="H135" s="122">
        <v>4</v>
      </c>
    </row>
    <row r="136" spans="1:8" x14ac:dyDescent="0.25">
      <c r="A136" s="140">
        <v>1013</v>
      </c>
      <c r="B136" s="141"/>
      <c r="C136" s="142">
        <f t="shared" si="7"/>
        <v>3.59</v>
      </c>
      <c r="D136" s="122"/>
      <c r="E136" s="122"/>
      <c r="F136" s="122"/>
      <c r="G136" s="120"/>
      <c r="H136" s="122">
        <v>2</v>
      </c>
    </row>
    <row r="137" spans="1:8" x14ac:dyDescent="0.25">
      <c r="A137" s="140">
        <v>1201</v>
      </c>
      <c r="B137" s="141"/>
      <c r="C137" s="142">
        <f t="shared" si="7"/>
        <v>1.2</v>
      </c>
      <c r="D137" s="122"/>
      <c r="E137" s="122"/>
      <c r="F137" s="122"/>
      <c r="G137" s="120"/>
      <c r="H137" s="122">
        <v>4</v>
      </c>
    </row>
    <row r="138" spans="1:8" x14ac:dyDescent="0.25">
      <c r="A138" s="120"/>
      <c r="B138" s="120"/>
      <c r="C138" s="120"/>
      <c r="D138" s="120"/>
      <c r="E138" s="120"/>
      <c r="F138" s="120"/>
      <c r="G138" s="120"/>
      <c r="H138" s="120"/>
    </row>
    <row r="139" spans="1:8" x14ac:dyDescent="0.25">
      <c r="A139" s="140" t="s">
        <v>35</v>
      </c>
      <c r="B139" s="120"/>
      <c r="C139" s="120"/>
      <c r="D139" s="121">
        <f>+D140</f>
        <v>0</v>
      </c>
      <c r="E139" s="121">
        <f>+E140</f>
        <v>9</v>
      </c>
      <c r="F139" s="121">
        <f>+F124*C124+C122</f>
        <v>48.54</v>
      </c>
      <c r="G139" s="120"/>
      <c r="H139" s="121">
        <f>+H140</f>
        <v>290.43</v>
      </c>
    </row>
    <row r="140" spans="1:8" x14ac:dyDescent="0.25">
      <c r="A140" s="140" t="s">
        <v>42</v>
      </c>
      <c r="B140" s="120"/>
      <c r="C140" s="120"/>
      <c r="D140" s="121">
        <f>SUMPRODUCT($C$122:$C$137,D$122:D$137)</f>
        <v>0</v>
      </c>
      <c r="E140" s="121">
        <f>SUMPRODUCT($C$122:$C$137,E$122:E$137)</f>
        <v>9</v>
      </c>
      <c r="F140" s="121">
        <f>SUMPRODUCT($C$122:$C$137,F$122:F$137)+C123</f>
        <v>64.489999999999995</v>
      </c>
      <c r="G140" s="121"/>
      <c r="H140" s="121">
        <f>SUMPRODUCT($C$122:$C$137,H$122:H$137)</f>
        <v>290.43</v>
      </c>
    </row>
    <row r="143" spans="1:8" ht="15.6" x14ac:dyDescent="0.3">
      <c r="A143" s="137" t="s">
        <v>284</v>
      </c>
      <c r="B143" s="138"/>
      <c r="C143" s="139"/>
      <c r="D143" s="139" t="s">
        <v>268</v>
      </c>
      <c r="E143" s="139" t="s">
        <v>269</v>
      </c>
      <c r="F143" s="139" t="s">
        <v>271</v>
      </c>
      <c r="G143" s="120"/>
      <c r="H143" s="139" t="s">
        <v>285</v>
      </c>
    </row>
    <row r="144" spans="1:8" x14ac:dyDescent="0.25">
      <c r="A144" s="140" t="s">
        <v>35</v>
      </c>
      <c r="B144" s="141"/>
      <c r="C144" s="142">
        <f>+C122</f>
        <v>36.46</v>
      </c>
      <c r="D144" s="122"/>
      <c r="E144" s="122"/>
      <c r="F144" s="122"/>
      <c r="G144" s="120"/>
      <c r="H144" s="122"/>
    </row>
    <row r="145" spans="1:8" x14ac:dyDescent="0.25">
      <c r="A145" s="140" t="s">
        <v>42</v>
      </c>
      <c r="B145" s="141"/>
      <c r="C145" s="142">
        <f>+C123</f>
        <v>52.41</v>
      </c>
      <c r="D145" s="122"/>
      <c r="E145" s="122"/>
      <c r="F145" s="122"/>
      <c r="G145" s="120"/>
      <c r="H145" s="122"/>
    </row>
    <row r="146" spans="1:8" x14ac:dyDescent="0.25">
      <c r="A146" s="140" t="s">
        <v>189</v>
      </c>
      <c r="B146" s="141"/>
      <c r="C146" s="142">
        <f>+C124</f>
        <v>12.08</v>
      </c>
      <c r="D146" s="122"/>
      <c r="E146" s="122"/>
      <c r="F146" s="122">
        <v>1</v>
      </c>
      <c r="G146" s="120"/>
      <c r="H146" s="122"/>
    </row>
    <row r="147" spans="1:8" x14ac:dyDescent="0.25">
      <c r="A147" s="140" t="s">
        <v>58</v>
      </c>
      <c r="B147" s="141"/>
      <c r="C147" s="142">
        <f>+C127</f>
        <v>79.75</v>
      </c>
      <c r="D147" s="122"/>
      <c r="E147" s="122"/>
      <c r="F147" s="122"/>
      <c r="G147" s="120"/>
      <c r="H147" s="122">
        <v>1</v>
      </c>
    </row>
    <row r="148" spans="1:8" x14ac:dyDescent="0.25">
      <c r="A148" s="140" t="s">
        <v>60</v>
      </c>
      <c r="B148" s="141"/>
      <c r="C148" s="142">
        <f>+C128</f>
        <v>3.42</v>
      </c>
      <c r="D148" s="122"/>
      <c r="E148" s="122"/>
      <c r="F148" s="122"/>
      <c r="G148" s="120"/>
      <c r="H148" s="122">
        <v>2</v>
      </c>
    </row>
    <row r="149" spans="1:8" x14ac:dyDescent="0.25">
      <c r="A149" s="140">
        <v>1103</v>
      </c>
      <c r="B149" s="141"/>
      <c r="C149" s="142">
        <f>+C130</f>
        <v>12.08</v>
      </c>
      <c r="D149" s="122"/>
      <c r="E149" s="122"/>
      <c r="F149" s="122"/>
      <c r="G149" s="120"/>
      <c r="H149" s="122">
        <v>1</v>
      </c>
    </row>
    <row r="150" spans="1:8" x14ac:dyDescent="0.25">
      <c r="A150" s="140">
        <v>1101</v>
      </c>
      <c r="B150" s="141"/>
      <c r="C150" s="142">
        <f>+C131</f>
        <v>8.89</v>
      </c>
      <c r="D150" s="122"/>
      <c r="E150" s="122"/>
      <c r="F150" s="122"/>
      <c r="G150" s="120"/>
      <c r="H150" s="122">
        <v>1</v>
      </c>
    </row>
    <row r="151" spans="1:8" x14ac:dyDescent="0.25">
      <c r="A151" s="140">
        <v>1636</v>
      </c>
      <c r="B151" s="141"/>
      <c r="C151" s="142">
        <f>+C132</f>
        <v>3.59</v>
      </c>
      <c r="D151" s="122"/>
      <c r="E151" s="122"/>
      <c r="F151" s="122"/>
      <c r="G151" s="120"/>
      <c r="H151" s="122">
        <v>2</v>
      </c>
    </row>
    <row r="152" spans="1:8" x14ac:dyDescent="0.25">
      <c r="A152" s="140">
        <v>1520</v>
      </c>
      <c r="B152" s="141"/>
      <c r="C152" s="142">
        <f>+C133</f>
        <v>22.950000000000003</v>
      </c>
      <c r="D152" s="122"/>
      <c r="E152" s="122"/>
      <c r="F152" s="122"/>
      <c r="G152" s="120"/>
      <c r="H152" s="122">
        <v>1</v>
      </c>
    </row>
    <row r="153" spans="1:8" x14ac:dyDescent="0.25">
      <c r="A153" s="140">
        <v>1013</v>
      </c>
      <c r="B153" s="141"/>
      <c r="C153" s="142">
        <f>+C136</f>
        <v>3.59</v>
      </c>
      <c r="D153" s="122"/>
      <c r="E153" s="122"/>
      <c r="F153" s="122"/>
      <c r="G153" s="120"/>
      <c r="H153" s="122">
        <v>1</v>
      </c>
    </row>
    <row r="154" spans="1:8" x14ac:dyDescent="0.25">
      <c r="A154" s="140">
        <v>1201</v>
      </c>
      <c r="B154" s="141"/>
      <c r="C154" s="142">
        <f>+C137</f>
        <v>1.2</v>
      </c>
      <c r="D154" s="122"/>
      <c r="E154" s="122"/>
      <c r="F154" s="122"/>
      <c r="G154" s="120"/>
      <c r="H154" s="122">
        <v>1</v>
      </c>
    </row>
    <row r="155" spans="1:8" x14ac:dyDescent="0.25">
      <c r="A155" s="140" t="s">
        <v>190</v>
      </c>
      <c r="B155" s="141"/>
      <c r="C155" s="142">
        <f>+C66</f>
        <v>3.59</v>
      </c>
      <c r="D155" s="122"/>
      <c r="E155" s="122"/>
      <c r="F155" s="122"/>
      <c r="G155" s="120"/>
      <c r="H155" s="122">
        <v>1</v>
      </c>
    </row>
    <row r="156" spans="1:8" x14ac:dyDescent="0.25">
      <c r="A156" s="120"/>
      <c r="B156" s="120"/>
      <c r="C156" s="120"/>
      <c r="D156" s="120"/>
      <c r="E156" s="120"/>
      <c r="F156" s="120"/>
      <c r="G156" s="120"/>
      <c r="H156" s="120"/>
    </row>
    <row r="157" spans="1:8" x14ac:dyDescent="0.25">
      <c r="A157" s="140" t="s">
        <v>35</v>
      </c>
      <c r="B157" s="120"/>
      <c r="C157" s="120"/>
      <c r="D157" s="121">
        <f>+D158</f>
        <v>0</v>
      </c>
      <c r="E157" s="121">
        <f>+E158</f>
        <v>0</v>
      </c>
      <c r="F157" s="121">
        <f>+F146*C146+C144</f>
        <v>48.54</v>
      </c>
      <c r="G157" s="120"/>
      <c r="H157" s="121">
        <f>+H158</f>
        <v>146.07</v>
      </c>
    </row>
    <row r="158" spans="1:8" x14ac:dyDescent="0.25">
      <c r="A158" s="140" t="s">
        <v>42</v>
      </c>
      <c r="B158" s="120"/>
      <c r="C158" s="120"/>
      <c r="D158" s="121">
        <f>SUMPRODUCT($C$144:$C$155,D$144:D$155)</f>
        <v>0</v>
      </c>
      <c r="E158" s="121">
        <f>SUMPRODUCT($C$144:$C$155,E$144:E$155)</f>
        <v>0</v>
      </c>
      <c r="F158" s="121">
        <f>SUMPRODUCT($C$144:$C$155,F$144:F$155)+C145</f>
        <v>64.489999999999995</v>
      </c>
      <c r="G158" s="121"/>
      <c r="H158" s="121">
        <f>SUMPRODUCT($C$144:$C$155,H$144:H$155)</f>
        <v>146.07</v>
      </c>
    </row>
  </sheetData>
  <mergeCells count="3">
    <mergeCell ref="H2:I2"/>
    <mergeCell ref="A3:C3"/>
    <mergeCell ref="A2:C2"/>
  </mergeCells>
  <phoneticPr fontId="0" type="noConversion"/>
  <pageMargins left="0.34" right="0.75" top="0.44" bottom="0.41" header="0" footer="0"/>
  <pageSetup scale="70" orientation="landscape" horizontalDpi="180" verticalDpi="144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3"/>
  <sheetViews>
    <sheetView zoomScaleNormal="100" workbookViewId="0"/>
  </sheetViews>
  <sheetFormatPr baseColWidth="10" defaultColWidth="11.44140625" defaultRowHeight="13.2" x14ac:dyDescent="0.25"/>
  <cols>
    <col min="1" max="1" width="28.44140625" style="25" customWidth="1"/>
    <col min="2" max="2" width="7.44140625" style="25" customWidth="1"/>
    <col min="3" max="3" width="8.88671875" style="25" customWidth="1"/>
    <col min="4" max="4" width="11.5546875" style="25" customWidth="1"/>
    <col min="5" max="5" width="2.33203125" style="64" customWidth="1"/>
    <col min="6" max="6" width="12" style="25" customWidth="1"/>
    <col min="7" max="7" width="9.88671875" style="25" customWidth="1"/>
    <col min="8" max="9" width="10.44140625" style="25" customWidth="1"/>
    <col min="10" max="16384" width="11.44140625" style="25"/>
  </cols>
  <sheetData>
    <row r="1" spans="1:9" ht="68.25" customHeight="1" thickBot="1" x14ac:dyDescent="0.4">
      <c r="A1" s="75"/>
      <c r="B1" s="76"/>
      <c r="C1" s="76"/>
      <c r="D1" s="77">
        <f>ROUND(D5/0.9,0)</f>
        <v>1</v>
      </c>
      <c r="H1" s="77">
        <f>ROUND(H5/0.9,0)</f>
        <v>1</v>
      </c>
      <c r="I1" s="77">
        <f>ROUND(I5/0.9,0)</f>
        <v>2</v>
      </c>
    </row>
    <row r="2" spans="1:9" ht="18.600000000000001" x14ac:dyDescent="0.4">
      <c r="A2" s="223" t="s">
        <v>227</v>
      </c>
      <c r="B2" s="224"/>
      <c r="C2" s="225"/>
      <c r="D2" s="78" t="s">
        <v>225</v>
      </c>
      <c r="E2" s="79"/>
      <c r="F2" s="210" t="s">
        <v>165</v>
      </c>
      <c r="G2" s="211"/>
      <c r="H2" s="78" t="s">
        <v>225</v>
      </c>
      <c r="I2" s="78" t="s">
        <v>225</v>
      </c>
    </row>
    <row r="3" spans="1:9" s="84" customFormat="1" ht="45" customHeight="1" x14ac:dyDescent="0.25">
      <c r="A3" s="220" t="s">
        <v>266</v>
      </c>
      <c r="B3" s="221"/>
      <c r="C3" s="222"/>
      <c r="D3" s="80" t="str">
        <f>IF(D10=8,"8 mm.","10 mm.")</f>
        <v>10 mm.</v>
      </c>
      <c r="E3" s="81"/>
      <c r="F3" s="82"/>
      <c r="G3" s="83"/>
      <c r="H3" s="80" t="str">
        <f>IF(H10=8,"8 mm.","10 mm.")</f>
        <v>10 mm.</v>
      </c>
      <c r="I3" s="80" t="str">
        <f>IF(I10=8,"8 mm.","10 mm.")</f>
        <v>10 mm.</v>
      </c>
    </row>
    <row r="4" spans="1:9" s="85" customFormat="1" ht="13.8" thickBot="1" x14ac:dyDescent="0.3">
      <c r="A4" s="85" t="s">
        <v>166</v>
      </c>
      <c r="C4" s="86"/>
      <c r="D4" s="87" t="str">
        <f>IF(D9=1,"INCOLORO","COLOR")</f>
        <v>INCOLORO</v>
      </c>
      <c r="E4" s="88"/>
      <c r="F4" s="89"/>
      <c r="G4" s="90"/>
      <c r="H4" s="87" t="str">
        <f>IF(H9=1,"INCOLORO","COLOR")</f>
        <v>INCOLORO</v>
      </c>
      <c r="I4" s="87" t="str">
        <f>IF(I9=1,"INCOLORO","COLOR")</f>
        <v>INCOLORO</v>
      </c>
    </row>
    <row r="5" spans="1:9" ht="15.6" x14ac:dyDescent="0.3">
      <c r="A5" s="91" t="s">
        <v>167</v>
      </c>
      <c r="B5" s="92"/>
      <c r="C5" s="93"/>
      <c r="D5" s="28">
        <v>1</v>
      </c>
      <c r="E5" s="94"/>
      <c r="F5" s="95"/>
      <c r="G5" s="96"/>
      <c r="H5" s="28">
        <v>1.01</v>
      </c>
      <c r="I5" s="28">
        <v>1.72</v>
      </c>
    </row>
    <row r="6" spans="1:9" ht="15.6" x14ac:dyDescent="0.3">
      <c r="A6" s="97" t="s">
        <v>168</v>
      </c>
      <c r="B6" s="98"/>
      <c r="C6" s="99"/>
      <c r="D6" s="28">
        <v>1</v>
      </c>
      <c r="E6" s="94"/>
      <c r="F6" s="95"/>
      <c r="G6" s="96"/>
      <c r="H6" s="28">
        <v>0.55500000000000005</v>
      </c>
      <c r="I6" s="28">
        <v>0.54500000000000004</v>
      </c>
    </row>
    <row r="7" spans="1:9" ht="15.6" x14ac:dyDescent="0.3">
      <c r="A7" s="97" t="s">
        <v>169</v>
      </c>
      <c r="B7" s="98"/>
      <c r="C7" s="99"/>
      <c r="D7" s="28">
        <v>1</v>
      </c>
      <c r="E7" s="94"/>
      <c r="F7" s="23">
        <f>SUM(H7:IV7)</f>
        <v>2</v>
      </c>
      <c r="G7" s="24" t="s">
        <v>220</v>
      </c>
      <c r="H7" s="28">
        <v>1</v>
      </c>
      <c r="I7" s="28">
        <v>1</v>
      </c>
    </row>
    <row r="8" spans="1:9" ht="15.6" x14ac:dyDescent="0.3">
      <c r="A8" s="100" t="s">
        <v>226</v>
      </c>
      <c r="B8" s="98"/>
      <c r="C8" s="99"/>
      <c r="D8" s="28">
        <v>1</v>
      </c>
      <c r="E8" s="94"/>
      <c r="F8" s="23"/>
      <c r="G8" s="24"/>
      <c r="H8" s="28">
        <v>1</v>
      </c>
      <c r="I8" s="28">
        <v>1</v>
      </c>
    </row>
    <row r="9" spans="1:9" ht="15.6" x14ac:dyDescent="0.3">
      <c r="A9" s="100" t="s">
        <v>186</v>
      </c>
      <c r="B9" s="98"/>
      <c r="C9" s="99"/>
      <c r="D9" s="28">
        <v>1</v>
      </c>
      <c r="E9" s="94"/>
      <c r="F9" s="23"/>
      <c r="G9" s="24"/>
      <c r="H9" s="28">
        <v>1</v>
      </c>
      <c r="I9" s="28">
        <v>1</v>
      </c>
    </row>
    <row r="10" spans="1:9" ht="15.6" x14ac:dyDescent="0.3">
      <c r="A10" s="100" t="s">
        <v>207</v>
      </c>
      <c r="B10" s="98"/>
      <c r="C10" s="99"/>
      <c r="D10" s="28">
        <v>10</v>
      </c>
      <c r="E10" s="94"/>
      <c r="F10" s="23"/>
      <c r="G10" s="24"/>
      <c r="H10" s="28">
        <v>10</v>
      </c>
      <c r="I10" s="28">
        <v>10</v>
      </c>
    </row>
    <row r="11" spans="1:9" ht="16.2" thickBot="1" x14ac:dyDescent="0.35">
      <c r="A11" s="101" t="s">
        <v>229</v>
      </c>
      <c r="B11" s="102"/>
      <c r="C11" s="103"/>
      <c r="D11" s="104"/>
      <c r="E11" s="94"/>
      <c r="F11" s="23"/>
      <c r="G11" s="24"/>
      <c r="H11" s="104"/>
      <c r="I11" s="104"/>
    </row>
    <row r="12" spans="1:9" ht="15.6" x14ac:dyDescent="0.3">
      <c r="A12" s="105" t="s">
        <v>170</v>
      </c>
      <c r="B12" s="41"/>
      <c r="C12" s="106" t="s">
        <v>219</v>
      </c>
      <c r="D12" s="21">
        <f>+D49</f>
        <v>62.498999999999995</v>
      </c>
      <c r="E12" s="22"/>
      <c r="F12" s="23">
        <f>SUM(H12:IV12)</f>
        <v>97.956233000000026</v>
      </c>
      <c r="G12" s="24" t="s">
        <v>171</v>
      </c>
      <c r="H12" s="21">
        <f>+H49</f>
        <v>37.717282000000012</v>
      </c>
      <c r="I12" s="21">
        <f>+I49</f>
        <v>60.238951000000014</v>
      </c>
    </row>
    <row r="13" spans="1:9" ht="15.6" x14ac:dyDescent="0.3">
      <c r="A13" s="26" t="s">
        <v>172</v>
      </c>
      <c r="B13" s="20"/>
      <c r="C13" s="27"/>
      <c r="D13" s="28">
        <f>+D5*D6*D$7</f>
        <v>1</v>
      </c>
      <c r="E13" s="29"/>
      <c r="F13" s="23">
        <f>SUM(H13:IV13)</f>
        <v>1.4979500000000001</v>
      </c>
      <c r="G13" s="24" t="s">
        <v>36</v>
      </c>
      <c r="H13" s="28">
        <f>+H5*H6*H$7</f>
        <v>0.5605500000000001</v>
      </c>
      <c r="I13" s="28">
        <f>+I5*I6*I$7</f>
        <v>0.93740000000000001</v>
      </c>
    </row>
    <row r="14" spans="1:9" ht="15.6" x14ac:dyDescent="0.3">
      <c r="A14" s="26" t="s">
        <v>173</v>
      </c>
      <c r="B14" s="20"/>
      <c r="C14" s="27"/>
      <c r="D14" s="21">
        <f>+D12/D13</f>
        <v>62.498999999999995</v>
      </c>
      <c r="E14" s="22"/>
      <c r="F14" s="23">
        <f>+F12/F13</f>
        <v>65.393526486197814</v>
      </c>
      <c r="G14" s="24" t="s">
        <v>174</v>
      </c>
      <c r="H14" s="21">
        <f>+H12/H13</f>
        <v>67.286204620462058</v>
      </c>
      <c r="I14" s="21">
        <f>+I12/I13</f>
        <v>64.26173565180288</v>
      </c>
    </row>
    <row r="15" spans="1:9" ht="15.6" x14ac:dyDescent="0.3">
      <c r="A15" s="26" t="s">
        <v>175</v>
      </c>
      <c r="B15" s="20"/>
      <c r="C15" s="27"/>
      <c r="D15" s="21">
        <f>+D76</f>
        <v>57.641999999999996</v>
      </c>
      <c r="E15" s="22"/>
      <c r="F15" s="23">
        <f>SUM(H15:IV15)</f>
        <v>90.689480000000032</v>
      </c>
      <c r="G15" s="24" t="s">
        <v>171</v>
      </c>
      <c r="H15" s="21">
        <f>+H76</f>
        <v>34.963690000000014</v>
      </c>
      <c r="I15" s="21">
        <f>+I76</f>
        <v>55.725790000000011</v>
      </c>
    </row>
    <row r="16" spans="1:9" ht="15.6" x14ac:dyDescent="0.3">
      <c r="A16" s="26" t="s">
        <v>176</v>
      </c>
      <c r="B16" s="20"/>
      <c r="C16" s="27"/>
      <c r="D16" s="21">
        <f>+D15/D13</f>
        <v>57.641999999999996</v>
      </c>
      <c r="E16" s="22"/>
      <c r="F16" s="23">
        <f>+F15/F13</f>
        <v>60.542394605961498</v>
      </c>
      <c r="G16" s="24" t="s">
        <v>174</v>
      </c>
      <c r="H16" s="21">
        <f>+H15/H13</f>
        <v>62.37390063330659</v>
      </c>
      <c r="I16" s="21">
        <f>+I15/I13</f>
        <v>59.447183699594632</v>
      </c>
    </row>
    <row r="17" spans="1:9" ht="15.6" x14ac:dyDescent="0.3">
      <c r="A17" s="26" t="s">
        <v>177</v>
      </c>
      <c r="B17" s="20"/>
      <c r="C17" s="27"/>
      <c r="D17" s="21"/>
      <c r="E17" s="22"/>
      <c r="F17" s="23"/>
      <c r="G17" s="24"/>
      <c r="H17" s="21"/>
      <c r="I17" s="21"/>
    </row>
    <row r="18" spans="1:9" ht="15.6" x14ac:dyDescent="0.3">
      <c r="A18" s="30" t="s">
        <v>178</v>
      </c>
      <c r="B18" s="31"/>
      <c r="C18" s="32"/>
      <c r="D18" s="33">
        <f>+(D12-D15)/D12</f>
        <v>7.7713243411894589E-2</v>
      </c>
      <c r="E18" s="34"/>
      <c r="F18" s="35">
        <f>+(F12-F15)/F12</f>
        <v>7.4183671395366871E-2</v>
      </c>
      <c r="G18" s="36"/>
      <c r="H18" s="33">
        <f>+(H12-H15)/H12</f>
        <v>7.3006108976781434E-2</v>
      </c>
      <c r="I18" s="33">
        <f>+(I12-I15)/I12</f>
        <v>7.4920975964538339E-2</v>
      </c>
    </row>
    <row r="19" spans="1:9" ht="15.6" x14ac:dyDescent="0.3">
      <c r="A19" s="37"/>
      <c r="B19" s="31"/>
      <c r="C19" s="38"/>
      <c r="D19" s="39"/>
      <c r="E19" s="40"/>
      <c r="F19" s="39"/>
      <c r="G19" s="39"/>
      <c r="H19" s="39"/>
      <c r="I19" s="39"/>
    </row>
    <row r="20" spans="1:9" x14ac:dyDescent="0.25">
      <c r="A20" s="41" t="s">
        <v>179</v>
      </c>
      <c r="B20" s="42"/>
      <c r="C20" s="43"/>
      <c r="D20" s="44"/>
      <c r="E20" s="45"/>
      <c r="F20" s="42"/>
      <c r="G20" s="42"/>
      <c r="H20" s="44"/>
      <c r="I20" s="44"/>
    </row>
    <row r="21" spans="1:9" x14ac:dyDescent="0.25">
      <c r="A21" s="46" t="s">
        <v>180</v>
      </c>
      <c r="B21" s="47"/>
      <c r="C21" s="48" t="s">
        <v>2</v>
      </c>
      <c r="D21" s="49" t="str">
        <f>+D2</f>
        <v>PF</v>
      </c>
      <c r="E21" s="50"/>
      <c r="F21" s="51" t="s">
        <v>181</v>
      </c>
      <c r="G21" s="52" t="s">
        <v>2</v>
      </c>
      <c r="H21" s="49" t="str">
        <f>+H2</f>
        <v>PF</v>
      </c>
      <c r="I21" s="49" t="str">
        <f>+I2</f>
        <v>PF</v>
      </c>
    </row>
    <row r="22" spans="1:9" ht="15.6" x14ac:dyDescent="0.3">
      <c r="A22" s="53" t="s">
        <v>35</v>
      </c>
      <c r="B22" s="54"/>
      <c r="C22" s="55" t="s">
        <v>36</v>
      </c>
      <c r="D22" s="56">
        <f>IF(D$9=1,IF(D$10=10,((D$6*0.05)+(D$5*D$6))*D$7,0),0)</f>
        <v>1.05</v>
      </c>
      <c r="E22" s="57"/>
      <c r="F22" s="58">
        <f t="shared" ref="F22:F28" si="0">ROUNDUP(SUM(H22:IV22),1)</f>
        <v>1.6</v>
      </c>
      <c r="G22" s="59" t="s">
        <v>36</v>
      </c>
      <c r="H22" s="56">
        <f>IF(H$9=1,IF(H$10=10,((H$6*0.05)+(H$5*H$6))*H$7,0),0)</f>
        <v>0.58830000000000016</v>
      </c>
      <c r="I22" s="56">
        <f>IF(I$9=1,IF(I$10=10,((I$6*0.05)+(I$5*I$6))*I$7,0),0)</f>
        <v>0.96465000000000001</v>
      </c>
    </row>
    <row r="23" spans="1:9" ht="15.6" x14ac:dyDescent="0.3">
      <c r="A23" s="53" t="s">
        <v>42</v>
      </c>
      <c r="B23" s="54"/>
      <c r="C23" s="55" t="s">
        <v>36</v>
      </c>
      <c r="D23" s="56">
        <f>IF(D$9=2,IF(D$10=10,((D$6*0.05)+(D$5*D$6))*D$7,0),0)</f>
        <v>0</v>
      </c>
      <c r="E23" s="57"/>
      <c r="F23" s="58">
        <f t="shared" si="0"/>
        <v>0</v>
      </c>
      <c r="G23" s="59" t="s">
        <v>36</v>
      </c>
      <c r="H23" s="56">
        <f>IF(H$9=2,IF(H$10=10,((H$6*0.05)+(H$5*H$6))*H$7,0),0)</f>
        <v>0</v>
      </c>
      <c r="I23" s="56">
        <f>IF(I$9=2,IF(I$10=10,((I$6*0.05)+(I$5*I$6))*I$7,0),0)</f>
        <v>0</v>
      </c>
    </row>
    <row r="24" spans="1:9" ht="15.6" x14ac:dyDescent="0.3">
      <c r="A24" s="53" t="s">
        <v>38</v>
      </c>
      <c r="B24" s="54"/>
      <c r="C24" s="55" t="s">
        <v>36</v>
      </c>
      <c r="D24" s="56">
        <f>IF(D$9=1,IF(D$10=8,((D$6*0.05)+(D$5*D$6))*D$7,0),0)</f>
        <v>0</v>
      </c>
      <c r="E24" s="57"/>
      <c r="F24" s="58">
        <f t="shared" si="0"/>
        <v>0</v>
      </c>
      <c r="G24" s="59" t="s">
        <v>36</v>
      </c>
      <c r="H24" s="56">
        <f>IF(H$9=1,IF(H$10=8,((H$6*0.05)+(H$5*H$6))*H$7,0),0)</f>
        <v>0</v>
      </c>
      <c r="I24" s="56">
        <f>IF(I$9=1,IF(I$10=8,((I$6*0.05)+(I$5*I$6))*I$7,0),0)</f>
        <v>0</v>
      </c>
    </row>
    <row r="25" spans="1:9" ht="15.6" x14ac:dyDescent="0.3">
      <c r="A25" s="53" t="s">
        <v>43</v>
      </c>
      <c r="B25" s="54"/>
      <c r="C25" s="55" t="s">
        <v>36</v>
      </c>
      <c r="D25" s="56">
        <f>IF(D$9=2,IF(D$10=8,((D$5*D$6))*D$7,0),0)</f>
        <v>0</v>
      </c>
      <c r="E25" s="57"/>
      <c r="F25" s="58">
        <f t="shared" si="0"/>
        <v>0</v>
      </c>
      <c r="G25" s="59" t="s">
        <v>36</v>
      </c>
      <c r="H25" s="56">
        <f>IF(H$9=2,IF(H$10=8,((H$5*H$6))*H$7,0),0)</f>
        <v>0</v>
      </c>
      <c r="I25" s="56">
        <f>IF(I$9=2,IF(I$10=8,((I$5*I$6))*I$7,0),0)</f>
        <v>0</v>
      </c>
    </row>
    <row r="26" spans="1:9" ht="15.6" x14ac:dyDescent="0.3">
      <c r="A26" s="53" t="s">
        <v>189</v>
      </c>
      <c r="B26" s="54"/>
      <c r="C26" s="55" t="s">
        <v>36</v>
      </c>
      <c r="D26" s="56">
        <f>+D13</f>
        <v>1</v>
      </c>
      <c r="E26" s="57"/>
      <c r="F26" s="58">
        <f t="shared" si="0"/>
        <v>1.5</v>
      </c>
      <c r="G26" s="55" t="s">
        <v>36</v>
      </c>
      <c r="H26" s="56">
        <f>+H13</f>
        <v>0.5605500000000001</v>
      </c>
      <c r="I26" s="56">
        <f>+I13</f>
        <v>0.93740000000000001</v>
      </c>
    </row>
    <row r="27" spans="1:9" ht="15.6" x14ac:dyDescent="0.3">
      <c r="A27" s="53" t="s">
        <v>197</v>
      </c>
      <c r="B27" s="54"/>
      <c r="C27" s="55" t="s">
        <v>13</v>
      </c>
      <c r="D27" s="56">
        <f>D7*(4*D5+4*D6+(D8-1)*D6)/6</f>
        <v>1.3333333333333333</v>
      </c>
      <c r="E27" s="57"/>
      <c r="F27" s="58">
        <f t="shared" si="0"/>
        <v>2.6</v>
      </c>
      <c r="G27" s="55" t="s">
        <v>13</v>
      </c>
      <c r="H27" s="56">
        <f>H7*(4*H5+4*H6+(H8-1)*H6)/6</f>
        <v>1.0433333333333332</v>
      </c>
      <c r="I27" s="56">
        <f>I7*(4*I5+4*I6+(I8-1)*I6)/6</f>
        <v>1.51</v>
      </c>
    </row>
    <row r="28" spans="1:9" ht="15.6" x14ac:dyDescent="0.3">
      <c r="A28" s="53" t="s">
        <v>16</v>
      </c>
      <c r="B28" s="54"/>
      <c r="C28" s="55" t="s">
        <v>17</v>
      </c>
      <c r="D28" s="56">
        <f>+D27*12/20</f>
        <v>0.8</v>
      </c>
      <c r="E28" s="57"/>
      <c r="F28" s="58">
        <f t="shared" si="0"/>
        <v>1.6</v>
      </c>
      <c r="G28" s="55" t="s">
        <v>17</v>
      </c>
      <c r="H28" s="56">
        <f>+H27*12/20</f>
        <v>0.626</v>
      </c>
      <c r="I28" s="56">
        <f>+I27*12/20</f>
        <v>0.90600000000000003</v>
      </c>
    </row>
    <row r="29" spans="1:9" ht="15.6" x14ac:dyDescent="0.3">
      <c r="A29" s="53" t="s">
        <v>331</v>
      </c>
      <c r="B29" s="54">
        <v>0.2</v>
      </c>
      <c r="C29" s="55" t="s">
        <v>193</v>
      </c>
      <c r="D29" s="56">
        <f>(2*D$6+2*D5)*$B29*D$7</f>
        <v>0.8</v>
      </c>
      <c r="E29" s="57"/>
      <c r="F29" s="58">
        <f>ROUNDUP(SUM(H29:IV29)/(6*B29),1)</f>
        <v>1.3</v>
      </c>
      <c r="G29" s="55" t="s">
        <v>221</v>
      </c>
      <c r="H29" s="56">
        <f>(2*H$6+2*H5)*$B29*H$7</f>
        <v>0.626</v>
      </c>
      <c r="I29" s="56">
        <f>(2*I$6+2*I5)*$B29*I$7</f>
        <v>0.90600000000000014</v>
      </c>
    </row>
    <row r="30" spans="1:9" ht="15.6" x14ac:dyDescent="0.3">
      <c r="A30" s="53" t="s">
        <v>228</v>
      </c>
      <c r="B30" s="54"/>
      <c r="C30" s="55" t="s">
        <v>36</v>
      </c>
      <c r="D30" s="56">
        <f>IF((D11="e"),D13,IF( (D11="E"),D13,0))</f>
        <v>0</v>
      </c>
      <c r="E30" s="57"/>
      <c r="F30" s="58">
        <f>ROUNDUP(SUM(H30:IV30),1)</f>
        <v>0</v>
      </c>
      <c r="G30" s="55" t="s">
        <v>20</v>
      </c>
      <c r="H30" s="56">
        <f>IF((H11="e"),H13,IF( (H11="E"),H13,0))</f>
        <v>0</v>
      </c>
      <c r="I30" s="56">
        <f>IF((I11="e"),I13,IF( (I11="E"),I13,0))</f>
        <v>0</v>
      </c>
    </row>
    <row r="31" spans="1:9" ht="15.6" x14ac:dyDescent="0.3">
      <c r="A31" s="53" t="s">
        <v>31</v>
      </c>
      <c r="B31" s="54"/>
      <c r="C31" s="55" t="s">
        <v>29</v>
      </c>
      <c r="D31" s="56">
        <f>D$7*(2*D$5+2*D$6)/0.4</f>
        <v>10</v>
      </c>
      <c r="E31" s="57"/>
      <c r="F31" s="58">
        <f>ROUNDUP(SUM(H31:IV31),1)</f>
        <v>19.200000000000003</v>
      </c>
      <c r="G31" s="55" t="s">
        <v>29</v>
      </c>
      <c r="H31" s="56">
        <f>H$7*(2*H$5+2*H$6)/0.4</f>
        <v>7.8249999999999993</v>
      </c>
      <c r="I31" s="56">
        <f>I$7*(2*I$5+2*I$6)/0.4</f>
        <v>11.324999999999999</v>
      </c>
    </row>
    <row r="32" spans="1:9" ht="15.6" x14ac:dyDescent="0.3">
      <c r="A32" s="53" t="s">
        <v>32</v>
      </c>
      <c r="B32" s="54"/>
      <c r="C32" s="55" t="s">
        <v>29</v>
      </c>
      <c r="D32" s="56">
        <f>D$7*(2*D$5+2*D$6)/0.4</f>
        <v>10</v>
      </c>
      <c r="E32" s="57"/>
      <c r="F32" s="58">
        <f>ROUNDUP(SUM(H32:IV32),1)</f>
        <v>19.200000000000003</v>
      </c>
      <c r="G32" s="55" t="s">
        <v>29</v>
      </c>
      <c r="H32" s="56">
        <f>H$7*(2*H$5+2*H$6)/0.4</f>
        <v>7.8249999999999993</v>
      </c>
      <c r="I32" s="56">
        <f>I$7*(2*I$5+2*I$6)/0.4</f>
        <v>11.324999999999999</v>
      </c>
    </row>
    <row r="33" spans="1:9" ht="15.6" x14ac:dyDescent="0.3">
      <c r="A33" s="53" t="s">
        <v>218</v>
      </c>
      <c r="B33" s="54"/>
      <c r="C33" s="55" t="s">
        <v>50</v>
      </c>
      <c r="D33" s="56"/>
      <c r="E33" s="57"/>
      <c r="F33" s="58">
        <f>ROUNDUP(SUM(H33:IV33),1)</f>
        <v>0</v>
      </c>
      <c r="G33" s="55" t="s">
        <v>50</v>
      </c>
      <c r="H33" s="56"/>
      <c r="I33" s="56"/>
    </row>
    <row r="34" spans="1:9" ht="15.6" x14ac:dyDescent="0.3">
      <c r="A34" s="53" t="s">
        <v>198</v>
      </c>
      <c r="B34" s="54"/>
      <c r="C34" s="55" t="s">
        <v>50</v>
      </c>
      <c r="D34" s="56"/>
      <c r="E34" s="57"/>
      <c r="F34" s="58">
        <f>ROUNDUP(SUM(H34:IV34),1)</f>
        <v>0</v>
      </c>
      <c r="G34" s="55" t="s">
        <v>50</v>
      </c>
      <c r="H34" s="56"/>
      <c r="I34" s="56"/>
    </row>
    <row r="35" spans="1:9" ht="15.6" x14ac:dyDescent="0.3">
      <c r="A35" s="53" t="s">
        <v>210</v>
      </c>
      <c r="B35" s="54">
        <v>1.0129999999999999</v>
      </c>
      <c r="C35" s="55" t="s">
        <v>193</v>
      </c>
      <c r="D35" s="56"/>
      <c r="E35" s="57"/>
      <c r="F35" s="58">
        <f>ROUNDUP(SUM(H35:IV35)/(6*B35),1)</f>
        <v>0</v>
      </c>
      <c r="G35" s="55" t="s">
        <v>221</v>
      </c>
      <c r="H35" s="56"/>
      <c r="I35" s="56"/>
    </row>
    <row r="36" spans="1:9" ht="15.6" x14ac:dyDescent="0.3">
      <c r="A36" s="53" t="s">
        <v>211</v>
      </c>
      <c r="B36" s="54">
        <v>0.40799999999999997</v>
      </c>
      <c r="C36" s="55" t="s">
        <v>193</v>
      </c>
      <c r="D36" s="56"/>
      <c r="E36" s="57"/>
      <c r="F36" s="58">
        <f>ROUNDUP(SUM(H36:IV36)/(6*B36),1)</f>
        <v>0</v>
      </c>
      <c r="G36" s="55" t="s">
        <v>221</v>
      </c>
      <c r="H36" s="56"/>
      <c r="I36" s="56"/>
    </row>
    <row r="37" spans="1:9" ht="15.6" x14ac:dyDescent="0.3">
      <c r="A37" s="53" t="s">
        <v>212</v>
      </c>
      <c r="B37" s="54">
        <v>0.47799999999999998</v>
      </c>
      <c r="C37" s="55" t="s">
        <v>193</v>
      </c>
      <c r="D37" s="56"/>
      <c r="E37" s="57"/>
      <c r="F37" s="58">
        <f>ROUNDUP(SUM(H37:IV37)/(6*B37),1)</f>
        <v>0</v>
      </c>
      <c r="G37" s="55" t="s">
        <v>221</v>
      </c>
      <c r="H37" s="56"/>
      <c r="I37" s="56"/>
    </row>
    <row r="38" spans="1:9" ht="15.6" x14ac:dyDescent="0.3">
      <c r="A38" s="53" t="s">
        <v>213</v>
      </c>
      <c r="B38" s="54">
        <v>0.125</v>
      </c>
      <c r="C38" s="55" t="s">
        <v>193</v>
      </c>
      <c r="D38" s="56"/>
      <c r="E38" s="57"/>
      <c r="F38" s="58">
        <f>ROUNDUP(SUM(H38:IV38)/(6*B38),1)</f>
        <v>0</v>
      </c>
      <c r="G38" s="55" t="s">
        <v>221</v>
      </c>
      <c r="H38" s="56"/>
      <c r="I38" s="56"/>
    </row>
    <row r="39" spans="1:9" ht="15.6" x14ac:dyDescent="0.3">
      <c r="A39" s="60">
        <v>1510</v>
      </c>
      <c r="B39" s="54"/>
      <c r="C39" s="61" t="s">
        <v>29</v>
      </c>
      <c r="D39" s="56"/>
      <c r="E39" s="57"/>
      <c r="F39" s="58">
        <f t="shared" ref="F39:F45" si="1">ROUNDUP(SUM(H39:IV39),1)</f>
        <v>0</v>
      </c>
      <c r="G39" s="61" t="s">
        <v>29</v>
      </c>
      <c r="H39" s="56"/>
      <c r="I39" s="56"/>
    </row>
    <row r="40" spans="1:9" ht="15.6" x14ac:dyDescent="0.3">
      <c r="A40" s="60">
        <v>1511</v>
      </c>
      <c r="B40" s="54"/>
      <c r="C40" s="61" t="s">
        <v>29</v>
      </c>
      <c r="D40" s="56"/>
      <c r="E40" s="57"/>
      <c r="F40" s="58">
        <f t="shared" si="1"/>
        <v>0</v>
      </c>
      <c r="G40" s="61" t="s">
        <v>29</v>
      </c>
      <c r="H40" s="56"/>
      <c r="I40" s="56"/>
    </row>
    <row r="41" spans="1:9" ht="15.6" x14ac:dyDescent="0.3">
      <c r="A41" s="53" t="s">
        <v>214</v>
      </c>
      <c r="B41" s="6"/>
      <c r="C41" s="61" t="s">
        <v>29</v>
      </c>
      <c r="D41" s="56"/>
      <c r="E41" s="57"/>
      <c r="F41" s="58">
        <f t="shared" si="1"/>
        <v>0</v>
      </c>
      <c r="G41" s="61" t="s">
        <v>29</v>
      </c>
      <c r="H41" s="56"/>
      <c r="I41" s="56"/>
    </row>
    <row r="42" spans="1:9" ht="15.6" x14ac:dyDescent="0.3">
      <c r="A42" s="53" t="s">
        <v>215</v>
      </c>
      <c r="B42" s="54"/>
      <c r="C42" s="55" t="s">
        <v>29</v>
      </c>
      <c r="D42" s="56"/>
      <c r="E42" s="57"/>
      <c r="F42" s="58">
        <f t="shared" si="1"/>
        <v>0</v>
      </c>
      <c r="G42" s="55" t="s">
        <v>29</v>
      </c>
      <c r="H42" s="56"/>
      <c r="I42" s="56"/>
    </row>
    <row r="43" spans="1:9" ht="15.6" x14ac:dyDescent="0.3">
      <c r="A43" s="53" t="s">
        <v>216</v>
      </c>
      <c r="B43" s="54"/>
      <c r="C43" s="55" t="s">
        <v>29</v>
      </c>
      <c r="D43" s="56"/>
      <c r="E43" s="57"/>
      <c r="F43" s="58">
        <f t="shared" si="1"/>
        <v>0</v>
      </c>
      <c r="G43" s="55" t="s">
        <v>29</v>
      </c>
      <c r="H43" s="56"/>
      <c r="I43" s="56"/>
    </row>
    <row r="44" spans="1:9" ht="15.6" x14ac:dyDescent="0.3">
      <c r="A44" s="53">
        <v>1335</v>
      </c>
      <c r="B44" s="54"/>
      <c r="C44" s="55" t="s">
        <v>29</v>
      </c>
      <c r="D44" s="56"/>
      <c r="E44" s="57"/>
      <c r="F44" s="58">
        <f t="shared" si="1"/>
        <v>0</v>
      </c>
      <c r="G44" s="55" t="s">
        <v>29</v>
      </c>
      <c r="H44" s="56"/>
      <c r="I44" s="56"/>
    </row>
    <row r="45" spans="1:9" s="62" customFormat="1" ht="15.6" x14ac:dyDescent="0.3">
      <c r="A45" s="53" t="s">
        <v>217</v>
      </c>
      <c r="B45" s="54"/>
      <c r="C45" s="55" t="s">
        <v>29</v>
      </c>
      <c r="D45" s="56"/>
      <c r="E45" s="57"/>
      <c r="F45" s="58">
        <f t="shared" si="1"/>
        <v>0</v>
      </c>
      <c r="G45" s="55" t="s">
        <v>29</v>
      </c>
      <c r="H45" s="56"/>
      <c r="I45" s="56"/>
    </row>
    <row r="46" spans="1:9" ht="15.6" x14ac:dyDescent="0.3">
      <c r="A46" s="53"/>
      <c r="B46" s="54"/>
      <c r="C46" s="55"/>
      <c r="D46" s="56"/>
      <c r="E46" s="57"/>
      <c r="F46" s="58"/>
      <c r="G46" s="55"/>
      <c r="H46" s="56"/>
      <c r="I46" s="56"/>
    </row>
    <row r="47" spans="1:9" x14ac:dyDescent="0.25">
      <c r="C47" s="63"/>
      <c r="D47" s="63"/>
      <c r="H47" s="63"/>
      <c r="I47" s="63"/>
    </row>
    <row r="48" spans="1:9" x14ac:dyDescent="0.25">
      <c r="C48" s="65"/>
      <c r="D48" s="65"/>
      <c r="H48" s="65"/>
      <c r="I48" s="65"/>
    </row>
    <row r="49" spans="1:9" ht="15.6" x14ac:dyDescent="0.3">
      <c r="A49" s="66" t="s">
        <v>195</v>
      </c>
      <c r="B49" s="67"/>
      <c r="C49" s="68"/>
      <c r="D49" s="68">
        <f>SUM(D50:D73)</f>
        <v>62.498999999999995</v>
      </c>
      <c r="F49" s="119">
        <f t="shared" ref="F49:F73" si="2">ROUNDUP(SUM(H49:IV49),1)</f>
        <v>98</v>
      </c>
      <c r="H49" s="68">
        <f>SUM(H50:H73)</f>
        <v>37.717282000000012</v>
      </c>
      <c r="I49" s="68">
        <f>SUM(I50:I73)</f>
        <v>60.238951000000014</v>
      </c>
    </row>
    <row r="50" spans="1:9" x14ac:dyDescent="0.25">
      <c r="A50" s="53" t="s">
        <v>35</v>
      </c>
      <c r="B50" s="54"/>
      <c r="C50" s="69">
        <f>+'Costo M.P.yMat.'!C26</f>
        <v>36.46</v>
      </c>
      <c r="D50" s="56">
        <f t="shared" ref="D50:D73" si="3">+$C50*D22</f>
        <v>38.283000000000001</v>
      </c>
      <c r="F50" s="118">
        <f t="shared" si="2"/>
        <v>56.7</v>
      </c>
      <c r="H50" s="56">
        <f t="shared" ref="H50:I65" si="4">+$C50*H22</f>
        <v>21.449418000000005</v>
      </c>
      <c r="I50" s="56">
        <f t="shared" si="4"/>
        <v>35.171139000000004</v>
      </c>
    </row>
    <row r="51" spans="1:9" x14ac:dyDescent="0.25">
      <c r="A51" s="53" t="s">
        <v>42</v>
      </c>
      <c r="B51" s="54"/>
      <c r="C51" s="69">
        <f>+'Costo M.P.yMat.'!C31</f>
        <v>52.41</v>
      </c>
      <c r="D51" s="56">
        <f t="shared" si="3"/>
        <v>0</v>
      </c>
      <c r="F51" s="118">
        <f t="shared" si="2"/>
        <v>0</v>
      </c>
      <c r="H51" s="56">
        <f t="shared" si="4"/>
        <v>0</v>
      </c>
      <c r="I51" s="56">
        <f t="shared" si="4"/>
        <v>0</v>
      </c>
    </row>
    <row r="52" spans="1:9" x14ac:dyDescent="0.25">
      <c r="A52" s="53" t="s">
        <v>38</v>
      </c>
      <c r="B52" s="54"/>
      <c r="C52" s="69">
        <f>+'Costo M.P.yMat.'!C27</f>
        <v>34.18</v>
      </c>
      <c r="D52" s="56">
        <f t="shared" si="3"/>
        <v>0</v>
      </c>
      <c r="F52" s="118">
        <f t="shared" si="2"/>
        <v>0</v>
      </c>
      <c r="H52" s="56">
        <f t="shared" si="4"/>
        <v>0</v>
      </c>
      <c r="I52" s="56">
        <f t="shared" si="4"/>
        <v>0</v>
      </c>
    </row>
    <row r="53" spans="1:9" x14ac:dyDescent="0.25">
      <c r="A53" s="53" t="s">
        <v>43</v>
      </c>
      <c r="B53" s="54"/>
      <c r="C53" s="69">
        <f>+'Costo M.P.yMat.'!C32</f>
        <v>50.129999999999995</v>
      </c>
      <c r="D53" s="56">
        <f t="shared" si="3"/>
        <v>0</v>
      </c>
      <c r="F53" s="118">
        <f t="shared" si="2"/>
        <v>0</v>
      </c>
      <c r="H53" s="56">
        <f t="shared" si="4"/>
        <v>0</v>
      </c>
      <c r="I53" s="56">
        <f t="shared" si="4"/>
        <v>0</v>
      </c>
    </row>
    <row r="54" spans="1:9" x14ac:dyDescent="0.25">
      <c r="A54" s="53" t="s">
        <v>189</v>
      </c>
      <c r="B54" s="54"/>
      <c r="C54" s="69">
        <f>+'Costo M.P.yMat.'!C84</f>
        <v>12.08</v>
      </c>
      <c r="D54" s="56">
        <f t="shared" si="3"/>
        <v>12.08</v>
      </c>
      <c r="F54" s="118">
        <f t="shared" si="2"/>
        <v>18.100000000000001</v>
      </c>
      <c r="H54" s="56">
        <f t="shared" si="4"/>
        <v>6.7714440000000016</v>
      </c>
      <c r="I54" s="56">
        <f t="shared" si="4"/>
        <v>11.323792000000001</v>
      </c>
    </row>
    <row r="55" spans="1:9" x14ac:dyDescent="0.25">
      <c r="A55" s="53" t="s">
        <v>197</v>
      </c>
      <c r="B55" s="54"/>
      <c r="C55" s="69">
        <f>+'Costo M.P.yMat.'!C7</f>
        <v>2.76</v>
      </c>
      <c r="D55" s="56">
        <f t="shared" si="3"/>
        <v>3.6799999999999997</v>
      </c>
      <c r="F55" s="118">
        <f t="shared" si="2"/>
        <v>7.1</v>
      </c>
      <c r="H55" s="56">
        <f t="shared" si="4"/>
        <v>2.8795999999999995</v>
      </c>
      <c r="I55" s="56">
        <f t="shared" si="4"/>
        <v>4.1675999999999993</v>
      </c>
    </row>
    <row r="56" spans="1:9" x14ac:dyDescent="0.25">
      <c r="A56" s="53" t="s">
        <v>16</v>
      </c>
      <c r="B56" s="54"/>
      <c r="C56" s="69">
        <f>+'Costo M.P.yMat.'!C9</f>
        <v>0.75</v>
      </c>
      <c r="D56" s="56">
        <f t="shared" si="3"/>
        <v>0.60000000000000009</v>
      </c>
      <c r="F56" s="118">
        <f t="shared" si="2"/>
        <v>1.2000000000000002</v>
      </c>
      <c r="H56" s="56">
        <f t="shared" si="4"/>
        <v>0.46950000000000003</v>
      </c>
      <c r="I56" s="56">
        <f t="shared" si="4"/>
        <v>0.67949999999999999</v>
      </c>
    </row>
    <row r="57" spans="1:9" x14ac:dyDescent="0.25">
      <c r="A57" s="53" t="s">
        <v>331</v>
      </c>
      <c r="B57" s="54">
        <v>0.2</v>
      </c>
      <c r="C57" s="69">
        <f>+'Costo M.P.yMat.'!$C$89</f>
        <v>8.82</v>
      </c>
      <c r="D57" s="56">
        <f t="shared" si="3"/>
        <v>7.0560000000000009</v>
      </c>
      <c r="F57" s="118">
        <f t="shared" si="2"/>
        <v>13.6</v>
      </c>
      <c r="H57" s="56">
        <f t="shared" si="4"/>
        <v>5.5213200000000002</v>
      </c>
      <c r="I57" s="56">
        <f t="shared" si="4"/>
        <v>7.9909200000000018</v>
      </c>
    </row>
    <row r="58" spans="1:9" x14ac:dyDescent="0.25">
      <c r="A58" s="53" t="s">
        <v>228</v>
      </c>
      <c r="B58" s="54"/>
      <c r="C58" s="69">
        <f>+'Costo M.P.yMat.'!C160</f>
        <v>1.1399999999999999</v>
      </c>
      <c r="D58" s="56">
        <f>+$C58*D30</f>
        <v>0</v>
      </c>
      <c r="F58" s="118">
        <f t="shared" si="2"/>
        <v>0</v>
      </c>
      <c r="H58" s="56">
        <f>+$C58*H30</f>
        <v>0</v>
      </c>
      <c r="I58" s="56">
        <f>+$C58*I30</f>
        <v>0</v>
      </c>
    </row>
    <row r="59" spans="1:9" x14ac:dyDescent="0.25">
      <c r="A59" s="53" t="s">
        <v>31</v>
      </c>
      <c r="B59" s="54"/>
      <c r="C59" s="69">
        <f>+'Costo M.P.yMat.'!C19</f>
        <v>0.04</v>
      </c>
      <c r="D59" s="56">
        <f t="shared" si="3"/>
        <v>0.4</v>
      </c>
      <c r="F59" s="118">
        <f t="shared" si="2"/>
        <v>0.79999999999999993</v>
      </c>
      <c r="H59" s="56">
        <f t="shared" si="4"/>
        <v>0.313</v>
      </c>
      <c r="I59" s="56">
        <f t="shared" si="4"/>
        <v>0.45299999999999996</v>
      </c>
    </row>
    <row r="60" spans="1:9" x14ac:dyDescent="0.25">
      <c r="A60" s="53" t="s">
        <v>32</v>
      </c>
      <c r="B60" s="54"/>
      <c r="C60" s="69">
        <f>+'Costo M.P.yMat.'!C20</f>
        <v>0.04</v>
      </c>
      <c r="D60" s="56">
        <f t="shared" si="3"/>
        <v>0.4</v>
      </c>
      <c r="F60" s="118">
        <f t="shared" si="2"/>
        <v>0.79999999999999993</v>
      </c>
      <c r="H60" s="56">
        <f t="shared" si="4"/>
        <v>0.313</v>
      </c>
      <c r="I60" s="56">
        <f t="shared" si="4"/>
        <v>0.45299999999999996</v>
      </c>
    </row>
    <row r="61" spans="1:9" x14ac:dyDescent="0.25">
      <c r="A61" s="53" t="s">
        <v>218</v>
      </c>
      <c r="B61" s="54"/>
      <c r="C61" s="69">
        <f>+'Costo M.P.yMat.'!C40</f>
        <v>5.99</v>
      </c>
      <c r="D61" s="56">
        <f t="shared" si="3"/>
        <v>0</v>
      </c>
      <c r="F61" s="118">
        <f t="shared" si="2"/>
        <v>0</v>
      </c>
      <c r="H61" s="56">
        <f t="shared" si="4"/>
        <v>0</v>
      </c>
      <c r="I61" s="56">
        <f t="shared" si="4"/>
        <v>0</v>
      </c>
    </row>
    <row r="62" spans="1:9" x14ac:dyDescent="0.25">
      <c r="A62" s="53" t="s">
        <v>198</v>
      </c>
      <c r="B62" s="54"/>
      <c r="C62" s="69">
        <f>+'Costo M.P.yMat.'!C39</f>
        <v>5.99</v>
      </c>
      <c r="D62" s="56">
        <f t="shared" si="3"/>
        <v>0</v>
      </c>
      <c r="F62" s="118">
        <f t="shared" si="2"/>
        <v>0</v>
      </c>
      <c r="H62" s="56">
        <f t="shared" si="4"/>
        <v>0</v>
      </c>
      <c r="I62" s="56">
        <f t="shared" si="4"/>
        <v>0</v>
      </c>
    </row>
    <row r="63" spans="1:9" x14ac:dyDescent="0.25">
      <c r="A63" s="53" t="s">
        <v>210</v>
      </c>
      <c r="B63" s="54">
        <v>1.0129999999999999</v>
      </c>
      <c r="C63" s="69">
        <f>+'Costo M.P.yMat.'!$C$89</f>
        <v>8.82</v>
      </c>
      <c r="D63" s="56">
        <f t="shared" si="3"/>
        <v>0</v>
      </c>
      <c r="F63" s="118">
        <f t="shared" si="2"/>
        <v>0</v>
      </c>
      <c r="H63" s="56">
        <f t="shared" si="4"/>
        <v>0</v>
      </c>
      <c r="I63" s="56">
        <f t="shared" si="4"/>
        <v>0</v>
      </c>
    </row>
    <row r="64" spans="1:9" x14ac:dyDescent="0.25">
      <c r="A64" s="53" t="s">
        <v>211</v>
      </c>
      <c r="B64" s="54">
        <v>0.40799999999999997</v>
      </c>
      <c r="C64" s="69">
        <f>+'Costo M.P.yMat.'!$C$89</f>
        <v>8.82</v>
      </c>
      <c r="D64" s="56">
        <f t="shared" si="3"/>
        <v>0</v>
      </c>
      <c r="F64" s="118">
        <f t="shared" si="2"/>
        <v>0</v>
      </c>
      <c r="H64" s="56">
        <f t="shared" si="4"/>
        <v>0</v>
      </c>
      <c r="I64" s="56">
        <f t="shared" si="4"/>
        <v>0</v>
      </c>
    </row>
    <row r="65" spans="1:9" x14ac:dyDescent="0.25">
      <c r="A65" s="53" t="s">
        <v>212</v>
      </c>
      <c r="B65" s="54">
        <v>0.47799999999999998</v>
      </c>
      <c r="C65" s="69">
        <f>+'Costo M.P.yMat.'!$C$89</f>
        <v>8.82</v>
      </c>
      <c r="D65" s="56">
        <f t="shared" si="3"/>
        <v>0</v>
      </c>
      <c r="F65" s="118">
        <f t="shared" si="2"/>
        <v>0</v>
      </c>
      <c r="H65" s="56">
        <f t="shared" si="4"/>
        <v>0</v>
      </c>
      <c r="I65" s="56">
        <f t="shared" si="4"/>
        <v>0</v>
      </c>
    </row>
    <row r="66" spans="1:9" x14ac:dyDescent="0.25">
      <c r="A66" s="53" t="s">
        <v>213</v>
      </c>
      <c r="B66" s="54">
        <v>0.125</v>
      </c>
      <c r="C66" s="69">
        <f>+'Costo M.P.yMat.'!$C$89</f>
        <v>8.82</v>
      </c>
      <c r="D66" s="56">
        <f t="shared" si="3"/>
        <v>0</v>
      </c>
      <c r="F66" s="118">
        <f t="shared" si="2"/>
        <v>0</v>
      </c>
      <c r="H66" s="56">
        <f t="shared" ref="H66:I73" si="5">+$C66*H38</f>
        <v>0</v>
      </c>
      <c r="I66" s="56">
        <f t="shared" si="5"/>
        <v>0</v>
      </c>
    </row>
    <row r="67" spans="1:9" x14ac:dyDescent="0.25">
      <c r="A67" s="60">
        <v>1510</v>
      </c>
      <c r="B67" s="54"/>
      <c r="C67" s="69">
        <f>+'Costo M.P.yMat.'!C73</f>
        <v>27.78</v>
      </c>
      <c r="D67" s="56">
        <f t="shared" si="3"/>
        <v>0</v>
      </c>
      <c r="F67" s="118">
        <f t="shared" si="2"/>
        <v>0</v>
      </c>
      <c r="H67" s="56">
        <f t="shared" si="5"/>
        <v>0</v>
      </c>
      <c r="I67" s="56">
        <f t="shared" si="5"/>
        <v>0</v>
      </c>
    </row>
    <row r="68" spans="1:9" x14ac:dyDescent="0.25">
      <c r="A68" s="60">
        <v>1511</v>
      </c>
      <c r="B68" s="54"/>
      <c r="C68" s="69">
        <f>+'Costo M.P.yMat.'!C74</f>
        <v>16.55</v>
      </c>
      <c r="D68" s="56">
        <f t="shared" si="3"/>
        <v>0</v>
      </c>
      <c r="F68" s="118">
        <f t="shared" si="2"/>
        <v>0</v>
      </c>
      <c r="H68" s="56">
        <f t="shared" si="5"/>
        <v>0</v>
      </c>
      <c r="I68" s="56">
        <f t="shared" si="5"/>
        <v>0</v>
      </c>
    </row>
    <row r="69" spans="1:9" x14ac:dyDescent="0.25">
      <c r="A69" s="53" t="s">
        <v>214</v>
      </c>
      <c r="B69" s="6"/>
      <c r="C69" s="69">
        <f>+'Costo M.P.yMat.'!C75</f>
        <v>3.59</v>
      </c>
      <c r="D69" s="56">
        <f t="shared" si="3"/>
        <v>0</v>
      </c>
      <c r="F69" s="118">
        <f t="shared" si="2"/>
        <v>0</v>
      </c>
      <c r="H69" s="56">
        <f t="shared" si="5"/>
        <v>0</v>
      </c>
      <c r="I69" s="56">
        <f t="shared" si="5"/>
        <v>0</v>
      </c>
    </row>
    <row r="70" spans="1:9" x14ac:dyDescent="0.25">
      <c r="A70" s="53" t="s">
        <v>215</v>
      </c>
      <c r="B70" s="54"/>
      <c r="C70" s="69">
        <f>+'Costo M.P.yMat.'!C59</f>
        <v>3.8699999999999997</v>
      </c>
      <c r="D70" s="56">
        <f t="shared" si="3"/>
        <v>0</v>
      </c>
      <c r="F70" s="118">
        <f t="shared" si="2"/>
        <v>0</v>
      </c>
      <c r="H70" s="56">
        <f t="shared" si="5"/>
        <v>0</v>
      </c>
      <c r="I70" s="56">
        <f t="shared" si="5"/>
        <v>0</v>
      </c>
    </row>
    <row r="71" spans="1:9" x14ac:dyDescent="0.25">
      <c r="A71" s="53" t="s">
        <v>216</v>
      </c>
      <c r="B71" s="54"/>
      <c r="C71" s="69">
        <f>+'Costo M.P.yMat.'!C79</f>
        <v>2.76</v>
      </c>
      <c r="D71" s="56">
        <f t="shared" si="3"/>
        <v>0</v>
      </c>
      <c r="F71" s="118">
        <f t="shared" si="2"/>
        <v>0</v>
      </c>
      <c r="H71" s="56">
        <f t="shared" si="5"/>
        <v>0</v>
      </c>
      <c r="I71" s="56">
        <f t="shared" si="5"/>
        <v>0</v>
      </c>
    </row>
    <row r="72" spans="1:9" x14ac:dyDescent="0.25">
      <c r="A72" s="53">
        <v>1335</v>
      </c>
      <c r="B72" s="54"/>
      <c r="C72" s="69">
        <f>+'Costo M.P.yMat.'!C70</f>
        <v>6.83</v>
      </c>
      <c r="D72" s="56">
        <f t="shared" si="3"/>
        <v>0</v>
      </c>
      <c r="F72" s="118">
        <f t="shared" si="2"/>
        <v>0</v>
      </c>
      <c r="H72" s="56">
        <f t="shared" si="5"/>
        <v>0</v>
      </c>
      <c r="I72" s="56">
        <f t="shared" si="5"/>
        <v>0</v>
      </c>
    </row>
    <row r="73" spans="1:9" x14ac:dyDescent="0.25">
      <c r="A73" s="53" t="s">
        <v>217</v>
      </c>
      <c r="B73" s="54"/>
      <c r="C73" s="69">
        <f>+'Costo M.P.yMat.'!C51</f>
        <v>1.21</v>
      </c>
      <c r="D73" s="56">
        <f t="shared" si="3"/>
        <v>0</v>
      </c>
      <c r="F73" s="118">
        <f t="shared" si="2"/>
        <v>0</v>
      </c>
      <c r="H73" s="56">
        <f t="shared" si="5"/>
        <v>0</v>
      </c>
      <c r="I73" s="56">
        <f t="shared" si="5"/>
        <v>0</v>
      </c>
    </row>
    <row r="74" spans="1:9" x14ac:dyDescent="0.25">
      <c r="C74" s="70"/>
      <c r="D74" s="65"/>
      <c r="H74" s="65"/>
      <c r="I74" s="65"/>
    </row>
    <row r="75" spans="1:9" x14ac:dyDescent="0.25">
      <c r="C75" s="70"/>
      <c r="D75" s="65"/>
      <c r="H75" s="65"/>
      <c r="I75" s="65"/>
    </row>
    <row r="76" spans="1:9" s="72" customFormat="1" ht="15.6" x14ac:dyDescent="0.3">
      <c r="A76" s="66" t="s">
        <v>194</v>
      </c>
      <c r="B76" s="67"/>
      <c r="C76" s="68"/>
      <c r="D76" s="68">
        <f>SUM(D77:D100)</f>
        <v>57.641999999999996</v>
      </c>
      <c r="E76" s="71"/>
      <c r="F76" s="119">
        <f t="shared" ref="F76:F100" si="6">ROUNDUP(SUM(H76:IV76),1)</f>
        <v>90.699999999999989</v>
      </c>
      <c r="H76" s="68">
        <f>SUM(H77:H100)</f>
        <v>34.963690000000014</v>
      </c>
      <c r="I76" s="68">
        <f>SUM(I77:I100)</f>
        <v>55.725790000000011</v>
      </c>
    </row>
    <row r="77" spans="1:9" x14ac:dyDescent="0.25">
      <c r="A77" s="53" t="s">
        <v>35</v>
      </c>
      <c r="B77" s="54"/>
      <c r="C77" s="69">
        <f>+'Costo M.P.yMat.'!D26</f>
        <v>33</v>
      </c>
      <c r="D77" s="56">
        <f t="shared" ref="D77:D100" si="7">+$C77*D22</f>
        <v>34.65</v>
      </c>
      <c r="F77" s="118">
        <f t="shared" si="6"/>
        <v>51.300000000000004</v>
      </c>
      <c r="H77" s="56">
        <f t="shared" ref="H77:I92" si="8">+$C77*H22</f>
        <v>19.413900000000005</v>
      </c>
      <c r="I77" s="56">
        <f t="shared" si="8"/>
        <v>31.833449999999999</v>
      </c>
    </row>
    <row r="78" spans="1:9" x14ac:dyDescent="0.25">
      <c r="A78" s="53" t="s">
        <v>42</v>
      </c>
      <c r="B78" s="54"/>
      <c r="C78" s="69">
        <f>+'Costo M.P.yMat.'!D31</f>
        <v>48.4</v>
      </c>
      <c r="D78" s="56">
        <f t="shared" si="7"/>
        <v>0</v>
      </c>
      <c r="F78" s="118">
        <f t="shared" si="6"/>
        <v>0</v>
      </c>
      <c r="H78" s="56">
        <f t="shared" si="8"/>
        <v>0</v>
      </c>
      <c r="I78" s="56">
        <f t="shared" si="8"/>
        <v>0</v>
      </c>
    </row>
    <row r="79" spans="1:9" x14ac:dyDescent="0.25">
      <c r="A79" s="53" t="s">
        <v>38</v>
      </c>
      <c r="B79" s="54"/>
      <c r="C79" s="69">
        <f>+'Costo M.P.yMat.'!D27</f>
        <v>30.8</v>
      </c>
      <c r="D79" s="56">
        <f t="shared" si="7"/>
        <v>0</v>
      </c>
      <c r="F79" s="118">
        <f t="shared" si="6"/>
        <v>0</v>
      </c>
      <c r="H79" s="56">
        <f t="shared" si="8"/>
        <v>0</v>
      </c>
      <c r="I79" s="56">
        <f t="shared" si="8"/>
        <v>0</v>
      </c>
    </row>
    <row r="80" spans="1:9" x14ac:dyDescent="0.25">
      <c r="A80" s="53" t="s">
        <v>43</v>
      </c>
      <c r="B80" s="54"/>
      <c r="C80" s="69">
        <f>+'Costo M.P.yMat.'!D32</f>
        <v>46.2</v>
      </c>
      <c r="D80" s="56">
        <f t="shared" si="7"/>
        <v>0</v>
      </c>
      <c r="F80" s="118">
        <f t="shared" si="6"/>
        <v>0</v>
      </c>
      <c r="H80" s="56">
        <f t="shared" si="8"/>
        <v>0</v>
      </c>
      <c r="I80" s="56">
        <f t="shared" si="8"/>
        <v>0</v>
      </c>
    </row>
    <row r="81" spans="1:9" x14ac:dyDescent="0.25">
      <c r="A81" s="53" t="s">
        <v>189</v>
      </c>
      <c r="B81" s="54"/>
      <c r="C81" s="69">
        <f>+'Costo M.P.yMat.'!D84</f>
        <v>11</v>
      </c>
      <c r="D81" s="56">
        <f t="shared" si="7"/>
        <v>11</v>
      </c>
      <c r="F81" s="118">
        <f t="shared" si="6"/>
        <v>16.5</v>
      </c>
      <c r="H81" s="56">
        <f t="shared" si="8"/>
        <v>6.1660500000000011</v>
      </c>
      <c r="I81" s="56">
        <f t="shared" si="8"/>
        <v>10.311400000000001</v>
      </c>
    </row>
    <row r="82" spans="1:9" x14ac:dyDescent="0.25">
      <c r="A82" s="53" t="s">
        <v>197</v>
      </c>
      <c r="B82" s="54"/>
      <c r="C82" s="69">
        <f>+'Costo M.P.yMat.'!D7</f>
        <v>2.67</v>
      </c>
      <c r="D82" s="56">
        <f t="shared" si="7"/>
        <v>3.5599999999999996</v>
      </c>
      <c r="F82" s="118">
        <f t="shared" si="6"/>
        <v>6.8999999999999995</v>
      </c>
      <c r="H82" s="56">
        <f t="shared" si="8"/>
        <v>2.7856999999999998</v>
      </c>
      <c r="I82" s="56">
        <f t="shared" si="8"/>
        <v>4.0316999999999998</v>
      </c>
    </row>
    <row r="83" spans="1:9" x14ac:dyDescent="0.25">
      <c r="A83" s="53" t="s">
        <v>16</v>
      </c>
      <c r="B83" s="54"/>
      <c r="C83" s="69">
        <f>+'Costo M.P.yMat.'!D9</f>
        <v>0.72</v>
      </c>
      <c r="D83" s="56">
        <f t="shared" si="7"/>
        <v>0.57599999999999996</v>
      </c>
      <c r="F83" s="118">
        <f t="shared" si="6"/>
        <v>1.2000000000000002</v>
      </c>
      <c r="H83" s="56">
        <f t="shared" si="8"/>
        <v>0.45072000000000001</v>
      </c>
      <c r="I83" s="56">
        <f t="shared" si="8"/>
        <v>0.65232000000000001</v>
      </c>
    </row>
    <row r="84" spans="1:9" x14ac:dyDescent="0.25">
      <c r="A84" s="53" t="s">
        <v>331</v>
      </c>
      <c r="B84" s="54">
        <v>0.2</v>
      </c>
      <c r="C84" s="69">
        <f>+'Costo M.P.yMat.'!$C$89</f>
        <v>8.82</v>
      </c>
      <c r="D84" s="56">
        <f t="shared" si="7"/>
        <v>7.0560000000000009</v>
      </c>
      <c r="F84" s="118">
        <f t="shared" si="6"/>
        <v>13.6</v>
      </c>
      <c r="H84" s="56">
        <f t="shared" si="8"/>
        <v>5.5213200000000002</v>
      </c>
      <c r="I84" s="56">
        <f t="shared" si="8"/>
        <v>7.9909200000000018</v>
      </c>
    </row>
    <row r="85" spans="1:9" x14ac:dyDescent="0.25">
      <c r="A85" s="53" t="s">
        <v>228</v>
      </c>
      <c r="B85" s="54"/>
      <c r="C85" s="69">
        <f>+'Costo M.P.yMat.'!D160</f>
        <v>1.1000000000000001</v>
      </c>
      <c r="D85" s="56">
        <f>+$C85*D30</f>
        <v>0</v>
      </c>
      <c r="F85" s="118">
        <f t="shared" si="6"/>
        <v>0</v>
      </c>
      <c r="H85" s="56">
        <f>+$C85*H30</f>
        <v>0</v>
      </c>
      <c r="I85" s="56">
        <f>+$C85*I30</f>
        <v>0</v>
      </c>
    </row>
    <row r="86" spans="1:9" x14ac:dyDescent="0.25">
      <c r="A86" s="53" t="s">
        <v>31</v>
      </c>
      <c r="B86" s="54"/>
      <c r="C86" s="69">
        <f>+'Costo M.P.yMat.'!D19</f>
        <v>0.04</v>
      </c>
      <c r="D86" s="56">
        <f t="shared" si="7"/>
        <v>0.4</v>
      </c>
      <c r="F86" s="118">
        <f t="shared" si="6"/>
        <v>0.79999999999999993</v>
      </c>
      <c r="H86" s="56">
        <f t="shared" si="8"/>
        <v>0.313</v>
      </c>
      <c r="I86" s="56">
        <f t="shared" si="8"/>
        <v>0.45299999999999996</v>
      </c>
    </row>
    <row r="87" spans="1:9" x14ac:dyDescent="0.25">
      <c r="A87" s="53" t="s">
        <v>32</v>
      </c>
      <c r="B87" s="54"/>
      <c r="C87" s="69">
        <f>+'Costo M.P.yMat.'!D20</f>
        <v>0.04</v>
      </c>
      <c r="D87" s="56">
        <f t="shared" si="7"/>
        <v>0.4</v>
      </c>
      <c r="F87" s="118">
        <f t="shared" si="6"/>
        <v>0.79999999999999993</v>
      </c>
      <c r="H87" s="56">
        <f t="shared" si="8"/>
        <v>0.313</v>
      </c>
      <c r="I87" s="56">
        <f t="shared" si="8"/>
        <v>0.45299999999999996</v>
      </c>
    </row>
    <row r="88" spans="1:9" x14ac:dyDescent="0.25">
      <c r="A88" s="53" t="s">
        <v>218</v>
      </c>
      <c r="B88" s="54"/>
      <c r="C88" s="69">
        <f>+'Costo M.P.yMat.'!D40</f>
        <v>5.5</v>
      </c>
      <c r="D88" s="56">
        <f t="shared" si="7"/>
        <v>0</v>
      </c>
      <c r="F88" s="118">
        <f t="shared" si="6"/>
        <v>0</v>
      </c>
      <c r="H88" s="56">
        <f t="shared" si="8"/>
        <v>0</v>
      </c>
      <c r="I88" s="56">
        <f t="shared" si="8"/>
        <v>0</v>
      </c>
    </row>
    <row r="89" spans="1:9" x14ac:dyDescent="0.25">
      <c r="A89" s="53" t="s">
        <v>198</v>
      </c>
      <c r="B89" s="54"/>
      <c r="C89" s="69">
        <f>+'Costo M.P.yMat.'!D39</f>
        <v>5.5</v>
      </c>
      <c r="D89" s="56">
        <f t="shared" si="7"/>
        <v>0</v>
      </c>
      <c r="F89" s="118">
        <f t="shared" si="6"/>
        <v>0</v>
      </c>
      <c r="H89" s="56">
        <f t="shared" si="8"/>
        <v>0</v>
      </c>
      <c r="I89" s="56">
        <f t="shared" si="8"/>
        <v>0</v>
      </c>
    </row>
    <row r="90" spans="1:9" x14ac:dyDescent="0.25">
      <c r="A90" s="53" t="s">
        <v>210</v>
      </c>
      <c r="B90" s="54">
        <v>1.0129999999999999</v>
      </c>
      <c r="C90" s="69">
        <f>+'Costo M.P.yMat.'!$C$89</f>
        <v>8.82</v>
      </c>
      <c r="D90" s="56">
        <f t="shared" si="7"/>
        <v>0</v>
      </c>
      <c r="F90" s="118">
        <f t="shared" si="6"/>
        <v>0</v>
      </c>
      <c r="H90" s="56">
        <f t="shared" si="8"/>
        <v>0</v>
      </c>
      <c r="I90" s="56">
        <f t="shared" si="8"/>
        <v>0</v>
      </c>
    </row>
    <row r="91" spans="1:9" x14ac:dyDescent="0.25">
      <c r="A91" s="53" t="s">
        <v>211</v>
      </c>
      <c r="B91" s="54">
        <v>0.40799999999999997</v>
      </c>
      <c r="C91" s="69">
        <f>+'Costo M.P.yMat.'!$C$89</f>
        <v>8.82</v>
      </c>
      <c r="D91" s="56">
        <f t="shared" si="7"/>
        <v>0</v>
      </c>
      <c r="F91" s="118">
        <f t="shared" si="6"/>
        <v>0</v>
      </c>
      <c r="H91" s="56">
        <f t="shared" si="8"/>
        <v>0</v>
      </c>
      <c r="I91" s="56">
        <f t="shared" si="8"/>
        <v>0</v>
      </c>
    </row>
    <row r="92" spans="1:9" x14ac:dyDescent="0.25">
      <c r="A92" s="53" t="s">
        <v>212</v>
      </c>
      <c r="B92" s="54">
        <v>0.47799999999999998</v>
      </c>
      <c r="C92" s="69">
        <f>+'Costo M.P.yMat.'!$C$89</f>
        <v>8.82</v>
      </c>
      <c r="D92" s="56">
        <f t="shared" si="7"/>
        <v>0</v>
      </c>
      <c r="F92" s="118">
        <f t="shared" si="6"/>
        <v>0</v>
      </c>
      <c r="H92" s="56">
        <f t="shared" si="8"/>
        <v>0</v>
      </c>
      <c r="I92" s="56">
        <f t="shared" si="8"/>
        <v>0</v>
      </c>
    </row>
    <row r="93" spans="1:9" x14ac:dyDescent="0.25">
      <c r="A93" s="53" t="s">
        <v>213</v>
      </c>
      <c r="B93" s="54">
        <v>0.125</v>
      </c>
      <c r="C93" s="69">
        <f>+'Costo M.P.yMat.'!$C$89</f>
        <v>8.82</v>
      </c>
      <c r="D93" s="56">
        <f t="shared" si="7"/>
        <v>0</v>
      </c>
      <c r="F93" s="118">
        <f t="shared" si="6"/>
        <v>0</v>
      </c>
      <c r="H93" s="56">
        <f t="shared" ref="H93:I100" si="9">+$C93*H38</f>
        <v>0</v>
      </c>
      <c r="I93" s="56">
        <f t="shared" si="9"/>
        <v>0</v>
      </c>
    </row>
    <row r="94" spans="1:9" x14ac:dyDescent="0.25">
      <c r="A94" s="60">
        <v>1510</v>
      </c>
      <c r="B94" s="54"/>
      <c r="C94" s="69">
        <f>+'Costo M.P.yMat.'!D73</f>
        <v>25.3</v>
      </c>
      <c r="D94" s="56">
        <f t="shared" si="7"/>
        <v>0</v>
      </c>
      <c r="F94" s="118">
        <f t="shared" si="6"/>
        <v>0</v>
      </c>
      <c r="H94" s="56">
        <f t="shared" si="9"/>
        <v>0</v>
      </c>
      <c r="I94" s="56">
        <f t="shared" si="9"/>
        <v>0</v>
      </c>
    </row>
    <row r="95" spans="1:9" x14ac:dyDescent="0.25">
      <c r="A95" s="60">
        <v>1511</v>
      </c>
      <c r="B95" s="54"/>
      <c r="C95" s="69">
        <f>+'Costo M.P.yMat.'!D74</f>
        <v>15.07</v>
      </c>
      <c r="D95" s="56">
        <f t="shared" si="7"/>
        <v>0</v>
      </c>
      <c r="F95" s="118">
        <f t="shared" si="6"/>
        <v>0</v>
      </c>
      <c r="H95" s="56">
        <f t="shared" si="9"/>
        <v>0</v>
      </c>
      <c r="I95" s="56">
        <f t="shared" si="9"/>
        <v>0</v>
      </c>
    </row>
    <row r="96" spans="1:9" x14ac:dyDescent="0.25">
      <c r="A96" s="53" t="s">
        <v>214</v>
      </c>
      <c r="B96" s="6"/>
      <c r="C96" s="69">
        <f>+'Costo M.P.yMat.'!D75</f>
        <v>3.2699999999999996</v>
      </c>
      <c r="D96" s="56">
        <f t="shared" si="7"/>
        <v>0</v>
      </c>
      <c r="F96" s="118">
        <f t="shared" si="6"/>
        <v>0</v>
      </c>
      <c r="H96" s="56">
        <f t="shared" si="9"/>
        <v>0</v>
      </c>
      <c r="I96" s="56">
        <f t="shared" si="9"/>
        <v>0</v>
      </c>
    </row>
    <row r="97" spans="1:9" x14ac:dyDescent="0.25">
      <c r="A97" s="53" t="s">
        <v>215</v>
      </c>
      <c r="B97" s="54"/>
      <c r="C97" s="69">
        <f>+'Costo M.P.yMat.'!D59</f>
        <v>3.52</v>
      </c>
      <c r="D97" s="56">
        <f t="shared" si="7"/>
        <v>0</v>
      </c>
      <c r="F97" s="118">
        <f t="shared" si="6"/>
        <v>0</v>
      </c>
      <c r="H97" s="56">
        <f t="shared" si="9"/>
        <v>0</v>
      </c>
      <c r="I97" s="56">
        <f t="shared" si="9"/>
        <v>0</v>
      </c>
    </row>
    <row r="98" spans="1:9" x14ac:dyDescent="0.25">
      <c r="A98" s="53" t="s">
        <v>216</v>
      </c>
      <c r="B98" s="54"/>
      <c r="C98" s="69">
        <f>+'Costo M.P.yMat.'!D79</f>
        <v>2.5099999999999998</v>
      </c>
      <c r="D98" s="56">
        <f t="shared" si="7"/>
        <v>0</v>
      </c>
      <c r="F98" s="118">
        <f t="shared" si="6"/>
        <v>0</v>
      </c>
      <c r="H98" s="56">
        <f t="shared" si="9"/>
        <v>0</v>
      </c>
      <c r="I98" s="56">
        <f t="shared" si="9"/>
        <v>0</v>
      </c>
    </row>
    <row r="99" spans="1:9" x14ac:dyDescent="0.25">
      <c r="A99" s="53">
        <v>1335</v>
      </c>
      <c r="B99" s="54"/>
      <c r="C99" s="69">
        <f>+'Costo M.P.yMat.'!D70</f>
        <v>6.22</v>
      </c>
      <c r="D99" s="56">
        <f t="shared" si="7"/>
        <v>0</v>
      </c>
      <c r="F99" s="118">
        <f t="shared" si="6"/>
        <v>0</v>
      </c>
      <c r="H99" s="56">
        <f t="shared" si="9"/>
        <v>0</v>
      </c>
      <c r="I99" s="56">
        <f t="shared" si="9"/>
        <v>0</v>
      </c>
    </row>
    <row r="100" spans="1:9" x14ac:dyDescent="0.25">
      <c r="A100" s="53" t="s">
        <v>217</v>
      </c>
      <c r="B100" s="54"/>
      <c r="C100" s="69">
        <f>+'Costo M.P.yMat.'!D51</f>
        <v>1.1000000000000001</v>
      </c>
      <c r="D100" s="56">
        <f t="shared" si="7"/>
        <v>0</v>
      </c>
      <c r="F100" s="118">
        <f t="shared" si="6"/>
        <v>0</v>
      </c>
      <c r="H100" s="56">
        <f t="shared" si="9"/>
        <v>0</v>
      </c>
      <c r="I100" s="56">
        <f t="shared" si="9"/>
        <v>0</v>
      </c>
    </row>
    <row r="101" spans="1:9" x14ac:dyDescent="0.25">
      <c r="C101" s="73"/>
      <c r="D101" s="63"/>
      <c r="H101" s="63"/>
      <c r="I101" s="63"/>
    </row>
    <row r="102" spans="1:9" x14ac:dyDescent="0.25">
      <c r="C102" s="73"/>
      <c r="D102" s="63"/>
      <c r="H102" s="63"/>
      <c r="I102" s="63"/>
    </row>
    <row r="103" spans="1:9" x14ac:dyDescent="0.25">
      <c r="A103" s="46" t="s">
        <v>281</v>
      </c>
      <c r="B103" s="47"/>
      <c r="C103" s="48" t="s">
        <v>268</v>
      </c>
      <c r="D103" s="49" t="s">
        <v>269</v>
      </c>
      <c r="F103" s="25" t="s">
        <v>282</v>
      </c>
      <c r="G103" s="25" t="s">
        <v>283</v>
      </c>
      <c r="H103" s="63"/>
      <c r="I103" s="63"/>
    </row>
    <row r="104" spans="1:9" x14ac:dyDescent="0.25">
      <c r="A104" s="53" t="s">
        <v>35</v>
      </c>
      <c r="B104" s="69">
        <f>+C50</f>
        <v>36.46</v>
      </c>
      <c r="C104" s="132"/>
      <c r="D104" s="56"/>
      <c r="H104" s="63"/>
      <c r="I104" s="63"/>
    </row>
    <row r="105" spans="1:9" x14ac:dyDescent="0.25">
      <c r="A105" s="53" t="s">
        <v>42</v>
      </c>
      <c r="B105" s="69">
        <f t="shared" ref="B105:B127" si="10">+C51</f>
        <v>52.41</v>
      </c>
      <c r="C105" s="132"/>
      <c r="D105" s="56"/>
      <c r="H105" s="63"/>
      <c r="I105" s="63"/>
    </row>
    <row r="106" spans="1:9" x14ac:dyDescent="0.25">
      <c r="A106" s="53" t="s">
        <v>38</v>
      </c>
      <c r="B106" s="69">
        <f t="shared" si="10"/>
        <v>34.18</v>
      </c>
      <c r="C106" s="132"/>
      <c r="D106" s="56"/>
      <c r="H106" s="63"/>
      <c r="I106" s="63"/>
    </row>
    <row r="107" spans="1:9" x14ac:dyDescent="0.25">
      <c r="A107" s="53" t="s">
        <v>43</v>
      </c>
      <c r="B107" s="69">
        <f t="shared" si="10"/>
        <v>50.129999999999995</v>
      </c>
      <c r="C107" s="132"/>
      <c r="D107" s="56"/>
      <c r="H107" s="63"/>
      <c r="I107" s="63"/>
    </row>
    <row r="108" spans="1:9" x14ac:dyDescent="0.25">
      <c r="A108" s="53" t="s">
        <v>189</v>
      </c>
      <c r="B108" s="69">
        <f t="shared" si="10"/>
        <v>12.08</v>
      </c>
      <c r="C108" s="132"/>
      <c r="D108" s="56"/>
      <c r="F108" s="25">
        <v>1</v>
      </c>
    </row>
    <row r="109" spans="1:9" x14ac:dyDescent="0.25">
      <c r="A109" s="53" t="s">
        <v>197</v>
      </c>
      <c r="B109" s="69">
        <f t="shared" si="10"/>
        <v>2.76</v>
      </c>
      <c r="C109" s="132">
        <v>0.67</v>
      </c>
      <c r="D109" s="56">
        <v>0.67</v>
      </c>
      <c r="G109" s="25">
        <v>0.35</v>
      </c>
    </row>
    <row r="110" spans="1:9" x14ac:dyDescent="0.25">
      <c r="A110" s="53" t="s">
        <v>16</v>
      </c>
      <c r="B110" s="69">
        <f t="shared" si="10"/>
        <v>0.75</v>
      </c>
      <c r="C110" s="132">
        <v>0.4</v>
      </c>
      <c r="D110" s="56">
        <v>0.4</v>
      </c>
      <c r="G110" s="25">
        <v>0.2</v>
      </c>
    </row>
    <row r="111" spans="1:9" x14ac:dyDescent="0.25">
      <c r="A111" s="53" t="s">
        <v>331</v>
      </c>
      <c r="B111" s="69">
        <f t="shared" si="10"/>
        <v>8.82</v>
      </c>
      <c r="C111" s="132">
        <v>2</v>
      </c>
      <c r="D111" s="56">
        <v>2</v>
      </c>
    </row>
    <row r="112" spans="1:9" x14ac:dyDescent="0.25">
      <c r="A112" s="53" t="s">
        <v>228</v>
      </c>
      <c r="B112" s="69">
        <f t="shared" si="10"/>
        <v>1.1399999999999999</v>
      </c>
      <c r="C112" s="132"/>
      <c r="D112" s="56"/>
      <c r="F112" s="25">
        <v>1</v>
      </c>
    </row>
    <row r="113" spans="1:7" x14ac:dyDescent="0.25">
      <c r="A113" s="53" t="s">
        <v>31</v>
      </c>
      <c r="B113" s="69">
        <f t="shared" si="10"/>
        <v>0.04</v>
      </c>
      <c r="C113" s="132">
        <v>5</v>
      </c>
      <c r="D113" s="56">
        <v>5</v>
      </c>
    </row>
    <row r="114" spans="1:7" x14ac:dyDescent="0.25">
      <c r="A114" s="53" t="s">
        <v>32</v>
      </c>
      <c r="B114" s="69">
        <f t="shared" si="10"/>
        <v>0.04</v>
      </c>
      <c r="C114" s="132">
        <v>5</v>
      </c>
      <c r="D114" s="56">
        <v>5</v>
      </c>
    </row>
    <row r="115" spans="1:7" x14ac:dyDescent="0.25">
      <c r="A115" s="53" t="s">
        <v>218</v>
      </c>
      <c r="B115" s="69">
        <f t="shared" si="10"/>
        <v>5.99</v>
      </c>
      <c r="C115" s="132"/>
      <c r="D115" s="56"/>
    </row>
    <row r="116" spans="1:7" x14ac:dyDescent="0.25">
      <c r="A116" s="53" t="s">
        <v>198</v>
      </c>
      <c r="B116" s="69">
        <f t="shared" si="10"/>
        <v>5.99</v>
      </c>
      <c r="C116" s="132"/>
      <c r="D116" s="56"/>
    </row>
    <row r="117" spans="1:7" x14ac:dyDescent="0.25">
      <c r="A117" s="53" t="s">
        <v>210</v>
      </c>
      <c r="B117" s="69">
        <f t="shared" si="10"/>
        <v>8.82</v>
      </c>
      <c r="C117" s="132"/>
      <c r="D117" s="56"/>
    </row>
    <row r="118" spans="1:7" x14ac:dyDescent="0.25">
      <c r="A118" s="53" t="s">
        <v>211</v>
      </c>
      <c r="B118" s="69">
        <f t="shared" si="10"/>
        <v>8.82</v>
      </c>
      <c r="C118" s="132"/>
      <c r="D118" s="56"/>
    </row>
    <row r="119" spans="1:7" x14ac:dyDescent="0.25">
      <c r="A119" s="53" t="s">
        <v>212</v>
      </c>
      <c r="B119" s="69">
        <f t="shared" si="10"/>
        <v>8.82</v>
      </c>
      <c r="C119" s="132"/>
      <c r="D119" s="56"/>
    </row>
    <row r="120" spans="1:7" x14ac:dyDescent="0.25">
      <c r="A120" s="53" t="s">
        <v>213</v>
      </c>
      <c r="B120" s="69">
        <f t="shared" si="10"/>
        <v>8.82</v>
      </c>
      <c r="C120" s="132"/>
      <c r="D120" s="56"/>
    </row>
    <row r="121" spans="1:7" x14ac:dyDescent="0.25">
      <c r="A121" s="60">
        <v>1510</v>
      </c>
      <c r="B121" s="69">
        <f t="shared" si="10"/>
        <v>27.78</v>
      </c>
      <c r="C121" s="133"/>
      <c r="D121" s="56"/>
    </row>
    <row r="122" spans="1:7" x14ac:dyDescent="0.25">
      <c r="A122" s="60">
        <v>1511</v>
      </c>
      <c r="B122" s="69">
        <f t="shared" si="10"/>
        <v>16.55</v>
      </c>
      <c r="C122" s="133"/>
      <c r="D122" s="56"/>
    </row>
    <row r="123" spans="1:7" x14ac:dyDescent="0.25">
      <c r="A123" s="53" t="s">
        <v>214</v>
      </c>
      <c r="B123" s="69">
        <f t="shared" si="10"/>
        <v>3.59</v>
      </c>
      <c r="C123" s="133"/>
      <c r="D123" s="56"/>
    </row>
    <row r="124" spans="1:7" x14ac:dyDescent="0.25">
      <c r="A124" s="53" t="s">
        <v>215</v>
      </c>
      <c r="B124" s="69">
        <f t="shared" si="10"/>
        <v>3.8699999999999997</v>
      </c>
      <c r="C124" s="132"/>
      <c r="D124" s="56"/>
    </row>
    <row r="125" spans="1:7" x14ac:dyDescent="0.25">
      <c r="A125" s="53" t="s">
        <v>216</v>
      </c>
      <c r="B125" s="69">
        <f t="shared" si="10"/>
        <v>2.76</v>
      </c>
      <c r="C125" s="132"/>
      <c r="D125" s="56"/>
    </row>
    <row r="126" spans="1:7" x14ac:dyDescent="0.25">
      <c r="A126" s="53">
        <v>1335</v>
      </c>
      <c r="B126" s="69">
        <f t="shared" si="10"/>
        <v>6.83</v>
      </c>
      <c r="C126" s="132"/>
      <c r="D126" s="56"/>
    </row>
    <row r="127" spans="1:7" x14ac:dyDescent="0.25">
      <c r="A127" s="53" t="s">
        <v>217</v>
      </c>
      <c r="B127" s="69">
        <f t="shared" si="10"/>
        <v>1.21</v>
      </c>
      <c r="C127" s="132"/>
      <c r="D127" s="56"/>
    </row>
    <row r="128" spans="1:7" x14ac:dyDescent="0.25">
      <c r="C128" s="123">
        <f>SUMPRODUCT($B$104:$B$127,C$104:C$127)</f>
        <v>20.1892</v>
      </c>
      <c r="D128" s="123">
        <f>SUMPRODUCT($B$104:$B$127,D$104:D$127)</f>
        <v>20.1892</v>
      </c>
      <c r="F128" s="123">
        <f>SUMPRODUCT($B$104:$B$127,F$104:F$127)</f>
        <v>13.22</v>
      </c>
      <c r="G128" s="123">
        <f>SUMPRODUCT($B$104:$B$127,G$104:G$127)</f>
        <v>1.1159999999999999</v>
      </c>
    </row>
    <row r="130" spans="1:7" x14ac:dyDescent="0.25">
      <c r="A130" s="134" t="s">
        <v>35</v>
      </c>
      <c r="B130" s="135"/>
      <c r="C130" s="136">
        <f>+C128</f>
        <v>20.1892</v>
      </c>
      <c r="D130" s="136">
        <f>+D128</f>
        <v>20.1892</v>
      </c>
      <c r="E130" s="136"/>
      <c r="F130" s="136">
        <f>+F128+B104</f>
        <v>49.68</v>
      </c>
      <c r="G130" s="136">
        <f>+G128</f>
        <v>1.1159999999999999</v>
      </c>
    </row>
    <row r="131" spans="1:7" x14ac:dyDescent="0.25">
      <c r="A131" s="134" t="s">
        <v>42</v>
      </c>
      <c r="B131" s="135"/>
      <c r="C131" s="136">
        <f t="shared" ref="C131:D133" si="11">+C130</f>
        <v>20.1892</v>
      </c>
      <c r="D131" s="136">
        <f t="shared" si="11"/>
        <v>20.1892</v>
      </c>
      <c r="E131" s="136"/>
      <c r="F131" s="136">
        <f>+F128+B105</f>
        <v>65.63</v>
      </c>
      <c r="G131" s="136">
        <f>+G130</f>
        <v>1.1159999999999999</v>
      </c>
    </row>
    <row r="132" spans="1:7" x14ac:dyDescent="0.25">
      <c r="A132" s="134" t="s">
        <v>38</v>
      </c>
      <c r="B132" s="135"/>
      <c r="C132" s="136">
        <f t="shared" si="11"/>
        <v>20.1892</v>
      </c>
      <c r="D132" s="136">
        <f t="shared" si="11"/>
        <v>20.1892</v>
      </c>
      <c r="E132" s="136"/>
      <c r="F132" s="136">
        <f>+F128+B106</f>
        <v>47.4</v>
      </c>
      <c r="G132" s="136">
        <f>+G131</f>
        <v>1.1159999999999999</v>
      </c>
    </row>
    <row r="133" spans="1:7" x14ac:dyDescent="0.25">
      <c r="A133" s="134" t="s">
        <v>43</v>
      </c>
      <c r="B133" s="135"/>
      <c r="C133" s="136">
        <f t="shared" si="11"/>
        <v>20.1892</v>
      </c>
      <c r="D133" s="136">
        <f t="shared" si="11"/>
        <v>20.1892</v>
      </c>
      <c r="E133" s="136"/>
      <c r="F133" s="136">
        <f>+F128+B107</f>
        <v>63.349999999999994</v>
      </c>
      <c r="G133" s="136">
        <f>+G132</f>
        <v>1.1159999999999999</v>
      </c>
    </row>
  </sheetData>
  <mergeCells count="3">
    <mergeCell ref="F2:G2"/>
    <mergeCell ref="A3:C3"/>
    <mergeCell ref="A2:C2"/>
  </mergeCells>
  <phoneticPr fontId="0" type="noConversion"/>
  <pageMargins left="1.43" right="0.75" top="0.44" bottom="0.73" header="0" footer="0"/>
  <pageSetup scale="95" orientation="portrait" horizontalDpi="180" verticalDpi="18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8</vt:i4>
      </vt:variant>
    </vt:vector>
  </HeadingPairs>
  <TitlesOfParts>
    <vt:vector size="15" baseType="lpstr">
      <vt:lpstr>Costo M.P.yMat.</vt:lpstr>
      <vt:lpstr>FORMULAS</vt:lpstr>
      <vt:lpstr>Fachada tub.herr.</vt:lpstr>
      <vt:lpstr>P-V.Corrediza</vt:lpstr>
      <vt:lpstr>P.Batiente</vt:lpstr>
      <vt:lpstr>Pano Fijo</vt:lpstr>
      <vt:lpstr>Hoja3</vt:lpstr>
      <vt:lpstr>'Fachada tub.herr.'!Área_de_impresión</vt:lpstr>
      <vt:lpstr>P.Batiente!Área_de_impresión</vt:lpstr>
      <vt:lpstr>'Pano Fijo'!Área_de_impresión</vt:lpstr>
      <vt:lpstr>'P-V.Corrediza'!Área_de_impresión</vt:lpstr>
      <vt:lpstr>'Fachada tub.herr.'!Títulos_a_imprimir</vt:lpstr>
      <vt:lpstr>P.Batiente!Títulos_a_imprimir</vt:lpstr>
      <vt:lpstr>'Pano Fijo'!Títulos_a_imprimir</vt:lpstr>
      <vt:lpstr>'P-V.Corrediza'!Títulos_a_imprimir</vt:lpstr>
    </vt:vector>
  </TitlesOfParts>
  <Company>Cw 04331002-3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Hoffman Lijerón R.</dc:creator>
  <cp:lastModifiedBy>Rafael Antequera Caballero</cp:lastModifiedBy>
  <cp:lastPrinted>2012-06-08T21:41:36Z</cp:lastPrinted>
  <dcterms:created xsi:type="dcterms:W3CDTF">1999-11-30T09:46:06Z</dcterms:created>
  <dcterms:modified xsi:type="dcterms:W3CDTF">2024-03-18T14:02:33Z</dcterms:modified>
</cp:coreProperties>
</file>