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ata\3Packages\Streamlit\bk_statik_NYA\src\co2_calculator\documents\"/>
    </mc:Choice>
  </mc:AlternateContent>
  <xr:revisionPtr revIDLastSave="0" documentId="13_ncr:1_{4E3D9714-B7C8-49B2-82EE-A973E31DB8D4}" xr6:coauthVersionLast="47" xr6:coauthVersionMax="47" xr10:uidLastSave="{00000000-0000-0000-0000-000000000000}"/>
  <bookViews>
    <workbookView xWindow="28680" yWindow="-120" windowWidth="29040" windowHeight="15840" tabRatio="854" activeTab="9" xr2:uid="{00000000-000D-0000-FFFF-FFFF00000000}"/>
  </bookViews>
  <sheets>
    <sheet name="Anker" sheetId="15" r:id="rId1"/>
    <sheet name="Calculations Anker" sheetId="16" state="hidden" r:id="rId2"/>
    <sheet name="MIP550-Verbauwand" sheetId="11" r:id="rId3"/>
    <sheet name="Calculations MIP-VW" sheetId="1" state="hidden" r:id="rId4"/>
    <sheet name="MIP550-Dichtwand" sheetId="17" r:id="rId5"/>
    <sheet name="Calculations MIP-DW" sheetId="18" state="hidden" r:id="rId6"/>
    <sheet name="Pfahl - Pfahlwand" sheetId="12" r:id="rId7"/>
    <sheet name="Calculation Pfähle" sheetId="13" r:id="rId8"/>
    <sheet name="Schlitzwand" sheetId="20" r:id="rId9"/>
    <sheet name="Calculation SW" sheetId="21" r:id="rId10"/>
    <sheet name="EFFC" sheetId="14" state="hidden" r:id="rId11"/>
    <sheet name="EFFC (2)" sheetId="10" state="hidden" r:id="rId12"/>
  </sheets>
  <definedNames>
    <definedName name="_xlnm.Print_Area" localSheetId="6">'Pfahl - Pfahlwand'!$A$1:$H$43</definedName>
    <definedName name="_xlnm.Print_Area" localSheetId="8">Schlitzwand!$A$1:$H$48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3" l="1"/>
  <c r="C4" i="21"/>
  <c r="C14" i="21" s="1"/>
  <c r="H14" i="21" s="1"/>
  <c r="B17" i="20" s="1"/>
  <c r="C20" i="1"/>
  <c r="K10" i="13"/>
  <c r="F10" i="13"/>
  <c r="C10" i="13"/>
  <c r="I10" i="13" s="1"/>
  <c r="C10" i="21"/>
  <c r="I10" i="21" s="1"/>
  <c r="K10" i="21"/>
  <c r="BE13" i="13"/>
  <c r="BE8" i="13"/>
  <c r="BE7" i="13"/>
  <c r="BE6" i="13"/>
  <c r="BE5" i="13"/>
  <c r="BE4" i="13"/>
  <c r="BE12" i="21"/>
  <c r="BE8" i="21"/>
  <c r="BE7" i="21"/>
  <c r="BE6" i="21"/>
  <c r="BE5" i="21"/>
  <c r="BE4" i="21"/>
  <c r="I196" i="21"/>
  <c r="I203" i="21" s="1"/>
  <c r="J203" i="21" s="1"/>
  <c r="L203" i="21" s="1"/>
  <c r="J202" i="21"/>
  <c r="L202" i="21" s="1"/>
  <c r="K198" i="21"/>
  <c r="F167" i="21"/>
  <c r="C168" i="18"/>
  <c r="F164" i="21"/>
  <c r="F124" i="21"/>
  <c r="G163" i="21" s="1"/>
  <c r="F124" i="13"/>
  <c r="C102" i="21"/>
  <c r="G102" i="21" s="1"/>
  <c r="C12" i="21"/>
  <c r="I12" i="21" s="1"/>
  <c r="C11" i="21"/>
  <c r="F11" i="21" s="1"/>
  <c r="I11" i="21" s="1"/>
  <c r="C9" i="21"/>
  <c r="F9" i="21" s="1"/>
  <c r="C8" i="21"/>
  <c r="I8" i="21" s="1"/>
  <c r="C7" i="21"/>
  <c r="C6" i="21"/>
  <c r="I6" i="21" s="1"/>
  <c r="C5" i="21"/>
  <c r="C272" i="21"/>
  <c r="I260" i="21"/>
  <c r="H260" i="21"/>
  <c r="G260" i="21"/>
  <c r="F260" i="21"/>
  <c r="E260" i="21"/>
  <c r="C260" i="21"/>
  <c r="B260" i="21"/>
  <c r="M256" i="21"/>
  <c r="K242" i="21"/>
  <c r="K239" i="21"/>
  <c r="K236" i="21"/>
  <c r="K233" i="21"/>
  <c r="K223" i="21"/>
  <c r="J223" i="21"/>
  <c r="J220" i="21"/>
  <c r="L220" i="21" s="1"/>
  <c r="K219" i="21"/>
  <c r="J219" i="21"/>
  <c r="K216" i="21"/>
  <c r="J216" i="21"/>
  <c r="L216" i="21" s="1"/>
  <c r="J215" i="21"/>
  <c r="L215" i="21" s="1"/>
  <c r="J214" i="21"/>
  <c r="L214" i="21" s="1"/>
  <c r="J213" i="21"/>
  <c r="L213" i="21" s="1"/>
  <c r="J212" i="21"/>
  <c r="L212" i="21" s="1"/>
  <c r="K211" i="21"/>
  <c r="J211" i="21"/>
  <c r="K207" i="21"/>
  <c r="J207" i="21"/>
  <c r="L207" i="21" s="1"/>
  <c r="K206" i="21"/>
  <c r="J206" i="21"/>
  <c r="K196" i="21"/>
  <c r="L190" i="21"/>
  <c r="L189" i="21"/>
  <c r="G188" i="21"/>
  <c r="L251" i="21" s="1"/>
  <c r="L185" i="21"/>
  <c r="L186" i="21" s="1"/>
  <c r="C250" i="21" s="1"/>
  <c r="X136" i="21" s="1"/>
  <c r="L184" i="21"/>
  <c r="G183" i="21"/>
  <c r="F239" i="21" s="1"/>
  <c r="J239" i="21" s="1"/>
  <c r="L239" i="21" s="1"/>
  <c r="G250" i="21" s="1"/>
  <c r="X139" i="21" s="1"/>
  <c r="F183" i="21"/>
  <c r="C177" i="21"/>
  <c r="C176" i="21"/>
  <c r="L172" i="21"/>
  <c r="L171" i="21"/>
  <c r="G170" i="21"/>
  <c r="J172" i="21" s="1"/>
  <c r="L166" i="21"/>
  <c r="L165" i="21"/>
  <c r="F156" i="21"/>
  <c r="J156" i="21" s="1"/>
  <c r="F155" i="21"/>
  <c r="J155" i="21" s="1"/>
  <c r="F154" i="21"/>
  <c r="J154" i="21" s="1"/>
  <c r="F151" i="21"/>
  <c r="J151" i="21" s="1"/>
  <c r="F150" i="21"/>
  <c r="J150" i="21" s="1"/>
  <c r="F149" i="21"/>
  <c r="J149" i="21" s="1"/>
  <c r="F148" i="21"/>
  <c r="J148" i="21" s="1"/>
  <c r="F140" i="21"/>
  <c r="J140" i="21" s="1"/>
  <c r="F139" i="21"/>
  <c r="G175" i="21" s="1"/>
  <c r="F136" i="21"/>
  <c r="J136" i="21" s="1"/>
  <c r="F135" i="21"/>
  <c r="J135" i="21" s="1"/>
  <c r="F134" i="21"/>
  <c r="J134" i="21" s="1"/>
  <c r="F133" i="21"/>
  <c r="J133" i="21" s="1"/>
  <c r="U126" i="21"/>
  <c r="T126" i="21"/>
  <c r="S126" i="21"/>
  <c r="R126" i="21"/>
  <c r="U125" i="21"/>
  <c r="T125" i="21"/>
  <c r="S125" i="21"/>
  <c r="R125" i="21"/>
  <c r="U124" i="21"/>
  <c r="T124" i="21"/>
  <c r="S124" i="21"/>
  <c r="R124" i="21"/>
  <c r="L116" i="21"/>
  <c r="I251" i="21" s="1"/>
  <c r="Y141" i="21" s="1"/>
  <c r="K111" i="21"/>
  <c r="I111" i="21"/>
  <c r="G111" i="21"/>
  <c r="AC109" i="21"/>
  <c r="K107" i="21"/>
  <c r="I107" i="21"/>
  <c r="G107" i="21"/>
  <c r="AB106" i="21"/>
  <c r="T106" i="21"/>
  <c r="K106" i="21"/>
  <c r="I106" i="21"/>
  <c r="G106" i="21"/>
  <c r="AA105" i="21"/>
  <c r="K105" i="21"/>
  <c r="I105" i="21"/>
  <c r="C105" i="21"/>
  <c r="G105" i="21" s="1"/>
  <c r="AA104" i="21"/>
  <c r="AA103" i="21"/>
  <c r="AA102" i="21"/>
  <c r="K102" i="21"/>
  <c r="I102" i="21"/>
  <c r="AA101" i="21"/>
  <c r="AA100" i="21"/>
  <c r="AA99" i="21"/>
  <c r="W95" i="21"/>
  <c r="M95" i="21"/>
  <c r="K95" i="21"/>
  <c r="M94" i="21"/>
  <c r="K94" i="21"/>
  <c r="M93" i="21"/>
  <c r="K93" i="21"/>
  <c r="M92" i="21"/>
  <c r="K92" i="21"/>
  <c r="K88" i="21"/>
  <c r="K87" i="21"/>
  <c r="K86" i="21"/>
  <c r="M83" i="21"/>
  <c r="L83" i="21" s="1"/>
  <c r="K83" i="21"/>
  <c r="M82" i="21"/>
  <c r="K82" i="21"/>
  <c r="M81" i="21"/>
  <c r="L81" i="21" s="1"/>
  <c r="K81" i="21"/>
  <c r="M80" i="21"/>
  <c r="K80" i="21"/>
  <c r="K77" i="21"/>
  <c r="G77" i="21"/>
  <c r="M77" i="21" s="1"/>
  <c r="K76" i="21"/>
  <c r="I76" i="21"/>
  <c r="K75" i="21"/>
  <c r="I75" i="21"/>
  <c r="K74" i="21"/>
  <c r="I74" i="21"/>
  <c r="K70" i="21"/>
  <c r="G70" i="21"/>
  <c r="M70" i="21" s="1"/>
  <c r="K69" i="21"/>
  <c r="I69" i="21"/>
  <c r="K65" i="21"/>
  <c r="K64" i="21"/>
  <c r="K63" i="21"/>
  <c r="I63" i="21"/>
  <c r="K62" i="21"/>
  <c r="I62" i="21"/>
  <c r="K61" i="21"/>
  <c r="I61" i="21"/>
  <c r="K60" i="21"/>
  <c r="I60" i="21"/>
  <c r="K56" i="21"/>
  <c r="I56" i="21"/>
  <c r="K55" i="21"/>
  <c r="I55" i="21"/>
  <c r="K54" i="21"/>
  <c r="C54" i="21"/>
  <c r="G54" i="21" s="1"/>
  <c r="K50" i="21"/>
  <c r="K47" i="21"/>
  <c r="I47" i="21"/>
  <c r="K46" i="21"/>
  <c r="L39" i="21"/>
  <c r="I39" i="21"/>
  <c r="C76" i="21" s="1"/>
  <c r="G76" i="21" s="1"/>
  <c r="C39" i="21"/>
  <c r="F39" i="21" s="1"/>
  <c r="I38" i="21"/>
  <c r="C75" i="21" s="1"/>
  <c r="G75" i="21" s="1"/>
  <c r="M75" i="21" s="1"/>
  <c r="I37" i="21"/>
  <c r="I33" i="21"/>
  <c r="C69" i="21" s="1"/>
  <c r="G69" i="21" s="1"/>
  <c r="H29" i="21"/>
  <c r="I29" i="21" s="1"/>
  <c r="C28" i="21"/>
  <c r="I28" i="21" s="1"/>
  <c r="C27" i="21"/>
  <c r="I27" i="21" s="1"/>
  <c r="C26" i="21"/>
  <c r="I26" i="21" s="1"/>
  <c r="K25" i="21"/>
  <c r="H25" i="21"/>
  <c r="I25" i="21" s="1"/>
  <c r="C25" i="21"/>
  <c r="C29" i="21" s="1"/>
  <c r="H21" i="21"/>
  <c r="I21" i="21" s="1"/>
  <c r="C56" i="21" s="1"/>
  <c r="G56" i="21" s="1"/>
  <c r="H20" i="21"/>
  <c r="I20" i="21" s="1"/>
  <c r="L20" i="21" s="1"/>
  <c r="F20" i="21"/>
  <c r="I19" i="21"/>
  <c r="L19" i="21" s="1"/>
  <c r="K18" i="21"/>
  <c r="L18" i="21" s="1"/>
  <c r="F18" i="21"/>
  <c r="AX12" i="21"/>
  <c r="AQ12" i="21"/>
  <c r="AJ12" i="21"/>
  <c r="AB12" i="21"/>
  <c r="U12" i="21"/>
  <c r="AX8" i="21"/>
  <c r="AQ8" i="21"/>
  <c r="AF8" i="21"/>
  <c r="AJ8" i="21" s="1"/>
  <c r="X8" i="21"/>
  <c r="AB8" i="21" s="1"/>
  <c r="U8" i="21"/>
  <c r="AX7" i="21"/>
  <c r="AQ7" i="21"/>
  <c r="AJ7" i="21"/>
  <c r="AB7" i="21"/>
  <c r="U7" i="21"/>
  <c r="AX6" i="21"/>
  <c r="AQ6" i="21"/>
  <c r="AJ6" i="21"/>
  <c r="AB6" i="21"/>
  <c r="U6" i="21"/>
  <c r="AX5" i="21"/>
  <c r="AQ5" i="21"/>
  <c r="AJ5" i="21"/>
  <c r="AB5" i="21"/>
  <c r="U5" i="21"/>
  <c r="AX4" i="21"/>
  <c r="AQ4" i="21"/>
  <c r="AJ4" i="21"/>
  <c r="AB4" i="21"/>
  <c r="U4" i="21"/>
  <c r="F167" i="13"/>
  <c r="L10" i="13" l="1"/>
  <c r="I9" i="21"/>
  <c r="L9" i="21" s="1"/>
  <c r="I199" i="21"/>
  <c r="J199" i="21" s="1"/>
  <c r="L199" i="21" s="1"/>
  <c r="J196" i="21"/>
  <c r="L196" i="21" s="1"/>
  <c r="F10" i="21"/>
  <c r="L10" i="21"/>
  <c r="BE15" i="13"/>
  <c r="BE14" i="21"/>
  <c r="I200" i="21"/>
  <c r="J200" i="21" s="1"/>
  <c r="L200" i="21" s="1"/>
  <c r="F130" i="21"/>
  <c r="J130" i="21" s="1"/>
  <c r="I197" i="21"/>
  <c r="J197" i="21" s="1"/>
  <c r="L197" i="21" s="1"/>
  <c r="I201" i="21"/>
  <c r="J201" i="21" s="1"/>
  <c r="L201" i="21" s="1"/>
  <c r="L94" i="21"/>
  <c r="I198" i="21"/>
  <c r="J198" i="21" s="1"/>
  <c r="L198" i="21" s="1"/>
  <c r="F142" i="21"/>
  <c r="J142" i="21" s="1"/>
  <c r="F145" i="21"/>
  <c r="J145" i="21" s="1"/>
  <c r="C164" i="21"/>
  <c r="M56" i="21"/>
  <c r="L56" i="21" s="1"/>
  <c r="J139" i="21"/>
  <c r="F127" i="21"/>
  <c r="J127" i="21" s="1"/>
  <c r="C61" i="21"/>
  <c r="G61" i="21" s="1"/>
  <c r="M61" i="21" s="1"/>
  <c r="L26" i="21"/>
  <c r="M102" i="21"/>
  <c r="L102" i="21" s="1"/>
  <c r="L103" i="21" s="1"/>
  <c r="I247" i="21" s="1"/>
  <c r="I254" i="21" s="1"/>
  <c r="X105" i="21" s="1"/>
  <c r="Z121" i="21" s="1"/>
  <c r="L75" i="21"/>
  <c r="L173" i="21"/>
  <c r="C248" i="21" s="1"/>
  <c r="AJ14" i="21"/>
  <c r="K7" i="21" s="1"/>
  <c r="X11" i="21"/>
  <c r="C167" i="21"/>
  <c r="L167" i="21" s="1"/>
  <c r="F131" i="21"/>
  <c r="J131" i="21" s="1"/>
  <c r="B33" i="20" s="1"/>
  <c r="M69" i="21"/>
  <c r="L69" i="21" s="1"/>
  <c r="M76" i="21"/>
  <c r="L76" i="21" s="1"/>
  <c r="L70" i="21"/>
  <c r="L95" i="21"/>
  <c r="M107" i="21"/>
  <c r="L107" i="21" s="1"/>
  <c r="M111" i="21"/>
  <c r="F143" i="21"/>
  <c r="J143" i="21" s="1"/>
  <c r="L211" i="21"/>
  <c r="L217" i="21" s="1"/>
  <c r="F249" i="21" s="1"/>
  <c r="L219" i="21"/>
  <c r="L221" i="21" s="1"/>
  <c r="F250" i="21" s="1"/>
  <c r="X138" i="21" s="1"/>
  <c r="L223" i="21"/>
  <c r="F251" i="21" s="1"/>
  <c r="Y138" i="21" s="1"/>
  <c r="F126" i="21"/>
  <c r="J126" i="21" s="1"/>
  <c r="L28" i="21"/>
  <c r="C63" i="21"/>
  <c r="G63" i="21" s="1"/>
  <c r="M63" i="21" s="1"/>
  <c r="C64" i="21"/>
  <c r="G64" i="21" s="1"/>
  <c r="M64" i="21" s="1"/>
  <c r="L64" i="21" s="1"/>
  <c r="L29" i="21"/>
  <c r="C62" i="21"/>
  <c r="G62" i="21" s="1"/>
  <c r="M62" i="21" s="1"/>
  <c r="L62" i="21" s="1"/>
  <c r="L27" i="21"/>
  <c r="J137" i="21"/>
  <c r="H248" i="21" s="1"/>
  <c r="U14" i="21"/>
  <c r="K5" i="21" s="1"/>
  <c r="L33" i="21"/>
  <c r="L34" i="21" s="1"/>
  <c r="B250" i="21" s="1"/>
  <c r="X135" i="21" s="1"/>
  <c r="L206" i="21"/>
  <c r="L208" i="21" s="1"/>
  <c r="F248" i="21" s="1"/>
  <c r="F242" i="21"/>
  <c r="J242" i="21" s="1"/>
  <c r="L242" i="21" s="1"/>
  <c r="G251" i="21" s="1"/>
  <c r="Y139" i="21" s="1"/>
  <c r="Z139" i="21" s="1"/>
  <c r="AB14" i="21"/>
  <c r="K6" i="21" s="1"/>
  <c r="L6" i="21" s="1"/>
  <c r="H27" i="21"/>
  <c r="L77" i="21"/>
  <c r="L82" i="21"/>
  <c r="L93" i="21"/>
  <c r="F128" i="21"/>
  <c r="J128" i="21" s="1"/>
  <c r="J157" i="21"/>
  <c r="H251" i="21" s="1"/>
  <c r="Y140" i="21" s="1"/>
  <c r="AX14" i="21"/>
  <c r="K9" i="21" s="1"/>
  <c r="C55" i="21"/>
  <c r="G55" i="21" s="1"/>
  <c r="M55" i="21" s="1"/>
  <c r="L55" i="21" s="1"/>
  <c r="L21" i="21"/>
  <c r="L22" i="21" s="1"/>
  <c r="B248" i="21" s="1"/>
  <c r="L38" i="21"/>
  <c r="L61" i="21"/>
  <c r="M105" i="21"/>
  <c r="M108" i="21" s="1"/>
  <c r="M106" i="21"/>
  <c r="L106" i="21" s="1"/>
  <c r="F141" i="21"/>
  <c r="J141" i="21" s="1"/>
  <c r="F144" i="21"/>
  <c r="J144" i="21" s="1"/>
  <c r="J186" i="21"/>
  <c r="L191" i="21"/>
  <c r="C251" i="21" s="1"/>
  <c r="Y136" i="21" s="1"/>
  <c r="Z136" i="21" s="1"/>
  <c r="F125" i="21"/>
  <c r="J125" i="21" s="1"/>
  <c r="F129" i="21"/>
  <c r="J129" i="21" s="1"/>
  <c r="F230" i="21"/>
  <c r="J230" i="21" s="1"/>
  <c r="L230" i="21" s="1"/>
  <c r="J124" i="21"/>
  <c r="C13" i="21"/>
  <c r="I13" i="21" s="1"/>
  <c r="L13" i="21" s="1"/>
  <c r="F6" i="21"/>
  <c r="F8" i="21"/>
  <c r="I14" i="21" s="1"/>
  <c r="L12" i="21"/>
  <c r="C178" i="21"/>
  <c r="L249" i="21"/>
  <c r="C179" i="21"/>
  <c r="L179" i="21" s="1"/>
  <c r="F236" i="21"/>
  <c r="J236" i="21" s="1"/>
  <c r="L236" i="21" s="1"/>
  <c r="G249" i="21" s="1"/>
  <c r="G255" i="21" s="1"/>
  <c r="I7" i="21"/>
  <c r="F7" i="21"/>
  <c r="M112" i="21"/>
  <c r="T105" i="21" s="1"/>
  <c r="L111" i="21"/>
  <c r="L112" i="21" s="1"/>
  <c r="I250" i="21" s="1"/>
  <c r="X141" i="21" s="1"/>
  <c r="Z141" i="21" s="1"/>
  <c r="M54" i="21"/>
  <c r="L92" i="21"/>
  <c r="M96" i="21"/>
  <c r="I5" i="21"/>
  <c r="C46" i="21" s="1"/>
  <c r="F5" i="21"/>
  <c r="AQ14" i="21"/>
  <c r="K8" i="21" s="1"/>
  <c r="L8" i="21" s="1"/>
  <c r="C60" i="21"/>
  <c r="G60" i="21" s="1"/>
  <c r="M60" i="21" s="1"/>
  <c r="L25" i="21"/>
  <c r="C74" i="21"/>
  <c r="G74" i="21" s="1"/>
  <c r="M74" i="21" s="1"/>
  <c r="L37" i="21"/>
  <c r="L63" i="21"/>
  <c r="M84" i="21"/>
  <c r="L80" i="21"/>
  <c r="J152" i="21"/>
  <c r="H250" i="21" s="1"/>
  <c r="X140" i="21" s="1"/>
  <c r="Z140" i="21" s="1"/>
  <c r="L250" i="21"/>
  <c r="J185" i="21"/>
  <c r="F233" i="21"/>
  <c r="J233" i="21" s="1"/>
  <c r="L233" i="21" s="1"/>
  <c r="G248" i="21" s="1"/>
  <c r="L247" i="21"/>
  <c r="L248" i="21"/>
  <c r="F172" i="16"/>
  <c r="C172" i="16" s="1"/>
  <c r="K102" i="13"/>
  <c r="K101" i="13"/>
  <c r="K100" i="13"/>
  <c r="K88" i="13"/>
  <c r="K87" i="13"/>
  <c r="K86" i="13"/>
  <c r="K50" i="13"/>
  <c r="K47" i="13"/>
  <c r="K46" i="13"/>
  <c r="K53" i="18"/>
  <c r="K54" i="18"/>
  <c r="K55" i="18"/>
  <c r="K56" i="18"/>
  <c r="K96" i="18"/>
  <c r="K97" i="18"/>
  <c r="K98" i="18"/>
  <c r="K98" i="1"/>
  <c r="K97" i="1"/>
  <c r="K96" i="1"/>
  <c r="K56" i="1"/>
  <c r="K55" i="1"/>
  <c r="K54" i="1"/>
  <c r="K53" i="1"/>
  <c r="L84" i="21" l="1"/>
  <c r="B32" i="20"/>
  <c r="K11" i="21"/>
  <c r="L11" i="21" s="1"/>
  <c r="M71" i="21"/>
  <c r="S105" i="21" s="1"/>
  <c r="L30" i="21"/>
  <c r="B249" i="21" s="1"/>
  <c r="B255" i="21" s="1"/>
  <c r="M255" i="21" s="1"/>
  <c r="L7" i="21"/>
  <c r="J132" i="21"/>
  <c r="H247" i="21" s="1"/>
  <c r="H254" i="21" s="1"/>
  <c r="X104" i="21" s="1"/>
  <c r="Z120" i="21" s="1"/>
  <c r="Z138" i="21"/>
  <c r="M103" i="21"/>
  <c r="T99" i="21" s="1"/>
  <c r="J146" i="21"/>
  <c r="H249" i="21" s="1"/>
  <c r="H255" i="21" s="1"/>
  <c r="L105" i="21"/>
  <c r="L108" i="21" s="1"/>
  <c r="I249" i="21" s="1"/>
  <c r="L71" i="21"/>
  <c r="E250" i="21" s="1"/>
  <c r="J250" i="21" s="1"/>
  <c r="C47" i="21"/>
  <c r="G47" i="21" s="1"/>
  <c r="M47" i="21" s="1"/>
  <c r="L47" i="21" s="1"/>
  <c r="C48" i="21"/>
  <c r="G48" i="21" s="1"/>
  <c r="M48" i="21" s="1"/>
  <c r="L48" i="21" s="1"/>
  <c r="L14" i="21"/>
  <c r="L96" i="21"/>
  <c r="G247" i="21"/>
  <c r="G254" i="21" s="1"/>
  <c r="X103" i="21" s="1"/>
  <c r="Z119" i="21" s="1"/>
  <c r="B36" i="20"/>
  <c r="L40" i="21"/>
  <c r="B251" i="21" s="1"/>
  <c r="Y135" i="21" s="1"/>
  <c r="Z135" i="21" s="1"/>
  <c r="L164" i="21"/>
  <c r="L168" i="21" s="1"/>
  <c r="C50" i="21"/>
  <c r="G50" i="21" s="1"/>
  <c r="M50" i="21" s="1"/>
  <c r="L50" i="21" s="1"/>
  <c r="C86" i="21"/>
  <c r="G86" i="21" s="1"/>
  <c r="L60" i="21"/>
  <c r="L66" i="21" s="1"/>
  <c r="E249" i="21" s="1"/>
  <c r="M66" i="21"/>
  <c r="L256" i="21"/>
  <c r="L255" i="21"/>
  <c r="C65" i="21"/>
  <c r="G65" i="21" s="1"/>
  <c r="M65" i="21" s="1"/>
  <c r="L65" i="21" s="1"/>
  <c r="F176" i="21"/>
  <c r="L176" i="21" s="1"/>
  <c r="L180" i="21" s="1"/>
  <c r="C249" i="21" s="1"/>
  <c r="C255" i="21" s="1"/>
  <c r="L74" i="21"/>
  <c r="L78" i="21" s="1"/>
  <c r="E251" i="21" s="1"/>
  <c r="Y137" i="21" s="1"/>
  <c r="M78" i="21"/>
  <c r="S106" i="21" s="1"/>
  <c r="L5" i="21"/>
  <c r="G259" i="21"/>
  <c r="Y103" i="21"/>
  <c r="L54" i="21"/>
  <c r="L57" i="21" s="1"/>
  <c r="E248" i="21" s="1"/>
  <c r="J248" i="21" s="1"/>
  <c r="M57" i="21"/>
  <c r="T100" i="21"/>
  <c r="T101" i="21"/>
  <c r="T104" i="21"/>
  <c r="L254" i="21"/>
  <c r="B259" i="21"/>
  <c r="C271" i="21"/>
  <c r="I255" i="21"/>
  <c r="F255" i="21"/>
  <c r="K102" i="16"/>
  <c r="K101" i="16"/>
  <c r="K100" i="16"/>
  <c r="K60" i="16"/>
  <c r="K58" i="16"/>
  <c r="K57" i="16"/>
  <c r="X137" i="21" l="1"/>
  <c r="X146" i="21" s="1"/>
  <c r="Y99" i="21"/>
  <c r="L15" i="21"/>
  <c r="B247" i="21" s="1"/>
  <c r="B254" i="21" s="1"/>
  <c r="X99" i="21" s="1"/>
  <c r="Z99" i="21" s="1"/>
  <c r="Z137" i="21"/>
  <c r="C247" i="21"/>
  <c r="C254" i="21" s="1"/>
  <c r="X100" i="21" s="1"/>
  <c r="Z116" i="21" s="1"/>
  <c r="B34" i="20"/>
  <c r="C259" i="21"/>
  <c r="Y100" i="21"/>
  <c r="I259" i="21"/>
  <c r="Y105" i="21"/>
  <c r="G46" i="21"/>
  <c r="M46" i="21"/>
  <c r="S104" i="21"/>
  <c r="S101" i="21"/>
  <c r="S100" i="21"/>
  <c r="F259" i="21"/>
  <c r="Y102" i="21"/>
  <c r="Y146" i="21"/>
  <c r="AA146" i="21" s="1"/>
  <c r="Y95" i="21"/>
  <c r="L204" i="21"/>
  <c r="Z103" i="21"/>
  <c r="Y119" i="21"/>
  <c r="Y104" i="21"/>
  <c r="H259" i="21"/>
  <c r="E255" i="21"/>
  <c r="J249" i="21"/>
  <c r="C60" i="16"/>
  <c r="C169" i="16"/>
  <c r="F169" i="16"/>
  <c r="F132" i="16"/>
  <c r="C21" i="16"/>
  <c r="I201" i="16"/>
  <c r="I203" i="16" s="1"/>
  <c r="E23" i="16"/>
  <c r="C23" i="16"/>
  <c r="I23" i="16" s="1"/>
  <c r="B12" i="15" s="1"/>
  <c r="B30" i="20" l="1"/>
  <c r="F247" i="21"/>
  <c r="F254" i="21" s="1"/>
  <c r="X102" i="21" s="1"/>
  <c r="Z118" i="21" s="1"/>
  <c r="B35" i="20"/>
  <c r="Z146" i="21"/>
  <c r="AB99" i="21"/>
  <c r="AC106" i="21"/>
  <c r="AC99" i="21"/>
  <c r="Z115" i="21"/>
  <c r="Y115" i="21"/>
  <c r="G87" i="21"/>
  <c r="M87" i="21" s="1"/>
  <c r="L87" i="21" s="1"/>
  <c r="M86" i="21"/>
  <c r="G88" i="21"/>
  <c r="M88" i="21" s="1"/>
  <c r="L88" i="21" s="1"/>
  <c r="G89" i="21"/>
  <c r="M89" i="21" s="1"/>
  <c r="L89" i="21" s="1"/>
  <c r="Y116" i="21"/>
  <c r="Z100" i="21"/>
  <c r="Y121" i="21"/>
  <c r="Z105" i="21"/>
  <c r="Y120" i="21"/>
  <c r="Z104" i="21"/>
  <c r="M51" i="21"/>
  <c r="L46" i="21"/>
  <c r="L51" i="21" s="1"/>
  <c r="B31" i="20" s="1"/>
  <c r="E259" i="21"/>
  <c r="Y101" i="21"/>
  <c r="AC104" i="21"/>
  <c r="AB104" i="21"/>
  <c r="I204" i="16"/>
  <c r="I205" i="16"/>
  <c r="I202" i="16"/>
  <c r="I206" i="16"/>
  <c r="C22" i="16"/>
  <c r="I21" i="16"/>
  <c r="I197" i="18"/>
  <c r="F168" i="18"/>
  <c r="F165" i="18"/>
  <c r="F128" i="18"/>
  <c r="F130" i="18" s="1"/>
  <c r="J130" i="18" s="1"/>
  <c r="C96" i="18"/>
  <c r="G96" i="18" s="1"/>
  <c r="M96" i="18" s="1"/>
  <c r="H22" i="18"/>
  <c r="I22" i="18" s="1"/>
  <c r="H20" i="18"/>
  <c r="I20" i="18" s="1"/>
  <c r="I21" i="18"/>
  <c r="C20" i="18"/>
  <c r="C258" i="18"/>
  <c r="I246" i="18"/>
  <c r="H246" i="18"/>
  <c r="G246" i="18"/>
  <c r="F246" i="18"/>
  <c r="E246" i="18"/>
  <c r="C246" i="18"/>
  <c r="B246" i="18"/>
  <c r="M242" i="18"/>
  <c r="F233" i="18"/>
  <c r="K228" i="18"/>
  <c r="K225" i="18"/>
  <c r="K219" i="18"/>
  <c r="K216" i="18"/>
  <c r="L209" i="18"/>
  <c r="F237" i="18" s="1"/>
  <c r="K209" i="18"/>
  <c r="J209" i="18"/>
  <c r="L206" i="18"/>
  <c r="J206" i="18"/>
  <c r="K205" i="18"/>
  <c r="J205" i="18"/>
  <c r="L205" i="18" s="1"/>
  <c r="I201" i="18"/>
  <c r="J201" i="18" s="1"/>
  <c r="L201" i="18" s="1"/>
  <c r="K197" i="18"/>
  <c r="J197" i="18"/>
  <c r="L197" i="18" s="1"/>
  <c r="I202" i="18"/>
  <c r="J202" i="18" s="1"/>
  <c r="L202" i="18" s="1"/>
  <c r="K193" i="18"/>
  <c r="J193" i="18"/>
  <c r="L193" i="18" s="1"/>
  <c r="K192" i="18"/>
  <c r="J192" i="18"/>
  <c r="L192" i="18" s="1"/>
  <c r="J189" i="18"/>
  <c r="L189" i="18" s="1"/>
  <c r="L188" i="18"/>
  <c r="J188" i="18"/>
  <c r="J187" i="18"/>
  <c r="L187" i="18" s="1"/>
  <c r="L186" i="18"/>
  <c r="K186" i="18"/>
  <c r="J186" i="18"/>
  <c r="K185" i="18"/>
  <c r="J185" i="18"/>
  <c r="L185" i="18" s="1"/>
  <c r="L190" i="18" s="1"/>
  <c r="L179" i="18"/>
  <c r="L178" i="18"/>
  <c r="L180" i="18" s="1"/>
  <c r="C237" i="18" s="1"/>
  <c r="X125" i="18" s="1"/>
  <c r="G177" i="18"/>
  <c r="L237" i="18" s="1"/>
  <c r="L174" i="18"/>
  <c r="J174" i="18"/>
  <c r="L173" i="18"/>
  <c r="L175" i="18" s="1"/>
  <c r="C236" i="18" s="1"/>
  <c r="W125" i="18" s="1"/>
  <c r="G172" i="18"/>
  <c r="L236" i="18" s="1"/>
  <c r="F172" i="18"/>
  <c r="L161" i="18"/>
  <c r="L160" i="18"/>
  <c r="L162" i="18" s="1"/>
  <c r="C234" i="18" s="1"/>
  <c r="G159" i="18"/>
  <c r="L234" i="18" s="1"/>
  <c r="J146" i="18"/>
  <c r="H237" i="18" s="1"/>
  <c r="X129" i="18" s="1"/>
  <c r="J145" i="18"/>
  <c r="F145" i="18"/>
  <c r="F144" i="18"/>
  <c r="J144" i="18" s="1"/>
  <c r="J143" i="18"/>
  <c r="F143" i="18"/>
  <c r="J140" i="18"/>
  <c r="F140" i="18"/>
  <c r="F139" i="18"/>
  <c r="J139" i="18" s="1"/>
  <c r="J138" i="18"/>
  <c r="F138" i="18"/>
  <c r="F137" i="18"/>
  <c r="J137" i="18" s="1"/>
  <c r="J132" i="18"/>
  <c r="F131" i="18"/>
  <c r="J131" i="18" s="1"/>
  <c r="F134" i="18"/>
  <c r="J134" i="18" s="1"/>
  <c r="X127" i="18"/>
  <c r="J125" i="18"/>
  <c r="J124" i="18"/>
  <c r="J126" i="18" s="1"/>
  <c r="H234" i="18" s="1"/>
  <c r="J123" i="18"/>
  <c r="J122" i="18"/>
  <c r="E120" i="18"/>
  <c r="F119" i="18" s="1"/>
  <c r="J119" i="18" s="1"/>
  <c r="J118" i="18"/>
  <c r="F118" i="18"/>
  <c r="J116" i="18"/>
  <c r="F116" i="18"/>
  <c r="T115" i="18"/>
  <c r="S115" i="18"/>
  <c r="R115" i="18"/>
  <c r="Q115" i="18"/>
  <c r="T114" i="18"/>
  <c r="S114" i="18"/>
  <c r="R114" i="18"/>
  <c r="Q114" i="18"/>
  <c r="J114" i="18"/>
  <c r="F114" i="18"/>
  <c r="T113" i="18"/>
  <c r="S113" i="18"/>
  <c r="R113" i="18"/>
  <c r="Q113" i="18"/>
  <c r="L107" i="18"/>
  <c r="I237" i="18" s="1"/>
  <c r="X130" i="18" s="1"/>
  <c r="K102" i="18"/>
  <c r="I102" i="18"/>
  <c r="G102" i="18"/>
  <c r="AB100" i="18"/>
  <c r="I98" i="18"/>
  <c r="G98" i="18"/>
  <c r="M98" i="18" s="1"/>
  <c r="L98" i="18" s="1"/>
  <c r="AA97" i="18"/>
  <c r="S97" i="18"/>
  <c r="I97" i="18"/>
  <c r="G97" i="18"/>
  <c r="M97" i="18" s="1"/>
  <c r="Z96" i="18"/>
  <c r="I96" i="18"/>
  <c r="Z95" i="18"/>
  <c r="Z94" i="18"/>
  <c r="Z93" i="18"/>
  <c r="K93" i="18"/>
  <c r="I93" i="18"/>
  <c r="C93" i="18"/>
  <c r="G93" i="18" s="1"/>
  <c r="M93" i="18" s="1"/>
  <c r="L93" i="18" s="1"/>
  <c r="Z92" i="18"/>
  <c r="K92" i="18"/>
  <c r="I92" i="18"/>
  <c r="G92" i="18"/>
  <c r="M92" i="18" s="1"/>
  <c r="L92" i="18" s="1"/>
  <c r="Z91" i="18"/>
  <c r="K91" i="18"/>
  <c r="I91" i="18"/>
  <c r="G91" i="18"/>
  <c r="M91" i="18" s="1"/>
  <c r="Z90" i="18"/>
  <c r="V86" i="18"/>
  <c r="M86" i="18"/>
  <c r="K86" i="18"/>
  <c r="L86" i="18" s="1"/>
  <c r="M85" i="18"/>
  <c r="K85" i="18"/>
  <c r="L85" i="18" s="1"/>
  <c r="M84" i="18"/>
  <c r="L84" i="18" s="1"/>
  <c r="K84" i="18"/>
  <c r="M83" i="18"/>
  <c r="M87" i="18" s="1"/>
  <c r="L83" i="18"/>
  <c r="L87" i="18" s="1"/>
  <c r="K83" i="18"/>
  <c r="K80" i="18"/>
  <c r="K79" i="18"/>
  <c r="K78" i="18"/>
  <c r="K77" i="18"/>
  <c r="M74" i="18"/>
  <c r="L74" i="18"/>
  <c r="K74" i="18"/>
  <c r="M73" i="18"/>
  <c r="K73" i="18"/>
  <c r="L73" i="18" s="1"/>
  <c r="M72" i="18"/>
  <c r="K72" i="18"/>
  <c r="L72" i="18" s="1"/>
  <c r="M71" i="18"/>
  <c r="K71" i="18"/>
  <c r="K68" i="18"/>
  <c r="L68" i="18" s="1"/>
  <c r="G68" i="18"/>
  <c r="M68" i="18" s="1"/>
  <c r="K67" i="18"/>
  <c r="I67" i="18"/>
  <c r="K66" i="18"/>
  <c r="I66" i="18"/>
  <c r="K65" i="18"/>
  <c r="I65" i="18"/>
  <c r="K61" i="18"/>
  <c r="G61" i="18"/>
  <c r="M61" i="18" s="1"/>
  <c r="L61" i="18" s="1"/>
  <c r="K60" i="18"/>
  <c r="I60" i="18"/>
  <c r="I54" i="18"/>
  <c r="I53" i="18"/>
  <c r="K49" i="18"/>
  <c r="I49" i="18"/>
  <c r="K48" i="18"/>
  <c r="I48" i="18"/>
  <c r="K47" i="18"/>
  <c r="C47" i="18"/>
  <c r="M47" i="18" s="1"/>
  <c r="K43" i="18"/>
  <c r="K42" i="18"/>
  <c r="I42" i="18"/>
  <c r="K41" i="18"/>
  <c r="I41" i="18"/>
  <c r="K40" i="18"/>
  <c r="I40" i="18"/>
  <c r="K39" i="18"/>
  <c r="AA34" i="18"/>
  <c r="AA33" i="18"/>
  <c r="W33" i="18"/>
  <c r="AA32" i="18"/>
  <c r="W32" i="18"/>
  <c r="I32" i="18"/>
  <c r="C67" i="18" s="1"/>
  <c r="G67" i="18" s="1"/>
  <c r="M67" i="18" s="1"/>
  <c r="L67" i="18" s="1"/>
  <c r="F32" i="18"/>
  <c r="C32" i="18"/>
  <c r="AA31" i="18"/>
  <c r="I31" i="18"/>
  <c r="C66" i="18" s="1"/>
  <c r="G66" i="18" s="1"/>
  <c r="M66" i="18" s="1"/>
  <c r="L66" i="18" s="1"/>
  <c r="AA30" i="18"/>
  <c r="AA36" i="18" s="1"/>
  <c r="K13" i="18" s="1"/>
  <c r="L13" i="18" s="1"/>
  <c r="L30" i="18"/>
  <c r="I30" i="18"/>
  <c r="C65" i="18" s="1"/>
  <c r="G65" i="18" s="1"/>
  <c r="M65" i="18" s="1"/>
  <c r="L27" i="18"/>
  <c r="B236" i="18" s="1"/>
  <c r="W124" i="18" s="1"/>
  <c r="L26" i="18"/>
  <c r="I26" i="18"/>
  <c r="C60" i="18" s="1"/>
  <c r="G60" i="18" s="1"/>
  <c r="M60" i="18" s="1"/>
  <c r="AA23" i="18"/>
  <c r="AA21" i="18"/>
  <c r="W21" i="18"/>
  <c r="W20" i="18"/>
  <c r="K20" i="18"/>
  <c r="C22" i="18"/>
  <c r="AA19" i="18"/>
  <c r="AA18" i="18"/>
  <c r="I16" i="18"/>
  <c r="C49" i="18" s="1"/>
  <c r="G49" i="18" s="1"/>
  <c r="M49" i="18" s="1"/>
  <c r="L49" i="18" s="1"/>
  <c r="H16" i="18"/>
  <c r="H15" i="18"/>
  <c r="I15" i="18" s="1"/>
  <c r="L15" i="18" s="1"/>
  <c r="F15" i="18"/>
  <c r="L14" i="18"/>
  <c r="I14" i="18"/>
  <c r="C48" i="18" s="1"/>
  <c r="G48" i="18" s="1"/>
  <c r="M48" i="18" s="1"/>
  <c r="L48" i="18" s="1"/>
  <c r="F13" i="18"/>
  <c r="C11" i="18"/>
  <c r="AA10" i="18"/>
  <c r="I9" i="18"/>
  <c r="C42" i="18" s="1"/>
  <c r="G42" i="18" s="1"/>
  <c r="M42" i="18" s="1"/>
  <c r="L42" i="18" s="1"/>
  <c r="I8" i="18"/>
  <c r="L8" i="18" s="1"/>
  <c r="H8" i="18"/>
  <c r="W7" i="18"/>
  <c r="AA7" i="18" s="1"/>
  <c r="H7" i="18"/>
  <c r="I7" i="18" s="1"/>
  <c r="W6" i="18"/>
  <c r="AA6" i="18" s="1"/>
  <c r="F6" i="18"/>
  <c r="I6" i="18" s="1"/>
  <c r="AA5" i="18"/>
  <c r="I5" i="18"/>
  <c r="C39" i="18" s="1"/>
  <c r="C5" i="18"/>
  <c r="F5" i="18" s="1"/>
  <c r="AA4" i="18"/>
  <c r="AX7" i="13"/>
  <c r="AX6" i="13"/>
  <c r="AQ7" i="13"/>
  <c r="AQ6" i="13"/>
  <c r="AJ7" i="13"/>
  <c r="AJ6" i="13"/>
  <c r="AB7" i="13"/>
  <c r="AB6" i="13"/>
  <c r="U7" i="13"/>
  <c r="U6" i="13"/>
  <c r="I196" i="13"/>
  <c r="I199" i="13" s="1"/>
  <c r="C168" i="1"/>
  <c r="F164" i="13"/>
  <c r="C56" i="1"/>
  <c r="C165" i="1"/>
  <c r="F128" i="1"/>
  <c r="F128" i="13"/>
  <c r="C96" i="1"/>
  <c r="I197" i="13" l="1"/>
  <c r="I200" i="13" s="1"/>
  <c r="J200" i="13" s="1"/>
  <c r="L200" i="13" s="1"/>
  <c r="I198" i="13"/>
  <c r="Z102" i="21"/>
  <c r="AC103" i="21" s="1"/>
  <c r="Y118" i="21"/>
  <c r="AC102" i="21"/>
  <c r="AB102" i="21"/>
  <c r="AC101" i="21"/>
  <c r="AB101" i="21"/>
  <c r="AB103" i="21"/>
  <c r="AB105" i="21"/>
  <c r="AC105" i="21"/>
  <c r="L86" i="21"/>
  <c r="L90" i="21" s="1"/>
  <c r="E247" i="21" s="1"/>
  <c r="M90" i="21"/>
  <c r="S99" i="21" s="1"/>
  <c r="L21" i="16"/>
  <c r="H21" i="16"/>
  <c r="J128" i="18"/>
  <c r="F129" i="18"/>
  <c r="J129" i="18" s="1"/>
  <c r="F133" i="18"/>
  <c r="J133" i="18" s="1"/>
  <c r="G164" i="18"/>
  <c r="L168" i="18" s="1"/>
  <c r="B8" i="17"/>
  <c r="M99" i="18"/>
  <c r="B11" i="17"/>
  <c r="G39" i="18"/>
  <c r="M39" i="18"/>
  <c r="C40" i="18"/>
  <c r="G40" i="18" s="1"/>
  <c r="M40" i="18" s="1"/>
  <c r="L40" i="18" s="1"/>
  <c r="L7" i="18"/>
  <c r="M69" i="18"/>
  <c r="R97" i="18" s="1"/>
  <c r="L65" i="18"/>
  <c r="L69" i="18" s="1"/>
  <c r="E237" i="18" s="1"/>
  <c r="X126" i="18" s="1"/>
  <c r="C53" i="18"/>
  <c r="G53" i="18" s="1"/>
  <c r="M53" i="18" s="1"/>
  <c r="L20" i="18"/>
  <c r="L47" i="18"/>
  <c r="L50" i="18" s="1"/>
  <c r="E234" i="18" s="1"/>
  <c r="M50" i="18"/>
  <c r="L21" i="18"/>
  <c r="C54" i="18"/>
  <c r="G54" i="18" s="1"/>
  <c r="M54" i="18" s="1"/>
  <c r="L54" i="18" s="1"/>
  <c r="L60" i="18"/>
  <c r="L62" i="18" s="1"/>
  <c r="E236" i="18" s="1"/>
  <c r="M62" i="18"/>
  <c r="R96" i="18" s="1"/>
  <c r="AA12" i="18"/>
  <c r="K6" i="18" s="1"/>
  <c r="L6" i="18" s="1"/>
  <c r="L17" i="18"/>
  <c r="B234" i="18" s="1"/>
  <c r="G79" i="18"/>
  <c r="M79" i="18" s="1"/>
  <c r="L79" i="18" s="1"/>
  <c r="C55" i="18"/>
  <c r="G55" i="18" s="1"/>
  <c r="M55" i="18" s="1"/>
  <c r="L55" i="18" s="1"/>
  <c r="L22" i="18"/>
  <c r="AA20" i="18"/>
  <c r="AA25" i="18" s="1"/>
  <c r="K5" i="18" s="1"/>
  <c r="L5" i="18" s="1"/>
  <c r="L10" i="18" s="1"/>
  <c r="B233" i="18" s="1"/>
  <c r="B240" i="18" s="1"/>
  <c r="G80" i="18"/>
  <c r="M80" i="18" s="1"/>
  <c r="L80" i="18" s="1"/>
  <c r="L31" i="18"/>
  <c r="L33" i="18" s="1"/>
  <c r="B237" i="18" s="1"/>
  <c r="X124" i="18" s="1"/>
  <c r="C41" i="18"/>
  <c r="G41" i="18" s="1"/>
  <c r="M41" i="18" s="1"/>
  <c r="L41" i="18" s="1"/>
  <c r="G47" i="18"/>
  <c r="M75" i="18"/>
  <c r="L71" i="18"/>
  <c r="L75" i="18" s="1"/>
  <c r="M94" i="18"/>
  <c r="S90" i="18" s="1"/>
  <c r="L91" i="18"/>
  <c r="L94" i="18" s="1"/>
  <c r="I233" i="18" s="1"/>
  <c r="I240" i="18" s="1"/>
  <c r="M102" i="18"/>
  <c r="J141" i="18"/>
  <c r="H236" i="18" s="1"/>
  <c r="W129" i="18" s="1"/>
  <c r="Y129" i="18" s="1"/>
  <c r="S95" i="18"/>
  <c r="S92" i="18"/>
  <c r="Y125" i="18"/>
  <c r="L32" i="18"/>
  <c r="C77" i="18"/>
  <c r="L235" i="18"/>
  <c r="F240" i="18"/>
  <c r="L9" i="18"/>
  <c r="L16" i="18"/>
  <c r="L96" i="18"/>
  <c r="L97" i="18"/>
  <c r="L194" i="18"/>
  <c r="F234" i="18" s="1"/>
  <c r="L207" i="18"/>
  <c r="F236" i="18" s="1"/>
  <c r="W127" i="18" s="1"/>
  <c r="Y127" i="18" s="1"/>
  <c r="F113" i="18"/>
  <c r="F115" i="18"/>
  <c r="J115" i="18" s="1"/>
  <c r="F117" i="18"/>
  <c r="J117" i="18" s="1"/>
  <c r="J161" i="18"/>
  <c r="J175" i="18"/>
  <c r="I200" i="18"/>
  <c r="J200" i="18" s="1"/>
  <c r="L200" i="18" s="1"/>
  <c r="F219" i="18"/>
  <c r="J219" i="18" s="1"/>
  <c r="L219" i="18" s="1"/>
  <c r="G234" i="18" s="1"/>
  <c r="F225" i="18"/>
  <c r="J225" i="18" s="1"/>
  <c r="L225" i="18" s="1"/>
  <c r="G236" i="18" s="1"/>
  <c r="W128" i="18" s="1"/>
  <c r="F228" i="18"/>
  <c r="J228" i="18" s="1"/>
  <c r="L228" i="18" s="1"/>
  <c r="G237" i="18" s="1"/>
  <c r="X128" i="18" s="1"/>
  <c r="Y128" i="18" s="1"/>
  <c r="I199" i="18"/>
  <c r="J199" i="18" s="1"/>
  <c r="L199" i="18" s="1"/>
  <c r="I198" i="18"/>
  <c r="J198" i="18" s="1"/>
  <c r="L198" i="18" s="1"/>
  <c r="F129" i="13"/>
  <c r="F126" i="13"/>
  <c r="F125" i="13"/>
  <c r="F130" i="13"/>
  <c r="F127" i="13"/>
  <c r="C102" i="13"/>
  <c r="E254" i="21" l="1"/>
  <c r="J247" i="21"/>
  <c r="L203" i="18"/>
  <c r="F235" i="18" s="1"/>
  <c r="F241" i="18" s="1"/>
  <c r="X93" i="18" s="1"/>
  <c r="B29" i="17"/>
  <c r="L99" i="18"/>
  <c r="C165" i="18"/>
  <c r="L165" i="18" s="1"/>
  <c r="L169" i="18" s="1"/>
  <c r="J135" i="18"/>
  <c r="F222" i="18"/>
  <c r="J222" i="18" s="1"/>
  <c r="L222" i="18" s="1"/>
  <c r="G235" i="18" s="1"/>
  <c r="G241" i="18" s="1"/>
  <c r="B30" i="17"/>
  <c r="L23" i="18"/>
  <c r="W90" i="18"/>
  <c r="X135" i="18"/>
  <c r="Y124" i="18"/>
  <c r="W93" i="18"/>
  <c r="Y109" i="18" s="1"/>
  <c r="L53" i="18"/>
  <c r="L242" i="18"/>
  <c r="L241" i="18"/>
  <c r="W96" i="18"/>
  <c r="Y112" i="18" s="1"/>
  <c r="L39" i="18"/>
  <c r="J113" i="18"/>
  <c r="J120" i="18" s="1"/>
  <c r="H233" i="18" s="1"/>
  <c r="H240" i="18" s="1"/>
  <c r="G152" i="18"/>
  <c r="C56" i="18"/>
  <c r="G56" i="18" s="1"/>
  <c r="M56" i="18" s="1"/>
  <c r="L56" i="18" s="1"/>
  <c r="G77" i="18"/>
  <c r="M77" i="18" s="1"/>
  <c r="G78" i="18"/>
  <c r="M78" i="18" s="1"/>
  <c r="L78" i="18" s="1"/>
  <c r="L102" i="18"/>
  <c r="L103" i="18" s="1"/>
  <c r="I236" i="18" s="1"/>
  <c r="W130" i="18" s="1"/>
  <c r="Y130" i="18" s="1"/>
  <c r="M103" i="18"/>
  <c r="J236" i="18"/>
  <c r="W126" i="18"/>
  <c r="W135" i="18" s="1"/>
  <c r="Y135" i="18" s="1"/>
  <c r="J234" i="18"/>
  <c r="F168" i="1"/>
  <c r="E258" i="21" l="1"/>
  <c r="X101" i="21"/>
  <c r="G258" i="21"/>
  <c r="C270" i="21"/>
  <c r="B258" i="21"/>
  <c r="M254" i="21"/>
  <c r="I258" i="21"/>
  <c r="H258" i="21"/>
  <c r="C258" i="21"/>
  <c r="F258" i="21"/>
  <c r="I235" i="18"/>
  <c r="B26" i="17"/>
  <c r="H235" i="18"/>
  <c r="H241" i="18" s="1"/>
  <c r="X95" i="18" s="1"/>
  <c r="B27" i="17"/>
  <c r="B235" i="18"/>
  <c r="B241" i="18" s="1"/>
  <c r="X90" i="18" s="1"/>
  <c r="B24" i="17"/>
  <c r="C235" i="18"/>
  <c r="C241" i="18" s="1"/>
  <c r="X91" i="18" s="1"/>
  <c r="B28" i="17"/>
  <c r="L57" i="18"/>
  <c r="C155" i="18"/>
  <c r="L155" i="18" s="1"/>
  <c r="C153" i="18"/>
  <c r="L233" i="18"/>
  <c r="L240" i="18" s="1"/>
  <c r="F216" i="18"/>
  <c r="J216" i="18" s="1"/>
  <c r="L216" i="18" s="1"/>
  <c r="G233" i="18" s="1"/>
  <c r="G240" i="18" s="1"/>
  <c r="C156" i="18"/>
  <c r="L156" i="18" s="1"/>
  <c r="C154" i="18"/>
  <c r="L154" i="18" s="1"/>
  <c r="Y126" i="18"/>
  <c r="X109" i="18"/>
  <c r="Y93" i="18"/>
  <c r="L77" i="18"/>
  <c r="L81" i="18" s="1"/>
  <c r="M81" i="18"/>
  <c r="W95" i="18"/>
  <c r="Y111" i="18" s="1"/>
  <c r="X94" i="18"/>
  <c r="Y106" i="18"/>
  <c r="S96" i="18"/>
  <c r="S91" i="18"/>
  <c r="M57" i="18"/>
  <c r="X106" i="18"/>
  <c r="Y90" i="18"/>
  <c r="I241" i="18"/>
  <c r="Z135" i="18"/>
  <c r="I197" i="1"/>
  <c r="I201" i="1" s="1"/>
  <c r="F165" i="1"/>
  <c r="W20" i="16"/>
  <c r="AA20" i="16"/>
  <c r="W21" i="16"/>
  <c r="AA21" i="16" s="1"/>
  <c r="Z117" i="21" l="1"/>
  <c r="X95" i="21"/>
  <c r="Z101" i="21"/>
  <c r="Y117" i="21"/>
  <c r="E235" i="18"/>
  <c r="E241" i="18" s="1"/>
  <c r="C245" i="18" s="1"/>
  <c r="B25" i="17"/>
  <c r="B21" i="17" s="1"/>
  <c r="J235" i="18"/>
  <c r="B245" i="18"/>
  <c r="H245" i="18"/>
  <c r="AB94" i="18"/>
  <c r="AA94" i="18"/>
  <c r="R91" i="18"/>
  <c r="R95" i="18"/>
  <c r="R92" i="18"/>
  <c r="W94" i="18"/>
  <c r="Y110" i="18" s="1"/>
  <c r="F245" i="18"/>
  <c r="L153" i="18"/>
  <c r="L157" i="18" s="1"/>
  <c r="C233" i="18" s="1"/>
  <c r="C240" i="18" s="1"/>
  <c r="C43" i="18"/>
  <c r="G43" i="18" s="1"/>
  <c r="M43" i="18" s="1"/>
  <c r="I245" i="18"/>
  <c r="X96" i="18"/>
  <c r="X92" i="18"/>
  <c r="E245" i="18"/>
  <c r="X111" i="18"/>
  <c r="Y95" i="18"/>
  <c r="X110" i="18"/>
  <c r="Y94" i="18"/>
  <c r="C257" i="18"/>
  <c r="AB90" i="18"/>
  <c r="AA90" i="18"/>
  <c r="G245" i="18"/>
  <c r="M241" i="18"/>
  <c r="I200" i="1"/>
  <c r="I198" i="1"/>
  <c r="I202" i="1"/>
  <c r="I199" i="1"/>
  <c r="C262" i="16"/>
  <c r="I250" i="16"/>
  <c r="H250" i="16"/>
  <c r="G250" i="16"/>
  <c r="F250" i="16"/>
  <c r="E250" i="16"/>
  <c r="C250" i="16"/>
  <c r="B250" i="16"/>
  <c r="M246" i="16"/>
  <c r="K232" i="16"/>
  <c r="K229" i="16"/>
  <c r="K223" i="16"/>
  <c r="K220" i="16"/>
  <c r="K213" i="16"/>
  <c r="J213" i="16"/>
  <c r="J210" i="16"/>
  <c r="L210" i="16" s="1"/>
  <c r="K209" i="16"/>
  <c r="J209" i="16"/>
  <c r="L209" i="16" s="1"/>
  <c r="J206" i="16"/>
  <c r="J205" i="16"/>
  <c r="L205" i="16" s="1"/>
  <c r="J204" i="16"/>
  <c r="L204" i="16" s="1"/>
  <c r="J203" i="16"/>
  <c r="L203" i="16" s="1"/>
  <c r="J202" i="16"/>
  <c r="L202" i="16" s="1"/>
  <c r="K201" i="16"/>
  <c r="J201" i="16"/>
  <c r="K197" i="16"/>
  <c r="J197" i="16"/>
  <c r="K196" i="16"/>
  <c r="J196" i="16"/>
  <c r="L196" i="16" s="1"/>
  <c r="J193" i="16"/>
  <c r="L193" i="16" s="1"/>
  <c r="J192" i="16"/>
  <c r="L192" i="16" s="1"/>
  <c r="J191" i="16"/>
  <c r="L191" i="16" s="1"/>
  <c r="K190" i="16"/>
  <c r="J190" i="16"/>
  <c r="K189" i="16"/>
  <c r="J189" i="16"/>
  <c r="L183" i="16"/>
  <c r="L182" i="16"/>
  <c r="G181" i="16"/>
  <c r="L241" i="16" s="1"/>
  <c r="L178" i="16"/>
  <c r="L177" i="16"/>
  <c r="G176" i="16"/>
  <c r="L240" i="16" s="1"/>
  <c r="F176" i="16"/>
  <c r="L165" i="16"/>
  <c r="L164" i="16"/>
  <c r="G163" i="16"/>
  <c r="F149" i="16"/>
  <c r="J149" i="16" s="1"/>
  <c r="F148" i="16"/>
  <c r="J148" i="16" s="1"/>
  <c r="F147" i="16"/>
  <c r="J147" i="16" s="1"/>
  <c r="F144" i="16"/>
  <c r="J144" i="16" s="1"/>
  <c r="F143" i="16"/>
  <c r="J143" i="16" s="1"/>
  <c r="F142" i="16"/>
  <c r="J142" i="16" s="1"/>
  <c r="F141" i="16"/>
  <c r="J141" i="16" s="1"/>
  <c r="G168" i="16"/>
  <c r="F129" i="16"/>
  <c r="J129" i="16" s="1"/>
  <c r="F128" i="16"/>
  <c r="J128" i="16" s="1"/>
  <c r="F127" i="16"/>
  <c r="J127" i="16" s="1"/>
  <c r="F126" i="16"/>
  <c r="J126" i="16" s="1"/>
  <c r="E124" i="16"/>
  <c r="F123" i="16" s="1"/>
  <c r="J123" i="16" s="1"/>
  <c r="T119" i="16"/>
  <c r="S119" i="16"/>
  <c r="R119" i="16"/>
  <c r="Q119" i="16"/>
  <c r="T118" i="16"/>
  <c r="S118" i="16"/>
  <c r="R118" i="16"/>
  <c r="Q118" i="16"/>
  <c r="T117" i="16"/>
  <c r="S117" i="16"/>
  <c r="R117" i="16"/>
  <c r="Q117" i="16"/>
  <c r="L111" i="16"/>
  <c r="I241" i="16" s="1"/>
  <c r="X134" i="16" s="1"/>
  <c r="K106" i="16"/>
  <c r="I106" i="16"/>
  <c r="G106" i="16"/>
  <c r="AB104" i="16"/>
  <c r="I102" i="16"/>
  <c r="G102" i="16"/>
  <c r="AA101" i="16"/>
  <c r="S101" i="16"/>
  <c r="I101" i="16"/>
  <c r="G101" i="16"/>
  <c r="M101" i="16" s="1"/>
  <c r="L101" i="16" s="1"/>
  <c r="Z100" i="16"/>
  <c r="I100" i="16"/>
  <c r="G100" i="16"/>
  <c r="M100" i="16" s="1"/>
  <c r="L100" i="16" s="1"/>
  <c r="Z99" i="16"/>
  <c r="Z98" i="16"/>
  <c r="Z97" i="16"/>
  <c r="K97" i="16"/>
  <c r="I97" i="16"/>
  <c r="Z96" i="16"/>
  <c r="K96" i="16"/>
  <c r="I96" i="16"/>
  <c r="G96" i="16"/>
  <c r="Z95" i="16"/>
  <c r="K95" i="16"/>
  <c r="I95" i="16"/>
  <c r="G95" i="16"/>
  <c r="Z94" i="16"/>
  <c r="V90" i="16"/>
  <c r="M90" i="16"/>
  <c r="L90" i="16" s="1"/>
  <c r="K90" i="16"/>
  <c r="M89" i="16"/>
  <c r="K89" i="16"/>
  <c r="M88" i="16"/>
  <c r="L88" i="16" s="1"/>
  <c r="K88" i="16"/>
  <c r="M87" i="16"/>
  <c r="K87" i="16"/>
  <c r="K84" i="16"/>
  <c r="K83" i="16"/>
  <c r="K82" i="16"/>
  <c r="K81" i="16"/>
  <c r="M78" i="16"/>
  <c r="K78" i="16"/>
  <c r="M77" i="16"/>
  <c r="K77" i="16"/>
  <c r="M76" i="16"/>
  <c r="K76" i="16"/>
  <c r="M75" i="16"/>
  <c r="K75" i="16"/>
  <c r="K72" i="16"/>
  <c r="G72" i="16"/>
  <c r="M72" i="16" s="1"/>
  <c r="K71" i="16"/>
  <c r="I71" i="16"/>
  <c r="C71" i="16"/>
  <c r="G71" i="16" s="1"/>
  <c r="M71" i="16" s="1"/>
  <c r="K70" i="16"/>
  <c r="I70" i="16"/>
  <c r="K69" i="16"/>
  <c r="I69" i="16"/>
  <c r="K65" i="16"/>
  <c r="G65" i="16"/>
  <c r="M65" i="16" s="1"/>
  <c r="K64" i="16"/>
  <c r="I64" i="16"/>
  <c r="I58" i="16"/>
  <c r="I57" i="16"/>
  <c r="K51" i="16"/>
  <c r="I51" i="16"/>
  <c r="K50" i="16"/>
  <c r="I50" i="16"/>
  <c r="K49" i="16"/>
  <c r="C49" i="16"/>
  <c r="G49" i="16" s="1"/>
  <c r="K45" i="16"/>
  <c r="K44" i="16"/>
  <c r="I44" i="16"/>
  <c r="K43" i="16"/>
  <c r="I43" i="16"/>
  <c r="K42" i="16"/>
  <c r="I42" i="16"/>
  <c r="K41" i="16"/>
  <c r="AA36" i="16"/>
  <c r="W35" i="16"/>
  <c r="AA35" i="16" s="1"/>
  <c r="W34" i="16"/>
  <c r="AA34" i="16" s="1"/>
  <c r="L34" i="16"/>
  <c r="I34" i="16"/>
  <c r="C34" i="16"/>
  <c r="F34" i="16" s="1"/>
  <c r="AA33" i="16"/>
  <c r="I33" i="16"/>
  <c r="L33" i="16" s="1"/>
  <c r="AA32" i="16"/>
  <c r="I32" i="16"/>
  <c r="C69" i="16" s="1"/>
  <c r="G69" i="16" s="1"/>
  <c r="I28" i="16"/>
  <c r="C64" i="16" s="1"/>
  <c r="G64" i="16" s="1"/>
  <c r="AA25" i="16"/>
  <c r="I22" i="16"/>
  <c r="AA19" i="16"/>
  <c r="AA18" i="16"/>
  <c r="H16" i="16"/>
  <c r="I16" i="16" s="1"/>
  <c r="H15" i="16"/>
  <c r="I15" i="16" s="1"/>
  <c r="L15" i="16" s="1"/>
  <c r="F15" i="16"/>
  <c r="I14" i="16"/>
  <c r="F13" i="16"/>
  <c r="C11" i="16"/>
  <c r="AA10" i="16"/>
  <c r="I9" i="16"/>
  <c r="H8" i="16"/>
  <c r="I8" i="16" s="1"/>
  <c r="C43" i="16" s="1"/>
  <c r="G43" i="16" s="1"/>
  <c r="W7" i="16"/>
  <c r="AA7" i="16" s="1"/>
  <c r="H7" i="16"/>
  <c r="I7" i="16" s="1"/>
  <c r="L7" i="16" s="1"/>
  <c r="W6" i="16"/>
  <c r="AA6" i="16" s="1"/>
  <c r="F6" i="16"/>
  <c r="I6" i="16" s="1"/>
  <c r="AA5" i="16"/>
  <c r="C5" i="16"/>
  <c r="AA4" i="16"/>
  <c r="C41" i="14"/>
  <c r="Z95" i="21" l="1"/>
  <c r="AA95" i="21"/>
  <c r="AB100" i="21"/>
  <c r="AC100" i="21"/>
  <c r="G57" i="16"/>
  <c r="M57" i="16" s="1"/>
  <c r="L57" i="16" s="1"/>
  <c r="C57" i="16"/>
  <c r="X112" i="18"/>
  <c r="Y96" i="18"/>
  <c r="AB93" i="18"/>
  <c r="AA93" i="18"/>
  <c r="AB95" i="18"/>
  <c r="AA95" i="18"/>
  <c r="L43" i="18"/>
  <c r="L44" i="18" s="1"/>
  <c r="E233" i="18" s="1"/>
  <c r="M44" i="18"/>
  <c r="R90" i="18" s="1"/>
  <c r="X86" i="18"/>
  <c r="W91" i="18"/>
  <c r="L87" i="16"/>
  <c r="L89" i="16"/>
  <c r="F118" i="16"/>
  <c r="J118" i="16" s="1"/>
  <c r="L190" i="16"/>
  <c r="M64" i="16"/>
  <c r="M102" i="16"/>
  <c r="L102" i="16" s="1"/>
  <c r="L103" i="16" s="1"/>
  <c r="M69" i="16"/>
  <c r="L65" i="16"/>
  <c r="F122" i="16"/>
  <c r="J122" i="16" s="1"/>
  <c r="AA27" i="16"/>
  <c r="K5" i="16" s="1"/>
  <c r="L76" i="16"/>
  <c r="L78" i="16"/>
  <c r="L213" i="16"/>
  <c r="F241" i="16" s="1"/>
  <c r="X131" i="16" s="1"/>
  <c r="L28" i="16"/>
  <c r="L29" i="16" s="1"/>
  <c r="B240" i="16" s="1"/>
  <c r="W128" i="16" s="1"/>
  <c r="L166" i="16"/>
  <c r="C238" i="16" s="1"/>
  <c r="L197" i="16"/>
  <c r="L198" i="16" s="1"/>
  <c r="F238" i="16" s="1"/>
  <c r="L71" i="16"/>
  <c r="M91" i="16"/>
  <c r="F120" i="16"/>
  <c r="J120" i="16" s="1"/>
  <c r="L184" i="16"/>
  <c r="C241" i="16" s="1"/>
  <c r="X129" i="16" s="1"/>
  <c r="L179" i="16"/>
  <c r="C240" i="16" s="1"/>
  <c r="W129" i="16" s="1"/>
  <c r="J145" i="16"/>
  <c r="H240" i="16" s="1"/>
  <c r="W133" i="16" s="1"/>
  <c r="M66" i="16"/>
  <c r="R100" i="16" s="1"/>
  <c r="C70" i="16"/>
  <c r="G70" i="16" s="1"/>
  <c r="M70" i="16" s="1"/>
  <c r="L70" i="16" s="1"/>
  <c r="M43" i="16"/>
  <c r="L43" i="16" s="1"/>
  <c r="L32" i="16"/>
  <c r="L35" i="16" s="1"/>
  <c r="B241" i="16" s="1"/>
  <c r="X128" i="16" s="1"/>
  <c r="L201" i="16"/>
  <c r="L91" i="16"/>
  <c r="C50" i="16"/>
  <c r="G50" i="16" s="1"/>
  <c r="M50" i="16" s="1"/>
  <c r="L50" i="16" s="1"/>
  <c r="L72" i="16"/>
  <c r="M95" i="16"/>
  <c r="J178" i="16"/>
  <c r="L189" i="16"/>
  <c r="L194" i="16" s="1"/>
  <c r="F237" i="16" s="1"/>
  <c r="L206" i="16"/>
  <c r="L22" i="16"/>
  <c r="J132" i="16"/>
  <c r="F133" i="16"/>
  <c r="J133" i="16" s="1"/>
  <c r="F136" i="16"/>
  <c r="J136" i="16" s="1"/>
  <c r="J138" i="16"/>
  <c r="F134" i="16"/>
  <c r="J134" i="16" s="1"/>
  <c r="I5" i="16"/>
  <c r="C97" i="16"/>
  <c r="G97" i="16" s="1"/>
  <c r="M97" i="16" s="1"/>
  <c r="L97" i="16" s="1"/>
  <c r="C81" i="16"/>
  <c r="F5" i="16"/>
  <c r="L8" i="16"/>
  <c r="L9" i="16"/>
  <c r="C44" i="16"/>
  <c r="G44" i="16" s="1"/>
  <c r="M44" i="16" s="1"/>
  <c r="L44" i="16" s="1"/>
  <c r="L23" i="16"/>
  <c r="C58" i="16"/>
  <c r="G58" i="16" s="1"/>
  <c r="M58" i="16" s="1"/>
  <c r="L58" i="16" s="1"/>
  <c r="AA12" i="16"/>
  <c r="K6" i="16" s="1"/>
  <c r="L6" i="16" s="1"/>
  <c r="AA38" i="16"/>
  <c r="K13" i="16" s="1"/>
  <c r="L13" i="16" s="1"/>
  <c r="C42" i="16"/>
  <c r="G42" i="16" s="1"/>
  <c r="M42" i="16" s="1"/>
  <c r="L42" i="16" s="1"/>
  <c r="L16" i="16"/>
  <c r="C51" i="16"/>
  <c r="G51" i="16" s="1"/>
  <c r="M51" i="16" s="1"/>
  <c r="L51" i="16" s="1"/>
  <c r="L172" i="16"/>
  <c r="L239" i="16"/>
  <c r="G60" i="16"/>
  <c r="M60" i="16" s="1"/>
  <c r="L60" i="16" s="1"/>
  <c r="F226" i="16"/>
  <c r="J226" i="16" s="1"/>
  <c r="L226" i="16" s="1"/>
  <c r="M103" i="16"/>
  <c r="J165" i="16"/>
  <c r="L238" i="16"/>
  <c r="F223" i="16"/>
  <c r="J223" i="16" s="1"/>
  <c r="L223" i="16" s="1"/>
  <c r="G238" i="16" s="1"/>
  <c r="M79" i="16"/>
  <c r="L75" i="16"/>
  <c r="M49" i="16"/>
  <c r="L77" i="16"/>
  <c r="L14" i="16"/>
  <c r="G83" i="16"/>
  <c r="M83" i="16" s="1"/>
  <c r="L83" i="16" s="1"/>
  <c r="H22" i="16"/>
  <c r="L95" i="16"/>
  <c r="M106" i="16"/>
  <c r="J130" i="16"/>
  <c r="H238" i="16" s="1"/>
  <c r="G84" i="16"/>
  <c r="M84" i="16" s="1"/>
  <c r="L84" i="16" s="1"/>
  <c r="L64" i="16"/>
  <c r="L66" i="16" s="1"/>
  <c r="E240" i="16" s="1"/>
  <c r="L69" i="16"/>
  <c r="M96" i="16"/>
  <c r="L96" i="16" s="1"/>
  <c r="J150" i="16"/>
  <c r="H241" i="16" s="1"/>
  <c r="X133" i="16" s="1"/>
  <c r="Y133" i="16" s="1"/>
  <c r="L211" i="16"/>
  <c r="F240" i="16" s="1"/>
  <c r="W131" i="16" s="1"/>
  <c r="Y131" i="16" s="1"/>
  <c r="F117" i="16"/>
  <c r="F119" i="16"/>
  <c r="J119" i="16" s="1"/>
  <c r="F121" i="16"/>
  <c r="J121" i="16" s="1"/>
  <c r="F135" i="16"/>
  <c r="J135" i="16" s="1"/>
  <c r="J137" i="16"/>
  <c r="F229" i="16"/>
  <c r="J229" i="16" s="1"/>
  <c r="L229" i="16" s="1"/>
  <c r="G240" i="16" s="1"/>
  <c r="W132" i="16" s="1"/>
  <c r="F232" i="16"/>
  <c r="J232" i="16" s="1"/>
  <c r="L232" i="16" s="1"/>
  <c r="G241" i="16" s="1"/>
  <c r="X132" i="16" s="1"/>
  <c r="Y132" i="16" s="1"/>
  <c r="J179" i="16"/>
  <c r="C81" i="14"/>
  <c r="G81" i="14"/>
  <c r="I239" i="16" l="1"/>
  <c r="B25" i="15"/>
  <c r="G239" i="16"/>
  <c r="B29" i="15"/>
  <c r="L25" i="16"/>
  <c r="B23" i="15" s="1"/>
  <c r="E240" i="18"/>
  <c r="J233" i="18"/>
  <c r="AB96" i="18"/>
  <c r="AA96" i="18"/>
  <c r="Y107" i="18"/>
  <c r="Y91" i="18"/>
  <c r="X107" i="18"/>
  <c r="Y129" i="16"/>
  <c r="F244" i="16"/>
  <c r="L73" i="16"/>
  <c r="E241" i="16" s="1"/>
  <c r="X130" i="16" s="1"/>
  <c r="L207" i="16"/>
  <c r="M73" i="16"/>
  <c r="R101" i="16" s="1"/>
  <c r="J139" i="16"/>
  <c r="L169" i="16"/>
  <c r="L173" i="16" s="1"/>
  <c r="G156" i="16"/>
  <c r="J117" i="16"/>
  <c r="J124" i="16" s="1"/>
  <c r="H237" i="16" s="1"/>
  <c r="H244" i="16" s="1"/>
  <c r="L98" i="16"/>
  <c r="I237" i="16" s="1"/>
  <c r="I244" i="16" s="1"/>
  <c r="G245" i="16"/>
  <c r="J240" i="16"/>
  <c r="W130" i="16"/>
  <c r="L106" i="16"/>
  <c r="L107" i="16" s="1"/>
  <c r="I240" i="16" s="1"/>
  <c r="M107" i="16"/>
  <c r="S100" i="16" s="1"/>
  <c r="M98" i="16"/>
  <c r="S94" i="16" s="1"/>
  <c r="L79" i="16"/>
  <c r="W97" i="16"/>
  <c r="Y113" i="16" s="1"/>
  <c r="L61" i="16"/>
  <c r="G82" i="16"/>
  <c r="M82" i="16" s="1"/>
  <c r="L82" i="16" s="1"/>
  <c r="G81" i="16"/>
  <c r="M81" i="16" s="1"/>
  <c r="M52" i="16"/>
  <c r="L49" i="16"/>
  <c r="L52" i="16" s="1"/>
  <c r="E238" i="16" s="1"/>
  <c r="L246" i="16"/>
  <c r="L245" i="16"/>
  <c r="X139" i="16"/>
  <c r="Y128" i="16"/>
  <c r="M61" i="16"/>
  <c r="S99" i="16"/>
  <c r="S96" i="16"/>
  <c r="S95" i="16"/>
  <c r="L17" i="16"/>
  <c r="B238" i="16" s="1"/>
  <c r="C41" i="16"/>
  <c r="L5" i="16"/>
  <c r="L10" i="16" s="1"/>
  <c r="B237" i="16" s="1"/>
  <c r="L5" i="14"/>
  <c r="F239" i="16" l="1"/>
  <c r="F245" i="16" s="1"/>
  <c r="B28" i="15"/>
  <c r="H239" i="16"/>
  <c r="H245" i="16" s="1"/>
  <c r="X99" i="16" s="1"/>
  <c r="Y99" i="16" s="1"/>
  <c r="B26" i="15"/>
  <c r="C239" i="16"/>
  <c r="C245" i="16" s="1"/>
  <c r="X95" i="16" s="1"/>
  <c r="B27" i="15"/>
  <c r="E239" i="16"/>
  <c r="E245" i="16" s="1"/>
  <c r="B24" i="15"/>
  <c r="B239" i="16"/>
  <c r="B245" i="16" s="1"/>
  <c r="X94" i="16" s="1"/>
  <c r="AB92" i="18"/>
  <c r="AA92" i="18"/>
  <c r="E244" i="18"/>
  <c r="W92" i="18"/>
  <c r="G244" i="18"/>
  <c r="B244" i="18"/>
  <c r="C256" i="18"/>
  <c r="F244" i="18"/>
  <c r="M240" i="18"/>
  <c r="I244" i="18"/>
  <c r="H244" i="18"/>
  <c r="C244" i="18"/>
  <c r="W99" i="16"/>
  <c r="Y115" i="16" s="1"/>
  <c r="B244" i="16"/>
  <c r="J238" i="16"/>
  <c r="X98" i="16"/>
  <c r="C159" i="16"/>
  <c r="L159" i="16" s="1"/>
  <c r="C157" i="16"/>
  <c r="L237" i="16"/>
  <c r="L244" i="16" s="1"/>
  <c r="F220" i="16"/>
  <c r="J220" i="16" s="1"/>
  <c r="L220" i="16" s="1"/>
  <c r="G237" i="16" s="1"/>
  <c r="G244" i="16" s="1"/>
  <c r="C160" i="16"/>
  <c r="L160" i="16" s="1"/>
  <c r="C158" i="16"/>
  <c r="L158" i="16" s="1"/>
  <c r="R95" i="16"/>
  <c r="R99" i="16"/>
  <c r="R96" i="16"/>
  <c r="W134" i="16"/>
  <c r="Y134" i="16" s="1"/>
  <c r="I245" i="16"/>
  <c r="M41" i="16"/>
  <c r="G41" i="16"/>
  <c r="W100" i="16"/>
  <c r="Y116" i="16" s="1"/>
  <c r="X97" i="16"/>
  <c r="L81" i="16"/>
  <c r="L85" i="16" s="1"/>
  <c r="M85" i="16"/>
  <c r="Y130" i="16"/>
  <c r="C12" i="13"/>
  <c r="I12" i="13" s="1"/>
  <c r="C47" i="13" s="1"/>
  <c r="C11" i="13"/>
  <c r="F11" i="13" s="1"/>
  <c r="I11" i="13" s="1"/>
  <c r="C9" i="13"/>
  <c r="C8" i="13"/>
  <c r="I8" i="13" s="1"/>
  <c r="C7" i="13"/>
  <c r="F7" i="13" s="1"/>
  <c r="C6" i="13"/>
  <c r="I6" i="13" s="1"/>
  <c r="C5" i="13"/>
  <c r="I5" i="13" s="1"/>
  <c r="U5" i="13"/>
  <c r="U12" i="13"/>
  <c r="U8" i="13"/>
  <c r="U4" i="13"/>
  <c r="X8" i="13"/>
  <c r="X11" i="13" s="1"/>
  <c r="AB12" i="13"/>
  <c r="AJ12" i="13"/>
  <c r="AX12" i="13"/>
  <c r="AX8" i="13"/>
  <c r="AX5" i="13"/>
  <c r="AX4" i="13"/>
  <c r="U14" i="13" l="1"/>
  <c r="AX14" i="13"/>
  <c r="X115" i="16"/>
  <c r="B20" i="15"/>
  <c r="H249" i="16"/>
  <c r="J239" i="16"/>
  <c r="Y108" i="18"/>
  <c r="X108" i="18"/>
  <c r="Y92" i="18"/>
  <c r="W86" i="18"/>
  <c r="K5" i="13"/>
  <c r="L5" i="13" s="1"/>
  <c r="F249" i="16"/>
  <c r="C249" i="16"/>
  <c r="L41" i="16"/>
  <c r="W98" i="16"/>
  <c r="Y114" i="16" s="1"/>
  <c r="X96" i="16"/>
  <c r="E249" i="16"/>
  <c r="M245" i="16"/>
  <c r="AB97" i="16"/>
  <c r="AA97" i="16"/>
  <c r="I249" i="16"/>
  <c r="X100" i="16"/>
  <c r="G249" i="16"/>
  <c r="C261" i="16"/>
  <c r="X113" i="16"/>
  <c r="Y97" i="16"/>
  <c r="L157" i="16"/>
  <c r="L161" i="16" s="1"/>
  <c r="C237" i="16" s="1"/>
  <c r="C244" i="16" s="1"/>
  <c r="C45" i="16"/>
  <c r="G45" i="16" s="1"/>
  <c r="M45" i="16" s="1"/>
  <c r="L45" i="16" s="1"/>
  <c r="W139" i="16"/>
  <c r="W94" i="16"/>
  <c r="X110" i="16" s="1"/>
  <c r="B249" i="16"/>
  <c r="F8" i="13"/>
  <c r="I7" i="13"/>
  <c r="F6" i="13"/>
  <c r="F5" i="13"/>
  <c r="K9" i="13"/>
  <c r="AQ12" i="13"/>
  <c r="AQ8" i="13"/>
  <c r="AQ5" i="13"/>
  <c r="AQ4" i="13"/>
  <c r="Y86" i="18" l="1"/>
  <c r="Z86" i="18"/>
  <c r="AB91" i="18"/>
  <c r="AA91" i="18"/>
  <c r="AB97" i="18"/>
  <c r="X90" i="16"/>
  <c r="AB98" i="16"/>
  <c r="AA98" i="16"/>
  <c r="Y139" i="16"/>
  <c r="Z139" i="16"/>
  <c r="Y98" i="16"/>
  <c r="M46" i="16"/>
  <c r="R94" i="16" s="1"/>
  <c r="Y110" i="16"/>
  <c r="W95" i="16"/>
  <c r="Y94" i="16"/>
  <c r="X116" i="16"/>
  <c r="Y100" i="16"/>
  <c r="X114" i="16"/>
  <c r="L46" i="16"/>
  <c r="E237" i="16" s="1"/>
  <c r="AQ14" i="13"/>
  <c r="K8" i="13" s="1"/>
  <c r="L8" i="13" s="1"/>
  <c r="AB94" i="16" l="1"/>
  <c r="AA94" i="16"/>
  <c r="E244" i="16"/>
  <c r="J237" i="16"/>
  <c r="AB99" i="16"/>
  <c r="AA99" i="16"/>
  <c r="AB100" i="16"/>
  <c r="AA100" i="16"/>
  <c r="Y111" i="16"/>
  <c r="Y95" i="16"/>
  <c r="X111" i="16"/>
  <c r="C262" i="14"/>
  <c r="I250" i="14"/>
  <c r="H250" i="14"/>
  <c r="G250" i="14"/>
  <c r="F250" i="14"/>
  <c r="E250" i="14"/>
  <c r="C250" i="14"/>
  <c r="B250" i="14"/>
  <c r="M246" i="14"/>
  <c r="K232" i="14"/>
  <c r="K229" i="14"/>
  <c r="K226" i="14"/>
  <c r="K223" i="14"/>
  <c r="K220" i="14"/>
  <c r="L213" i="14"/>
  <c r="F241" i="14" s="1"/>
  <c r="K213" i="14"/>
  <c r="J213" i="14"/>
  <c r="L210" i="14"/>
  <c r="J210" i="14"/>
  <c r="K209" i="14"/>
  <c r="J209" i="14"/>
  <c r="L209" i="14" s="1"/>
  <c r="L211" i="14" s="1"/>
  <c r="F240" i="14" s="1"/>
  <c r="W131" i="14" s="1"/>
  <c r="K206" i="14"/>
  <c r="J206" i="14"/>
  <c r="L206" i="14" s="1"/>
  <c r="J205" i="14"/>
  <c r="L205" i="14" s="1"/>
  <c r="J204" i="14"/>
  <c r="L204" i="14" s="1"/>
  <c r="J203" i="14"/>
  <c r="L203" i="14" s="1"/>
  <c r="J202" i="14"/>
  <c r="L202" i="14" s="1"/>
  <c r="K201" i="14"/>
  <c r="J201" i="14"/>
  <c r="L201" i="14" s="1"/>
  <c r="K197" i="14"/>
  <c r="J197" i="14"/>
  <c r="L197" i="14" s="1"/>
  <c r="L196" i="14"/>
  <c r="L198" i="14" s="1"/>
  <c r="F238" i="14" s="1"/>
  <c r="K196" i="14"/>
  <c r="J196" i="14"/>
  <c r="L193" i="14"/>
  <c r="J193" i="14"/>
  <c r="L192" i="14"/>
  <c r="J192" i="14"/>
  <c r="L191" i="14"/>
  <c r="J191" i="14"/>
  <c r="K190" i="14"/>
  <c r="J190" i="14"/>
  <c r="L190" i="14" s="1"/>
  <c r="K189" i="14"/>
  <c r="J189" i="14"/>
  <c r="L189" i="14" s="1"/>
  <c r="L184" i="14"/>
  <c r="C241" i="14" s="1"/>
  <c r="X129" i="14" s="1"/>
  <c r="L183" i="14"/>
  <c r="L182" i="14"/>
  <c r="G181" i="14"/>
  <c r="L241" i="14" s="1"/>
  <c r="L178" i="14"/>
  <c r="J178" i="14"/>
  <c r="L177" i="14"/>
  <c r="L179" i="14" s="1"/>
  <c r="C240" i="14" s="1"/>
  <c r="W129" i="14" s="1"/>
  <c r="G176" i="14"/>
  <c r="L240" i="14" s="1"/>
  <c r="F176" i="14"/>
  <c r="C170" i="14"/>
  <c r="C169" i="14"/>
  <c r="L166" i="14"/>
  <c r="C238" i="14" s="1"/>
  <c r="L165" i="14"/>
  <c r="L164" i="14"/>
  <c r="G163" i="14"/>
  <c r="J149" i="14"/>
  <c r="F149" i="14"/>
  <c r="J148" i="14"/>
  <c r="F148" i="14"/>
  <c r="J147" i="14"/>
  <c r="J150" i="14" s="1"/>
  <c r="H241" i="14" s="1"/>
  <c r="X133" i="14" s="1"/>
  <c r="F147" i="14"/>
  <c r="F144" i="14"/>
  <c r="J144" i="14" s="1"/>
  <c r="F143" i="14"/>
  <c r="J143" i="14" s="1"/>
  <c r="F142" i="14"/>
  <c r="J142" i="14" s="1"/>
  <c r="F141" i="14"/>
  <c r="J141" i="14" s="1"/>
  <c r="F132" i="14"/>
  <c r="F138" i="14" s="1"/>
  <c r="J138" i="14" s="1"/>
  <c r="X131" i="14"/>
  <c r="Y131" i="14" s="1"/>
  <c r="F129" i="14"/>
  <c r="J129" i="14" s="1"/>
  <c r="J128" i="14"/>
  <c r="F128" i="14"/>
  <c r="J127" i="14"/>
  <c r="F127" i="14"/>
  <c r="J126" i="14"/>
  <c r="J130" i="14" s="1"/>
  <c r="H238" i="14" s="1"/>
  <c r="F126" i="14"/>
  <c r="E124" i="14"/>
  <c r="J123" i="14"/>
  <c r="F123" i="14"/>
  <c r="J122" i="14"/>
  <c r="F122" i="14"/>
  <c r="J121" i="14"/>
  <c r="F121" i="14"/>
  <c r="J120" i="14"/>
  <c r="F120" i="14"/>
  <c r="T119" i="14"/>
  <c r="S119" i="14"/>
  <c r="R119" i="14"/>
  <c r="Q119" i="14"/>
  <c r="J119" i="14"/>
  <c r="F119" i="14"/>
  <c r="T118" i="14"/>
  <c r="S118" i="14"/>
  <c r="R118" i="14"/>
  <c r="Q118" i="14"/>
  <c r="J118" i="14"/>
  <c r="J124" i="14" s="1"/>
  <c r="H237" i="14" s="1"/>
  <c r="H244" i="14" s="1"/>
  <c r="F118" i="14"/>
  <c r="T117" i="14"/>
  <c r="S117" i="14"/>
  <c r="R117" i="14"/>
  <c r="Q117" i="14"/>
  <c r="J117" i="14"/>
  <c r="F117" i="14"/>
  <c r="G156" i="14" s="1"/>
  <c r="L111" i="14"/>
  <c r="I241" i="14" s="1"/>
  <c r="X134" i="14" s="1"/>
  <c r="K106" i="14"/>
  <c r="I106" i="14"/>
  <c r="G106" i="14"/>
  <c r="M106" i="14" s="1"/>
  <c r="AB104" i="14"/>
  <c r="K102" i="14"/>
  <c r="I102" i="14"/>
  <c r="G102" i="14"/>
  <c r="AA101" i="14"/>
  <c r="S101" i="14"/>
  <c r="K101" i="14"/>
  <c r="I101" i="14"/>
  <c r="G101" i="14"/>
  <c r="M101" i="14" s="1"/>
  <c r="L101" i="14" s="1"/>
  <c r="Z100" i="14"/>
  <c r="K100" i="14"/>
  <c r="I100" i="14"/>
  <c r="C100" i="14"/>
  <c r="G100" i="14" s="1"/>
  <c r="M100" i="14" s="1"/>
  <c r="L100" i="14" s="1"/>
  <c r="Z99" i="14"/>
  <c r="Z98" i="14"/>
  <c r="Z97" i="14"/>
  <c r="K97" i="14"/>
  <c r="I97" i="14"/>
  <c r="Z96" i="14"/>
  <c r="K96" i="14"/>
  <c r="I96" i="14"/>
  <c r="G96" i="14"/>
  <c r="Z95" i="14"/>
  <c r="K95" i="14"/>
  <c r="I95" i="14"/>
  <c r="G95" i="14"/>
  <c r="M95" i="14" s="1"/>
  <c r="Z94" i="14"/>
  <c r="V90" i="14"/>
  <c r="M90" i="14"/>
  <c r="L90" i="14" s="1"/>
  <c r="K90" i="14"/>
  <c r="M89" i="14"/>
  <c r="L89" i="14"/>
  <c r="K89" i="14"/>
  <c r="M88" i="14"/>
  <c r="L88" i="14" s="1"/>
  <c r="K88" i="14"/>
  <c r="M87" i="14"/>
  <c r="L87" i="14" s="1"/>
  <c r="L91" i="14" s="1"/>
  <c r="K87" i="14"/>
  <c r="K84" i="14"/>
  <c r="K83" i="14"/>
  <c r="K82" i="14"/>
  <c r="K81" i="14"/>
  <c r="M78" i="14"/>
  <c r="L78" i="14"/>
  <c r="K78" i="14"/>
  <c r="M77" i="14"/>
  <c r="L77" i="14" s="1"/>
  <c r="K77" i="14"/>
  <c r="M76" i="14"/>
  <c r="L76" i="14"/>
  <c r="K76" i="14"/>
  <c r="M75" i="14"/>
  <c r="K75" i="14"/>
  <c r="L72" i="14"/>
  <c r="K72" i="14"/>
  <c r="G72" i="14"/>
  <c r="M72" i="14" s="1"/>
  <c r="K71" i="14"/>
  <c r="I71" i="14"/>
  <c r="K70" i="14"/>
  <c r="I70" i="14"/>
  <c r="C70" i="14"/>
  <c r="G70" i="14" s="1"/>
  <c r="M70" i="14" s="1"/>
  <c r="L70" i="14" s="1"/>
  <c r="K69" i="14"/>
  <c r="I69" i="14"/>
  <c r="C69" i="14"/>
  <c r="G69" i="14" s="1"/>
  <c r="M69" i="14" s="1"/>
  <c r="L69" i="14" s="1"/>
  <c r="K65" i="14"/>
  <c r="G65" i="14"/>
  <c r="M65" i="14" s="1"/>
  <c r="L65" i="14" s="1"/>
  <c r="K64" i="14"/>
  <c r="I64" i="14"/>
  <c r="K60" i="14"/>
  <c r="K59" i="14"/>
  <c r="K58" i="14"/>
  <c r="I58" i="14"/>
  <c r="K57" i="14"/>
  <c r="I57" i="14"/>
  <c r="K56" i="14"/>
  <c r="I56" i="14"/>
  <c r="K55" i="14"/>
  <c r="I55" i="14"/>
  <c r="K51" i="14"/>
  <c r="I51" i="14"/>
  <c r="K50" i="14"/>
  <c r="I50" i="14"/>
  <c r="K49" i="14"/>
  <c r="C49" i="14"/>
  <c r="G49" i="14" s="1"/>
  <c r="K45" i="14"/>
  <c r="K44" i="14"/>
  <c r="I44" i="14"/>
  <c r="K43" i="14"/>
  <c r="I43" i="14"/>
  <c r="K42" i="14"/>
  <c r="I42" i="14"/>
  <c r="K41" i="14"/>
  <c r="AA36" i="14"/>
  <c r="W35" i="14"/>
  <c r="AA35" i="14" s="1"/>
  <c r="AA34" i="14"/>
  <c r="W34" i="14"/>
  <c r="L34" i="14"/>
  <c r="I34" i="14"/>
  <c r="C71" i="14" s="1"/>
  <c r="G71" i="14" s="1"/>
  <c r="M71" i="14" s="1"/>
  <c r="L71" i="14" s="1"/>
  <c r="F34" i="14"/>
  <c r="C34" i="14"/>
  <c r="AA33" i="14"/>
  <c r="I33" i="14"/>
  <c r="L33" i="14" s="1"/>
  <c r="AA32" i="14"/>
  <c r="L32" i="14"/>
  <c r="I32" i="14"/>
  <c r="I28" i="14"/>
  <c r="C64" i="14" s="1"/>
  <c r="G64" i="14" s="1"/>
  <c r="M64" i="14" s="1"/>
  <c r="AA25" i="14"/>
  <c r="H24" i="14"/>
  <c r="I24" i="14" s="1"/>
  <c r="C23" i="14"/>
  <c r="I23" i="14" s="1"/>
  <c r="C22" i="14"/>
  <c r="H22" i="14" s="1"/>
  <c r="W21" i="14"/>
  <c r="C21" i="14"/>
  <c r="I21" i="14" s="1"/>
  <c r="L21" i="14" s="1"/>
  <c r="AA20" i="14"/>
  <c r="W20" i="14"/>
  <c r="K20" i="14"/>
  <c r="H20" i="14"/>
  <c r="I20" i="14" s="1"/>
  <c r="L20" i="14" s="1"/>
  <c r="C20" i="14"/>
  <c r="C24" i="14" s="1"/>
  <c r="AA19" i="14"/>
  <c r="AA18" i="14"/>
  <c r="H16" i="14"/>
  <c r="I16" i="14" s="1"/>
  <c r="I15" i="14"/>
  <c r="L15" i="14" s="1"/>
  <c r="H15" i="14"/>
  <c r="F15" i="14"/>
  <c r="I14" i="14"/>
  <c r="C50" i="14" s="1"/>
  <c r="G50" i="14" s="1"/>
  <c r="M50" i="14" s="1"/>
  <c r="L50" i="14" s="1"/>
  <c r="F13" i="14"/>
  <c r="C11" i="14"/>
  <c r="AA10" i="14"/>
  <c r="L9" i="14"/>
  <c r="I9" i="14"/>
  <c r="C44" i="14" s="1"/>
  <c r="G44" i="14" s="1"/>
  <c r="M44" i="14" s="1"/>
  <c r="L44" i="14" s="1"/>
  <c r="H8" i="14"/>
  <c r="I8" i="14" s="1"/>
  <c r="W7" i="14"/>
  <c r="AA7" i="14" s="1"/>
  <c r="I7" i="14"/>
  <c r="L7" i="14" s="1"/>
  <c r="H7" i="14"/>
  <c r="AA6" i="14"/>
  <c r="W6" i="14"/>
  <c r="I6" i="14"/>
  <c r="F6" i="14"/>
  <c r="AA5" i="14"/>
  <c r="I5" i="14"/>
  <c r="F5" i="14"/>
  <c r="C5" i="14"/>
  <c r="C97" i="14" s="1"/>
  <c r="G97" i="14" s="1"/>
  <c r="M97" i="14" s="1"/>
  <c r="L97" i="14" s="1"/>
  <c r="AA4" i="14"/>
  <c r="Z90" i="1"/>
  <c r="Z91" i="1"/>
  <c r="Z92" i="1"/>
  <c r="Z93" i="1"/>
  <c r="Z94" i="1"/>
  <c r="Z95" i="1"/>
  <c r="Z96" i="1"/>
  <c r="S97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C269" i="13"/>
  <c r="I257" i="13"/>
  <c r="H257" i="13"/>
  <c r="G257" i="13"/>
  <c r="F257" i="13"/>
  <c r="E257" i="13"/>
  <c r="C257" i="13"/>
  <c r="B257" i="13"/>
  <c r="M253" i="13"/>
  <c r="K239" i="13"/>
  <c r="K236" i="13"/>
  <c r="K233" i="13"/>
  <c r="K230" i="13"/>
  <c r="K220" i="13"/>
  <c r="J220" i="13"/>
  <c r="J217" i="13"/>
  <c r="L217" i="13" s="1"/>
  <c r="K216" i="13"/>
  <c r="J216" i="13"/>
  <c r="K213" i="13"/>
  <c r="J213" i="13"/>
  <c r="J212" i="13"/>
  <c r="L212" i="13" s="1"/>
  <c r="J211" i="13"/>
  <c r="L211" i="13" s="1"/>
  <c r="J210" i="13"/>
  <c r="L210" i="13" s="1"/>
  <c r="J209" i="13"/>
  <c r="L209" i="13" s="1"/>
  <c r="K208" i="13"/>
  <c r="J208" i="13"/>
  <c r="K204" i="13"/>
  <c r="J204" i="13"/>
  <c r="K203" i="13"/>
  <c r="J203" i="13"/>
  <c r="J199" i="13"/>
  <c r="L199" i="13" s="1"/>
  <c r="J198" i="13"/>
  <c r="L198" i="13" s="1"/>
  <c r="J197" i="13"/>
  <c r="K196" i="13"/>
  <c r="J196" i="13"/>
  <c r="L190" i="13"/>
  <c r="L189" i="13"/>
  <c r="G188" i="13"/>
  <c r="L248" i="13" s="1"/>
  <c r="L185" i="13"/>
  <c r="L184" i="13"/>
  <c r="G183" i="13"/>
  <c r="L247" i="13" s="1"/>
  <c r="F183" i="13"/>
  <c r="C177" i="13"/>
  <c r="C176" i="13"/>
  <c r="L172" i="13"/>
  <c r="L171" i="13"/>
  <c r="G170" i="13"/>
  <c r="F156" i="13"/>
  <c r="J156" i="13" s="1"/>
  <c r="F155" i="13"/>
  <c r="J155" i="13" s="1"/>
  <c r="F154" i="13"/>
  <c r="J154" i="13" s="1"/>
  <c r="F151" i="13"/>
  <c r="J151" i="13" s="1"/>
  <c r="F150" i="13"/>
  <c r="J150" i="13" s="1"/>
  <c r="F149" i="13"/>
  <c r="J149" i="13" s="1"/>
  <c r="F148" i="13"/>
  <c r="J148" i="13" s="1"/>
  <c r="F139" i="13"/>
  <c r="F145" i="13" s="1"/>
  <c r="J145" i="13" s="1"/>
  <c r="F136" i="13"/>
  <c r="J136" i="13" s="1"/>
  <c r="F135" i="13"/>
  <c r="J135" i="13" s="1"/>
  <c r="F134" i="13"/>
  <c r="J134" i="13" s="1"/>
  <c r="F133" i="13"/>
  <c r="J133" i="13" s="1"/>
  <c r="J130" i="13"/>
  <c r="U126" i="13"/>
  <c r="T126" i="13"/>
  <c r="S126" i="13"/>
  <c r="R126" i="13"/>
  <c r="U125" i="13"/>
  <c r="T125" i="13"/>
  <c r="S125" i="13"/>
  <c r="R125" i="13"/>
  <c r="U124" i="13"/>
  <c r="T124" i="13"/>
  <c r="S124" i="13"/>
  <c r="R124" i="13"/>
  <c r="L116" i="13"/>
  <c r="I248" i="13" s="1"/>
  <c r="Y141" i="13" s="1"/>
  <c r="K111" i="13"/>
  <c r="I111" i="13"/>
  <c r="G111" i="13"/>
  <c r="AC109" i="13"/>
  <c r="K107" i="13"/>
  <c r="I107" i="13"/>
  <c r="G107" i="13"/>
  <c r="AB106" i="13"/>
  <c r="T106" i="13"/>
  <c r="K106" i="13"/>
  <c r="I106" i="13"/>
  <c r="G106" i="13"/>
  <c r="AA105" i="13"/>
  <c r="K105" i="13"/>
  <c r="I105" i="13"/>
  <c r="C105" i="13"/>
  <c r="G105" i="13" s="1"/>
  <c r="AA104" i="13"/>
  <c r="AA103" i="13"/>
  <c r="AA102" i="13"/>
  <c r="I102" i="13"/>
  <c r="AA101" i="13"/>
  <c r="I101" i="13"/>
  <c r="G101" i="13"/>
  <c r="AA100" i="13"/>
  <c r="I100" i="13"/>
  <c r="G100" i="13"/>
  <c r="AA99" i="13"/>
  <c r="W95" i="13"/>
  <c r="M95" i="13"/>
  <c r="K95" i="13"/>
  <c r="M94" i="13"/>
  <c r="K94" i="13"/>
  <c r="M93" i="13"/>
  <c r="K93" i="13"/>
  <c r="M92" i="13"/>
  <c r="K92" i="13"/>
  <c r="M83" i="13"/>
  <c r="K83" i="13"/>
  <c r="M82" i="13"/>
  <c r="K82" i="13"/>
  <c r="M81" i="13"/>
  <c r="K81" i="13"/>
  <c r="M80" i="13"/>
  <c r="K80" i="13"/>
  <c r="K77" i="13"/>
  <c r="G77" i="13"/>
  <c r="M77" i="13" s="1"/>
  <c r="K76" i="13"/>
  <c r="I76" i="13"/>
  <c r="K75" i="13"/>
  <c r="I75" i="13"/>
  <c r="K74" i="13"/>
  <c r="I74" i="13"/>
  <c r="K70" i="13"/>
  <c r="G70" i="13"/>
  <c r="M70" i="13" s="1"/>
  <c r="K69" i="13"/>
  <c r="I69" i="13"/>
  <c r="K65" i="13"/>
  <c r="K64" i="13"/>
  <c r="K63" i="13"/>
  <c r="I63" i="13"/>
  <c r="K62" i="13"/>
  <c r="I62" i="13"/>
  <c r="K61" i="13"/>
  <c r="I61" i="13"/>
  <c r="K60" i="13"/>
  <c r="I60" i="13"/>
  <c r="K56" i="13"/>
  <c r="I56" i="13"/>
  <c r="K55" i="13"/>
  <c r="I55" i="13"/>
  <c r="K54" i="13"/>
  <c r="C54" i="13"/>
  <c r="M54" i="13" s="1"/>
  <c r="I47" i="13"/>
  <c r="I39" i="13"/>
  <c r="C76" i="13" s="1"/>
  <c r="G76" i="13" s="1"/>
  <c r="C39" i="13"/>
  <c r="F39" i="13" s="1"/>
  <c r="I38" i="13"/>
  <c r="C75" i="13" s="1"/>
  <c r="G75" i="13" s="1"/>
  <c r="I37" i="13"/>
  <c r="C74" i="13" s="1"/>
  <c r="G74" i="13" s="1"/>
  <c r="M74" i="13" s="1"/>
  <c r="I33" i="13"/>
  <c r="L33" i="13" s="1"/>
  <c r="L34" i="13" s="1"/>
  <c r="B247" i="13" s="1"/>
  <c r="X135" i="13" s="1"/>
  <c r="H29" i="13"/>
  <c r="I29" i="13" s="1"/>
  <c r="C64" i="13" s="1"/>
  <c r="G64" i="13" s="1"/>
  <c r="M64" i="13" s="1"/>
  <c r="C28" i="13"/>
  <c r="I28" i="13" s="1"/>
  <c r="C63" i="13" s="1"/>
  <c r="G63" i="13" s="1"/>
  <c r="C27" i="13"/>
  <c r="I27" i="13" s="1"/>
  <c r="AF8" i="13"/>
  <c r="AJ8" i="13" s="1"/>
  <c r="C26" i="13"/>
  <c r="I26" i="13" s="1"/>
  <c r="C61" i="13" s="1"/>
  <c r="G61" i="13" s="1"/>
  <c r="K25" i="13"/>
  <c r="H25" i="13"/>
  <c r="I25" i="13" s="1"/>
  <c r="C25" i="13"/>
  <c r="C29" i="13" s="1"/>
  <c r="AJ5" i="13"/>
  <c r="AJ4" i="13"/>
  <c r="H21" i="13"/>
  <c r="I21" i="13" s="1"/>
  <c r="H20" i="13"/>
  <c r="I20" i="13" s="1"/>
  <c r="L20" i="13" s="1"/>
  <c r="F20" i="13"/>
  <c r="I19" i="13"/>
  <c r="F18" i="13"/>
  <c r="AB8" i="13"/>
  <c r="AB5" i="13"/>
  <c r="G102" i="13"/>
  <c r="M102" i="13" s="1"/>
  <c r="AB4" i="13"/>
  <c r="AB14" i="13" l="1"/>
  <c r="L82" i="13"/>
  <c r="L92" i="13"/>
  <c r="G47" i="13"/>
  <c r="M47" i="13" s="1"/>
  <c r="L47" i="13" s="1"/>
  <c r="I22" i="14"/>
  <c r="C57" i="14" s="1"/>
  <c r="G57" i="14" s="1"/>
  <c r="M57" i="14" s="1"/>
  <c r="L57" i="14" s="1"/>
  <c r="F134" i="14"/>
  <c r="J134" i="14" s="1"/>
  <c r="E248" i="16"/>
  <c r="W96" i="16"/>
  <c r="M244" i="16"/>
  <c r="C260" i="16"/>
  <c r="F248" i="16"/>
  <c r="B248" i="16"/>
  <c r="G248" i="16"/>
  <c r="I248" i="16"/>
  <c r="H248" i="16"/>
  <c r="C248" i="16"/>
  <c r="AB96" i="16"/>
  <c r="AA96" i="16"/>
  <c r="M63" i="13"/>
  <c r="L63" i="13" s="1"/>
  <c r="M61" i="13"/>
  <c r="L61" i="13" s="1"/>
  <c r="L220" i="13"/>
  <c r="F248" i="13" s="1"/>
  <c r="Y138" i="13" s="1"/>
  <c r="F9" i="13"/>
  <c r="L83" i="13"/>
  <c r="L95" i="13"/>
  <c r="I9" i="13"/>
  <c r="J126" i="13"/>
  <c r="J128" i="13"/>
  <c r="L102" i="13"/>
  <c r="M75" i="13"/>
  <c r="L75" i="13" s="1"/>
  <c r="G54" i="13"/>
  <c r="G163" i="13"/>
  <c r="C164" i="13" s="1"/>
  <c r="L186" i="13"/>
  <c r="C247" i="13" s="1"/>
  <c r="X136" i="13" s="1"/>
  <c r="L203" i="13"/>
  <c r="L216" i="13"/>
  <c r="L218" i="13" s="1"/>
  <c r="F247" i="13" s="1"/>
  <c r="X138" i="13" s="1"/>
  <c r="M76" i="13"/>
  <c r="L76" i="13" s="1"/>
  <c r="L173" i="13"/>
  <c r="C245" i="13" s="1"/>
  <c r="L191" i="13"/>
  <c r="C248" i="13" s="1"/>
  <c r="Y136" i="13" s="1"/>
  <c r="L197" i="13"/>
  <c r="C55" i="13"/>
  <c r="G55" i="13" s="1"/>
  <c r="M55" i="13" s="1"/>
  <c r="L55" i="13" s="1"/>
  <c r="L64" i="13"/>
  <c r="C69" i="13"/>
  <c r="G69" i="13" s="1"/>
  <c r="M69" i="13" s="1"/>
  <c r="L69" i="13" s="1"/>
  <c r="M100" i="13"/>
  <c r="M101" i="13"/>
  <c r="J125" i="13"/>
  <c r="J127" i="13"/>
  <c r="J129" i="13"/>
  <c r="M105" i="13"/>
  <c r="M106" i="13"/>
  <c r="L106" i="13" s="1"/>
  <c r="L208" i="13"/>
  <c r="L26" i="13"/>
  <c r="H27" i="13"/>
  <c r="M107" i="13"/>
  <c r="L107" i="13" s="1"/>
  <c r="L12" i="13"/>
  <c r="L19" i="13"/>
  <c r="L38" i="13"/>
  <c r="L70" i="13"/>
  <c r="L77" i="13"/>
  <c r="L81" i="13"/>
  <c r="L94" i="13"/>
  <c r="F141" i="13"/>
  <c r="J141" i="13" s="1"/>
  <c r="J185" i="13"/>
  <c r="L196" i="13"/>
  <c r="L204" i="13"/>
  <c r="L213" i="13"/>
  <c r="C56" i="13"/>
  <c r="G56" i="13" s="1"/>
  <c r="M56" i="13" s="1"/>
  <c r="L56" i="13" s="1"/>
  <c r="L21" i="13"/>
  <c r="K18" i="13"/>
  <c r="L18" i="13" s="1"/>
  <c r="J137" i="13"/>
  <c r="H245" i="13" s="1"/>
  <c r="W99" i="14"/>
  <c r="AA12" i="14"/>
  <c r="K6" i="14" s="1"/>
  <c r="C43" i="14"/>
  <c r="G43" i="14" s="1"/>
  <c r="M43" i="14" s="1"/>
  <c r="L43" i="14" s="1"/>
  <c r="L8" i="14"/>
  <c r="C58" i="14"/>
  <c r="G58" i="14" s="1"/>
  <c r="M58" i="14" s="1"/>
  <c r="L58" i="14" s="1"/>
  <c r="L23" i="14"/>
  <c r="AA38" i="14"/>
  <c r="K13" i="14" s="1"/>
  <c r="L13" i="14" s="1"/>
  <c r="L17" i="14" s="1"/>
  <c r="B238" i="14" s="1"/>
  <c r="M66" i="14"/>
  <c r="R100" i="14" s="1"/>
  <c r="L64" i="14"/>
  <c r="L66" i="14" s="1"/>
  <c r="E240" i="14" s="1"/>
  <c r="L24" i="14"/>
  <c r="C59" i="14"/>
  <c r="G59" i="14" s="1"/>
  <c r="M59" i="14" s="1"/>
  <c r="L59" i="14" s="1"/>
  <c r="L35" i="14"/>
  <c r="B241" i="14" s="1"/>
  <c r="X128" i="14" s="1"/>
  <c r="L73" i="14"/>
  <c r="E241" i="14" s="1"/>
  <c r="X130" i="14" s="1"/>
  <c r="L95" i="14"/>
  <c r="L98" i="14" s="1"/>
  <c r="I237" i="14" s="1"/>
  <c r="I244" i="14" s="1"/>
  <c r="L6" i="14"/>
  <c r="L16" i="14"/>
  <c r="C51" i="14"/>
  <c r="G51" i="14" s="1"/>
  <c r="M51" i="14" s="1"/>
  <c r="L51" i="14" s="1"/>
  <c r="AA21" i="14"/>
  <c r="AA27" i="14" s="1"/>
  <c r="K5" i="14" s="1"/>
  <c r="L10" i="14" s="1"/>
  <c r="B237" i="14" s="1"/>
  <c r="B244" i="14" s="1"/>
  <c r="L28" i="14"/>
  <c r="L29" i="14" s="1"/>
  <c r="B240" i="14" s="1"/>
  <c r="W128" i="14" s="1"/>
  <c r="C42" i="14"/>
  <c r="G42" i="14" s="1"/>
  <c r="M42" i="14" s="1"/>
  <c r="L42" i="14" s="1"/>
  <c r="C55" i="14"/>
  <c r="G55" i="14" s="1"/>
  <c r="M55" i="14" s="1"/>
  <c r="M96" i="14"/>
  <c r="L96" i="14" s="1"/>
  <c r="M103" i="14"/>
  <c r="M102" i="14"/>
  <c r="L102" i="14" s="1"/>
  <c r="L103" i="14" s="1"/>
  <c r="I239" i="14" s="1"/>
  <c r="I245" i="14" s="1"/>
  <c r="J145" i="14"/>
  <c r="H240" i="14" s="1"/>
  <c r="W133" i="14" s="1"/>
  <c r="J165" i="14"/>
  <c r="L238" i="14"/>
  <c r="F223" i="14"/>
  <c r="J223" i="14" s="1"/>
  <c r="L223" i="14" s="1"/>
  <c r="G238" i="14" s="1"/>
  <c r="M49" i="14"/>
  <c r="C56" i="14"/>
  <c r="G56" i="14" s="1"/>
  <c r="M56" i="14" s="1"/>
  <c r="L56" i="14" s="1"/>
  <c r="M73" i="14"/>
  <c r="R101" i="14" s="1"/>
  <c r="M91" i="14"/>
  <c r="L106" i="14"/>
  <c r="L107" i="14" s="1"/>
  <c r="I240" i="14" s="1"/>
  <c r="W134" i="14" s="1"/>
  <c r="Y134" i="14" s="1"/>
  <c r="M107" i="14"/>
  <c r="S100" i="14" s="1"/>
  <c r="C159" i="14"/>
  <c r="L159" i="14" s="1"/>
  <c r="C157" i="14"/>
  <c r="L237" i="14"/>
  <c r="L244" i="14" s="1"/>
  <c r="F220" i="14"/>
  <c r="J220" i="14" s="1"/>
  <c r="L220" i="14" s="1"/>
  <c r="G237" i="14" s="1"/>
  <c r="G244" i="14" s="1"/>
  <c r="C160" i="14"/>
  <c r="L160" i="14" s="1"/>
  <c r="C158" i="14"/>
  <c r="L158" i="14" s="1"/>
  <c r="Y133" i="14"/>
  <c r="Y129" i="14"/>
  <c r="M79" i="14"/>
  <c r="L75" i="14"/>
  <c r="L79" i="14" s="1"/>
  <c r="L14" i="14"/>
  <c r="G84" i="14"/>
  <c r="M84" i="14" s="1"/>
  <c r="L84" i="14" s="1"/>
  <c r="Y115" i="14"/>
  <c r="L194" i="14"/>
  <c r="F237" i="14" s="1"/>
  <c r="F244" i="14" s="1"/>
  <c r="L207" i="14"/>
  <c r="F239" i="14" s="1"/>
  <c r="F245" i="14" s="1"/>
  <c r="F135" i="14"/>
  <c r="J135" i="14" s="1"/>
  <c r="F137" i="14"/>
  <c r="J137" i="14" s="1"/>
  <c r="G168" i="14"/>
  <c r="F229" i="14"/>
  <c r="J229" i="14" s="1"/>
  <c r="L229" i="14" s="1"/>
  <c r="G240" i="14" s="1"/>
  <c r="W132" i="14" s="1"/>
  <c r="F232" i="14"/>
  <c r="J232" i="14" s="1"/>
  <c r="L232" i="14" s="1"/>
  <c r="G241" i="14" s="1"/>
  <c r="X132" i="14" s="1"/>
  <c r="J132" i="14"/>
  <c r="F133" i="14"/>
  <c r="J133" i="14" s="1"/>
  <c r="F136" i="14"/>
  <c r="J136" i="14" s="1"/>
  <c r="J179" i="14"/>
  <c r="L54" i="13"/>
  <c r="L25" i="13"/>
  <c r="C60" i="13"/>
  <c r="G60" i="13" s="1"/>
  <c r="M60" i="13" s="1"/>
  <c r="L27" i="13"/>
  <c r="C62" i="13"/>
  <c r="G62" i="13" s="1"/>
  <c r="M62" i="13" s="1"/>
  <c r="L62" i="13" s="1"/>
  <c r="L74" i="13"/>
  <c r="L100" i="13"/>
  <c r="AJ14" i="13"/>
  <c r="K7" i="13" s="1"/>
  <c r="L7" i="13" s="1"/>
  <c r="L28" i="13"/>
  <c r="L29" i="13"/>
  <c r="L37" i="13"/>
  <c r="L39" i="13"/>
  <c r="M84" i="13"/>
  <c r="L80" i="13"/>
  <c r="J172" i="13"/>
  <c r="L245" i="13"/>
  <c r="F230" i="13"/>
  <c r="J230" i="13" s="1"/>
  <c r="L230" i="13" s="1"/>
  <c r="G245" i="13" s="1"/>
  <c r="J152" i="13"/>
  <c r="H247" i="13" s="1"/>
  <c r="X140" i="13" s="1"/>
  <c r="L93" i="13"/>
  <c r="M96" i="13"/>
  <c r="M111" i="13"/>
  <c r="J157" i="13"/>
  <c r="H248" i="13" s="1"/>
  <c r="Y140" i="13" s="1"/>
  <c r="F142" i="13"/>
  <c r="J142" i="13" s="1"/>
  <c r="F144" i="13"/>
  <c r="J144" i="13" s="1"/>
  <c r="G175" i="13"/>
  <c r="F236" i="13"/>
  <c r="J236" i="13" s="1"/>
  <c r="L236" i="13" s="1"/>
  <c r="G247" i="13" s="1"/>
  <c r="X139" i="13" s="1"/>
  <c r="F239" i="13"/>
  <c r="J239" i="13" s="1"/>
  <c r="L239" i="13" s="1"/>
  <c r="G248" i="13" s="1"/>
  <c r="Y139" i="13" s="1"/>
  <c r="J139" i="13"/>
  <c r="F140" i="13"/>
  <c r="J140" i="13" s="1"/>
  <c r="F143" i="13"/>
  <c r="J143" i="13" s="1"/>
  <c r="J186" i="13"/>
  <c r="Z136" i="13" l="1"/>
  <c r="L244" i="13"/>
  <c r="L251" i="13" s="1"/>
  <c r="C50" i="13"/>
  <c r="G50" i="13" s="1"/>
  <c r="M50" i="13" s="1"/>
  <c r="L50" i="13" s="1"/>
  <c r="C167" i="13"/>
  <c r="L167" i="13" s="1"/>
  <c r="Z138" i="13"/>
  <c r="Z139" i="13"/>
  <c r="C86" i="13"/>
  <c r="L22" i="14"/>
  <c r="L25" i="14" s="1"/>
  <c r="B239" i="14" s="1"/>
  <c r="Y112" i="16"/>
  <c r="Y96" i="16"/>
  <c r="W90" i="16"/>
  <c r="X112" i="16"/>
  <c r="K11" i="13"/>
  <c r="L11" i="13" s="1"/>
  <c r="K6" i="13"/>
  <c r="L6" i="13" s="1"/>
  <c r="L165" i="13"/>
  <c r="L84" i="13"/>
  <c r="L71" i="13"/>
  <c r="E247" i="13" s="1"/>
  <c r="X137" i="13" s="1"/>
  <c r="L166" i="13"/>
  <c r="M71" i="13"/>
  <c r="S105" i="13" s="1"/>
  <c r="L201" i="13"/>
  <c r="M108" i="13"/>
  <c r="F227" i="13"/>
  <c r="J227" i="13" s="1"/>
  <c r="L227" i="13" s="1"/>
  <c r="J124" i="13"/>
  <c r="J131" i="13" s="1"/>
  <c r="L9" i="13"/>
  <c r="L205" i="13"/>
  <c r="F245" i="13" s="1"/>
  <c r="M78" i="13"/>
  <c r="S106" i="13" s="1"/>
  <c r="L57" i="13"/>
  <c r="M103" i="13"/>
  <c r="T99" i="13" s="1"/>
  <c r="L105" i="13"/>
  <c r="L108" i="13" s="1"/>
  <c r="I246" i="13" s="1"/>
  <c r="L101" i="13"/>
  <c r="L103" i="13" s="1"/>
  <c r="L214" i="13"/>
  <c r="F246" i="13" s="1"/>
  <c r="F252" i="13" s="1"/>
  <c r="Z140" i="13"/>
  <c r="M57" i="13"/>
  <c r="L96" i="13"/>
  <c r="L78" i="13"/>
  <c r="E248" i="13" s="1"/>
  <c r="Y137" i="13" s="1"/>
  <c r="L22" i="13"/>
  <c r="B245" i="13" s="1"/>
  <c r="L40" i="13"/>
  <c r="B248" i="13" s="1"/>
  <c r="Y135" i="13" s="1"/>
  <c r="Z135" i="13" s="1"/>
  <c r="W94" i="14"/>
  <c r="X100" i="14"/>
  <c r="W100" i="14"/>
  <c r="Y116" i="14" s="1"/>
  <c r="J240" i="14"/>
  <c r="W130" i="14"/>
  <c r="C172" i="14"/>
  <c r="L172" i="14" s="1"/>
  <c r="L239" i="14"/>
  <c r="C171" i="14"/>
  <c r="F226" i="14"/>
  <c r="J226" i="14" s="1"/>
  <c r="L226" i="14" s="1"/>
  <c r="G239" i="14" s="1"/>
  <c r="G245" i="14" s="1"/>
  <c r="W97" i="14"/>
  <c r="Y113" i="14" s="1"/>
  <c r="S99" i="14"/>
  <c r="S95" i="14"/>
  <c r="S96" i="14"/>
  <c r="M41" i="14"/>
  <c r="G41" i="14"/>
  <c r="M98" i="14"/>
  <c r="S94" i="14" s="1"/>
  <c r="W98" i="14"/>
  <c r="Y114" i="14" s="1"/>
  <c r="L55" i="14"/>
  <c r="L157" i="14"/>
  <c r="L161" i="14" s="1"/>
  <c r="C237" i="14" s="1"/>
  <c r="C244" i="14" s="1"/>
  <c r="C45" i="14"/>
  <c r="G45" i="14" s="1"/>
  <c r="M45" i="14" s="1"/>
  <c r="L45" i="14" s="1"/>
  <c r="M52" i="14"/>
  <c r="L49" i="14"/>
  <c r="L52" i="14" s="1"/>
  <c r="E238" i="14" s="1"/>
  <c r="J238" i="14" s="1"/>
  <c r="W139" i="14"/>
  <c r="Y139" i="14" s="1"/>
  <c r="Y130" i="14"/>
  <c r="B245" i="14"/>
  <c r="X97" i="14"/>
  <c r="G82" i="14"/>
  <c r="M82" i="14" s="1"/>
  <c r="L82" i="14" s="1"/>
  <c r="M81" i="14"/>
  <c r="L81" i="14" s="1"/>
  <c r="J139" i="14"/>
  <c r="H239" i="14" s="1"/>
  <c r="H245" i="14" s="1"/>
  <c r="Y132" i="14"/>
  <c r="X139" i="14"/>
  <c r="Y128" i="14"/>
  <c r="G83" i="14"/>
  <c r="M83" i="14" s="1"/>
  <c r="L83" i="14" s="1"/>
  <c r="L111" i="13"/>
  <c r="L112" i="13" s="1"/>
  <c r="I247" i="13" s="1"/>
  <c r="X141" i="13" s="1"/>
  <c r="Z141" i="13" s="1"/>
  <c r="M112" i="13"/>
  <c r="L60" i="13"/>
  <c r="C179" i="13"/>
  <c r="L179" i="13" s="1"/>
  <c r="L246" i="13"/>
  <c r="C178" i="13"/>
  <c r="F233" i="13"/>
  <c r="J233" i="13" s="1"/>
  <c r="L233" i="13" s="1"/>
  <c r="G246" i="13" s="1"/>
  <c r="G252" i="13" s="1"/>
  <c r="L30" i="13"/>
  <c r="B246" i="13" s="1"/>
  <c r="B252" i="13" s="1"/>
  <c r="J146" i="13"/>
  <c r="H246" i="13" s="1"/>
  <c r="H252" i="13" s="1"/>
  <c r="L164" i="13"/>
  <c r="G46" i="13" l="1"/>
  <c r="G244" i="13"/>
  <c r="G251" i="13" s="1"/>
  <c r="X103" i="13" s="1"/>
  <c r="Z119" i="13" s="1"/>
  <c r="B31" i="12"/>
  <c r="F244" i="13"/>
  <c r="F251" i="13" s="1"/>
  <c r="X102" i="13" s="1"/>
  <c r="Z118" i="13" s="1"/>
  <c r="B30" i="12"/>
  <c r="I244" i="13"/>
  <c r="I251" i="13" s="1"/>
  <c r="X105" i="13" s="1"/>
  <c r="Z121" i="13" s="1"/>
  <c r="B27" i="12"/>
  <c r="H244" i="13"/>
  <c r="H251" i="13" s="1"/>
  <c r="X104" i="13" s="1"/>
  <c r="Z120" i="13" s="1"/>
  <c r="B28" i="12"/>
  <c r="E245" i="13"/>
  <c r="G86" i="13"/>
  <c r="M86" i="13" s="1"/>
  <c r="L86" i="13" s="1"/>
  <c r="G89" i="13"/>
  <c r="M89" i="13" s="1"/>
  <c r="L89" i="13" s="1"/>
  <c r="G88" i="13"/>
  <c r="M88" i="13" s="1"/>
  <c r="L88" i="13" s="1"/>
  <c r="G87" i="13"/>
  <c r="M87" i="13" s="1"/>
  <c r="L87" i="13" s="1"/>
  <c r="M46" i="13"/>
  <c r="M51" i="13" s="1"/>
  <c r="L15" i="13"/>
  <c r="Y90" i="16"/>
  <c r="Z90" i="16"/>
  <c r="AB95" i="16"/>
  <c r="AA95" i="16"/>
  <c r="AB101" i="16"/>
  <c r="J247" i="13"/>
  <c r="L168" i="13"/>
  <c r="T104" i="13"/>
  <c r="T101" i="13"/>
  <c r="Y146" i="13"/>
  <c r="J245" i="13"/>
  <c r="I252" i="13"/>
  <c r="Y105" i="13" s="1"/>
  <c r="X146" i="13"/>
  <c r="W95" i="14"/>
  <c r="Y111" i="14" s="1"/>
  <c r="X99" i="14"/>
  <c r="X113" i="14"/>
  <c r="Y97" i="14"/>
  <c r="X98" i="14"/>
  <c r="X116" i="14"/>
  <c r="Y100" i="14"/>
  <c r="L85" i="14"/>
  <c r="M85" i="14"/>
  <c r="X94" i="14"/>
  <c r="C60" i="14"/>
  <c r="G60" i="14" s="1"/>
  <c r="M60" i="14" s="1"/>
  <c r="F169" i="14"/>
  <c r="L169" i="14" s="1"/>
  <c r="L173" i="14" s="1"/>
  <c r="C239" i="14" s="1"/>
  <c r="C245" i="14" s="1"/>
  <c r="Y110" i="14"/>
  <c r="Z139" i="14"/>
  <c r="L41" i="14"/>
  <c r="L46" i="14" s="1"/>
  <c r="M46" i="14"/>
  <c r="L246" i="14"/>
  <c r="L245" i="14"/>
  <c r="T105" i="13"/>
  <c r="T100" i="13"/>
  <c r="Y99" i="13"/>
  <c r="Y103" i="13"/>
  <c r="Z137" i="13"/>
  <c r="Y104" i="13"/>
  <c r="C65" i="13"/>
  <c r="G65" i="13" s="1"/>
  <c r="M65" i="13" s="1"/>
  <c r="F176" i="13"/>
  <c r="L176" i="13" s="1"/>
  <c r="L180" i="13" s="1"/>
  <c r="C246" i="13" s="1"/>
  <c r="C252" i="13" s="1"/>
  <c r="Y102" i="13"/>
  <c r="L253" i="13"/>
  <c r="L252" i="13"/>
  <c r="L46" i="13" l="1"/>
  <c r="L51" i="13" s="1"/>
  <c r="B26" i="12" s="1"/>
  <c r="B244" i="13"/>
  <c r="B251" i="13" s="1"/>
  <c r="X99" i="13" s="1"/>
  <c r="Y115" i="13" s="1"/>
  <c r="B27" i="20"/>
  <c r="C244" i="13"/>
  <c r="C251" i="13" s="1"/>
  <c r="X100" i="13" s="1"/>
  <c r="Z116" i="13" s="1"/>
  <c r="B29" i="12"/>
  <c r="B25" i="12"/>
  <c r="M90" i="13"/>
  <c r="S99" i="13" s="1"/>
  <c r="L90" i="13"/>
  <c r="E244" i="13" s="1"/>
  <c r="E251" i="13" s="1"/>
  <c r="R94" i="14"/>
  <c r="E237" i="14"/>
  <c r="E244" i="14" s="1"/>
  <c r="Z146" i="13"/>
  <c r="AA146" i="13"/>
  <c r="X95" i="14"/>
  <c r="X114" i="14"/>
  <c r="Y98" i="14"/>
  <c r="L60" i="14"/>
  <c r="L61" i="14" s="1"/>
  <c r="E239" i="14" s="1"/>
  <c r="M61" i="14"/>
  <c r="X110" i="14"/>
  <c r="Y94" i="14"/>
  <c r="AB100" i="14"/>
  <c r="AA100" i="14"/>
  <c r="X115" i="14"/>
  <c r="Y99" i="14"/>
  <c r="AB98" i="14"/>
  <c r="AA98" i="14"/>
  <c r="Y119" i="13"/>
  <c r="Z103" i="13"/>
  <c r="Y120" i="13"/>
  <c r="Z104" i="13"/>
  <c r="Y118" i="13"/>
  <c r="Z102" i="13"/>
  <c r="Y100" i="13"/>
  <c r="Y121" i="13"/>
  <c r="Z105" i="13"/>
  <c r="L65" i="13"/>
  <c r="L66" i="13" s="1"/>
  <c r="E246" i="13" s="1"/>
  <c r="M66" i="13"/>
  <c r="Z115" i="13" l="1"/>
  <c r="Z99" i="13"/>
  <c r="AB99" i="13" s="1"/>
  <c r="B22" i="12"/>
  <c r="J244" i="13"/>
  <c r="J237" i="14"/>
  <c r="R95" i="14"/>
  <c r="R96" i="14"/>
  <c r="R99" i="14"/>
  <c r="AB99" i="14"/>
  <c r="AA99" i="14"/>
  <c r="Y95" i="14"/>
  <c r="X111" i="14"/>
  <c r="AB97" i="14"/>
  <c r="AA97" i="14"/>
  <c r="AA94" i="14"/>
  <c r="AB94" i="14"/>
  <c r="E245" i="14"/>
  <c r="J239" i="14"/>
  <c r="E248" i="14"/>
  <c r="W96" i="14"/>
  <c r="F248" i="14"/>
  <c r="M244" i="14"/>
  <c r="C248" i="14"/>
  <c r="B248" i="14"/>
  <c r="H248" i="14"/>
  <c r="I248" i="14"/>
  <c r="G248" i="14"/>
  <c r="C260" i="14"/>
  <c r="S100" i="13"/>
  <c r="S104" i="13"/>
  <c r="S101" i="13"/>
  <c r="AC102" i="13"/>
  <c r="AB102" i="13"/>
  <c r="E252" i="13"/>
  <c r="J246" i="13"/>
  <c r="AC99" i="13"/>
  <c r="AC103" i="13"/>
  <c r="AB103" i="13"/>
  <c r="AC105" i="13"/>
  <c r="AB105" i="13"/>
  <c r="AC104" i="13"/>
  <c r="AB104" i="13"/>
  <c r="Z100" i="13"/>
  <c r="Y116" i="13"/>
  <c r="E255" i="13"/>
  <c r="X101" i="13"/>
  <c r="I255" i="13"/>
  <c r="F255" i="13"/>
  <c r="C255" i="13"/>
  <c r="C267" i="13"/>
  <c r="H255" i="13"/>
  <c r="B255" i="13"/>
  <c r="M251" i="13"/>
  <c r="G255" i="13"/>
  <c r="AB96" i="14" l="1"/>
  <c r="AA96" i="14"/>
  <c r="Y112" i="14"/>
  <c r="W90" i="14"/>
  <c r="X96" i="14"/>
  <c r="E249" i="14"/>
  <c r="F249" i="14"/>
  <c r="B249" i="14"/>
  <c r="M245" i="14"/>
  <c r="C261" i="14"/>
  <c r="G249" i="14"/>
  <c r="C249" i="14"/>
  <c r="H249" i="14"/>
  <c r="I249" i="14"/>
  <c r="Y101" i="13"/>
  <c r="E256" i="13"/>
  <c r="G256" i="13"/>
  <c r="B256" i="13"/>
  <c r="C268" i="13"/>
  <c r="M252" i="13"/>
  <c r="H256" i="13"/>
  <c r="F256" i="13"/>
  <c r="C256" i="13"/>
  <c r="I256" i="13"/>
  <c r="AC101" i="13"/>
  <c r="AB101" i="13"/>
  <c r="Z117" i="13"/>
  <c r="X95" i="13"/>
  <c r="X112" i="14" l="1"/>
  <c r="Y96" i="14"/>
  <c r="X90" i="14"/>
  <c r="Z90" i="14" s="1"/>
  <c r="Y117" i="13"/>
  <c r="Z101" i="13"/>
  <c r="Y95" i="13"/>
  <c r="AA95" i="13" s="1"/>
  <c r="AA95" i="14" l="1"/>
  <c r="AB95" i="14"/>
  <c r="AB101" i="14"/>
  <c r="Y90" i="14"/>
  <c r="AB100" i="13"/>
  <c r="AC100" i="13"/>
  <c r="AC106" i="13"/>
  <c r="Z95" i="13"/>
  <c r="H22" i="1" l="1"/>
  <c r="B11" i="11" s="1"/>
  <c r="H20" i="1"/>
  <c r="B8" i="11" s="1"/>
  <c r="F133" i="1"/>
  <c r="C21" i="1"/>
  <c r="F129" i="1" l="1"/>
  <c r="F131" i="1"/>
  <c r="F134" i="1"/>
  <c r="F130" i="1"/>
  <c r="G164" i="1" l="1"/>
  <c r="J134" i="1"/>
  <c r="E120" i="1"/>
  <c r="F118" i="1" s="1"/>
  <c r="L165" i="1" l="1"/>
  <c r="F114" i="1"/>
  <c r="F119" i="1"/>
  <c r="F116" i="1"/>
  <c r="J116" i="1" s="1"/>
  <c r="F117" i="1"/>
  <c r="J117" i="1" s="1"/>
  <c r="F113" i="1"/>
  <c r="G152" i="1" s="1"/>
  <c r="F115" i="1"/>
  <c r="C156" i="1" l="1"/>
  <c r="F216" i="1"/>
  <c r="C155" i="1"/>
  <c r="L155" i="1" s="1"/>
  <c r="C153" i="1"/>
  <c r="C154" i="1"/>
  <c r="L154" i="1" s="1"/>
  <c r="C5" i="1"/>
  <c r="C93" i="1" s="1"/>
  <c r="C22" i="1"/>
  <c r="K20" i="1"/>
  <c r="C43" i="1" l="1"/>
  <c r="C77" i="1"/>
  <c r="G77" i="1" s="1"/>
  <c r="H20" i="10" l="1"/>
  <c r="I20" i="1" l="1"/>
  <c r="C53" i="1" s="1"/>
  <c r="C254" i="10" l="1"/>
  <c r="I242" i="10"/>
  <c r="H242" i="10"/>
  <c r="G242" i="10"/>
  <c r="F242" i="10"/>
  <c r="E242" i="10"/>
  <c r="C242" i="10"/>
  <c r="B242" i="10"/>
  <c r="M238" i="10"/>
  <c r="I233" i="10"/>
  <c r="L232" i="10"/>
  <c r="K226" i="10"/>
  <c r="K223" i="10"/>
  <c r="K220" i="10"/>
  <c r="K217" i="10"/>
  <c r="K214" i="10"/>
  <c r="K207" i="10"/>
  <c r="J207" i="10"/>
  <c r="L207" i="10" s="1"/>
  <c r="F233" i="10" s="1"/>
  <c r="X129" i="10" s="1"/>
  <c r="J204" i="10"/>
  <c r="L204" i="10" s="1"/>
  <c r="K203" i="10"/>
  <c r="J203" i="10"/>
  <c r="L203" i="10" s="1"/>
  <c r="L200" i="10"/>
  <c r="K200" i="10"/>
  <c r="J200" i="10"/>
  <c r="J199" i="10"/>
  <c r="L199" i="10" s="1"/>
  <c r="J198" i="10"/>
  <c r="L198" i="10" s="1"/>
  <c r="J197" i="10"/>
  <c r="L197" i="10" s="1"/>
  <c r="J196" i="10"/>
  <c r="L196" i="10" s="1"/>
  <c r="K195" i="10"/>
  <c r="J195" i="10"/>
  <c r="L195" i="10" s="1"/>
  <c r="L191" i="10"/>
  <c r="K191" i="10"/>
  <c r="J191" i="10"/>
  <c r="K190" i="10"/>
  <c r="J190" i="10"/>
  <c r="J187" i="10"/>
  <c r="L187" i="10" s="1"/>
  <c r="J186" i="10"/>
  <c r="L186" i="10" s="1"/>
  <c r="J185" i="10"/>
  <c r="L185" i="10" s="1"/>
  <c r="K184" i="10"/>
  <c r="J184" i="10"/>
  <c r="L184" i="10" s="1"/>
  <c r="L183" i="10"/>
  <c r="K183" i="10"/>
  <c r="J183" i="10"/>
  <c r="L177" i="10"/>
  <c r="L176" i="10"/>
  <c r="G175" i="10"/>
  <c r="F226" i="10" s="1"/>
  <c r="J226" i="10" s="1"/>
  <c r="L172" i="10"/>
  <c r="L171" i="10"/>
  <c r="L173" i="10" s="1"/>
  <c r="C232" i="10" s="1"/>
  <c r="W127" i="10" s="1"/>
  <c r="G170" i="10"/>
  <c r="J173" i="10" s="1"/>
  <c r="F170" i="10"/>
  <c r="C166" i="10"/>
  <c r="L166" i="10" s="1"/>
  <c r="L165" i="10"/>
  <c r="G164" i="10"/>
  <c r="F220" i="10" s="1"/>
  <c r="J220" i="10" s="1"/>
  <c r="L161" i="10"/>
  <c r="L160" i="10"/>
  <c r="L162" i="10" s="1"/>
  <c r="C230" i="10" s="1"/>
  <c r="G159" i="10"/>
  <c r="L155" i="10"/>
  <c r="L229" i="10"/>
  <c r="J147" i="10"/>
  <c r="F147" i="10"/>
  <c r="F146" i="10"/>
  <c r="J146" i="10" s="1"/>
  <c r="F145" i="10"/>
  <c r="J145" i="10" s="1"/>
  <c r="F142" i="10"/>
  <c r="J142" i="10" s="1"/>
  <c r="F141" i="10"/>
  <c r="J141" i="10" s="1"/>
  <c r="F140" i="10"/>
  <c r="J140" i="10" s="1"/>
  <c r="J139" i="10"/>
  <c r="F139" i="10"/>
  <c r="F136" i="10"/>
  <c r="J136" i="10" s="1"/>
  <c r="F135" i="10"/>
  <c r="J135" i="10" s="1"/>
  <c r="F134" i="10"/>
  <c r="J134" i="10" s="1"/>
  <c r="F133" i="10"/>
  <c r="J133" i="10" s="1"/>
  <c r="X132" i="10"/>
  <c r="F132" i="10"/>
  <c r="J132" i="10" s="1"/>
  <c r="F131" i="10"/>
  <c r="J131" i="10" s="1"/>
  <c r="F130" i="10"/>
  <c r="J130" i="10" s="1"/>
  <c r="J127" i="10"/>
  <c r="F127" i="10"/>
  <c r="F126" i="10"/>
  <c r="J126" i="10" s="1"/>
  <c r="J125" i="10"/>
  <c r="F125" i="10"/>
  <c r="F124" i="10"/>
  <c r="J124" i="10" s="1"/>
  <c r="J121" i="10"/>
  <c r="J120" i="10"/>
  <c r="S119" i="10"/>
  <c r="R119" i="10"/>
  <c r="Q119" i="10"/>
  <c r="P119" i="10"/>
  <c r="J119" i="10"/>
  <c r="S118" i="10"/>
  <c r="R118" i="10"/>
  <c r="Q118" i="10"/>
  <c r="P118" i="10"/>
  <c r="J118" i="10"/>
  <c r="S117" i="10"/>
  <c r="R117" i="10"/>
  <c r="Q117" i="10"/>
  <c r="P117" i="10"/>
  <c r="J117" i="10"/>
  <c r="L111" i="10"/>
  <c r="K106" i="10"/>
  <c r="I106" i="10"/>
  <c r="G106" i="10"/>
  <c r="M106" i="10" s="1"/>
  <c r="AB104" i="10"/>
  <c r="K102" i="10"/>
  <c r="I102" i="10"/>
  <c r="G102" i="10"/>
  <c r="M102" i="10" s="1"/>
  <c r="L102" i="10" s="1"/>
  <c r="AA101" i="10"/>
  <c r="S101" i="10"/>
  <c r="M101" i="10"/>
  <c r="K101" i="10"/>
  <c r="I101" i="10"/>
  <c r="G101" i="10"/>
  <c r="Z100" i="10"/>
  <c r="K100" i="10"/>
  <c r="I100" i="10"/>
  <c r="C100" i="10"/>
  <c r="G100" i="10" s="1"/>
  <c r="M100" i="10" s="1"/>
  <c r="Z99" i="10"/>
  <c r="Y115" i="10" s="1"/>
  <c r="Z98" i="10"/>
  <c r="Z97" i="10"/>
  <c r="K97" i="10"/>
  <c r="I97" i="10"/>
  <c r="Z96" i="10"/>
  <c r="K96" i="10"/>
  <c r="I96" i="10"/>
  <c r="G96" i="10"/>
  <c r="Z95" i="10"/>
  <c r="M95" i="10"/>
  <c r="K95" i="10"/>
  <c r="I95" i="10"/>
  <c r="G95" i="10"/>
  <c r="Z94" i="10"/>
  <c r="V83" i="10"/>
  <c r="M90" i="10"/>
  <c r="K90" i="10"/>
  <c r="M89" i="10"/>
  <c r="L89" i="10" s="1"/>
  <c r="K89" i="10"/>
  <c r="M88" i="10"/>
  <c r="K88" i="10"/>
  <c r="L88" i="10" s="1"/>
  <c r="M87" i="10"/>
  <c r="K87" i="10"/>
  <c r="K84" i="10"/>
  <c r="G84" i="10"/>
  <c r="M84" i="10" s="1"/>
  <c r="L84" i="10" s="1"/>
  <c r="K83" i="10"/>
  <c r="K82" i="10"/>
  <c r="K81" i="10"/>
  <c r="G81" i="10"/>
  <c r="M81" i="10" s="1"/>
  <c r="L81" i="10" s="1"/>
  <c r="M78" i="10"/>
  <c r="K78" i="10"/>
  <c r="M77" i="10"/>
  <c r="L77" i="10"/>
  <c r="K77" i="10"/>
  <c r="M76" i="10"/>
  <c r="K76" i="10"/>
  <c r="M75" i="10"/>
  <c r="L75" i="10" s="1"/>
  <c r="K75" i="10"/>
  <c r="M72" i="10"/>
  <c r="L72" i="10"/>
  <c r="K72" i="10"/>
  <c r="G72" i="10"/>
  <c r="K71" i="10"/>
  <c r="I71" i="10"/>
  <c r="K70" i="10"/>
  <c r="I70" i="10"/>
  <c r="K69" i="10"/>
  <c r="I69" i="10"/>
  <c r="K65" i="10"/>
  <c r="G65" i="10"/>
  <c r="M65" i="10" s="1"/>
  <c r="L65" i="10" s="1"/>
  <c r="K64" i="10"/>
  <c r="I64" i="10"/>
  <c r="K60" i="10"/>
  <c r="C60" i="10"/>
  <c r="G60" i="10" s="1"/>
  <c r="M60" i="10" s="1"/>
  <c r="L60" i="10" s="1"/>
  <c r="K59" i="10"/>
  <c r="K58" i="10"/>
  <c r="I58" i="10"/>
  <c r="G58" i="10"/>
  <c r="M58" i="10" s="1"/>
  <c r="L58" i="10" s="1"/>
  <c r="K57" i="10"/>
  <c r="I57" i="10"/>
  <c r="G57" i="10"/>
  <c r="M57" i="10" s="1"/>
  <c r="L57" i="10" s="1"/>
  <c r="K56" i="10"/>
  <c r="I56" i="10"/>
  <c r="C56" i="10"/>
  <c r="G56" i="10" s="1"/>
  <c r="M56" i="10" s="1"/>
  <c r="L56" i="10" s="1"/>
  <c r="K55" i="10"/>
  <c r="I55" i="10"/>
  <c r="G55" i="10"/>
  <c r="M55" i="10" s="1"/>
  <c r="K51" i="10"/>
  <c r="I51" i="10"/>
  <c r="K50" i="10"/>
  <c r="I50" i="10"/>
  <c r="K49" i="10"/>
  <c r="C49" i="10"/>
  <c r="M49" i="10" s="1"/>
  <c r="K45" i="10"/>
  <c r="C45" i="10"/>
  <c r="G45" i="10" s="1"/>
  <c r="M45" i="10" s="1"/>
  <c r="L45" i="10" s="1"/>
  <c r="K44" i="10"/>
  <c r="I44" i="10"/>
  <c r="G44" i="10"/>
  <c r="M44" i="10" s="1"/>
  <c r="L44" i="10" s="1"/>
  <c r="K43" i="10"/>
  <c r="I43" i="10"/>
  <c r="K42" i="10"/>
  <c r="I42" i="10"/>
  <c r="K41" i="10"/>
  <c r="AA36" i="10"/>
  <c r="W35" i="10"/>
  <c r="AA35" i="10" s="1"/>
  <c r="W34" i="10"/>
  <c r="AA34" i="10" s="1"/>
  <c r="AA38" i="10" s="1"/>
  <c r="K13" i="10" s="1"/>
  <c r="L13" i="10" s="1"/>
  <c r="I34" i="10"/>
  <c r="L34" i="10" s="1"/>
  <c r="C34" i="10"/>
  <c r="F34" i="10" s="1"/>
  <c r="AA33" i="10"/>
  <c r="I33" i="10"/>
  <c r="C70" i="10" s="1"/>
  <c r="G70" i="10" s="1"/>
  <c r="AA32" i="10"/>
  <c r="I32" i="10"/>
  <c r="I28" i="10"/>
  <c r="C64" i="10" s="1"/>
  <c r="G64" i="10" s="1"/>
  <c r="M64" i="10" s="1"/>
  <c r="L64" i="10" s="1"/>
  <c r="AA25" i="10"/>
  <c r="H24" i="10"/>
  <c r="I24" i="10" s="1"/>
  <c r="I23" i="10"/>
  <c r="C58" i="10" s="1"/>
  <c r="L22" i="10"/>
  <c r="I22" i="10"/>
  <c r="C57" i="10" s="1"/>
  <c r="H22" i="10"/>
  <c r="W21" i="10"/>
  <c r="AA21" i="10" s="1"/>
  <c r="L21" i="10"/>
  <c r="I21" i="10"/>
  <c r="W20" i="10"/>
  <c r="K20" i="10"/>
  <c r="L20" i="10" s="1"/>
  <c r="I20" i="10"/>
  <c r="C55" i="10" s="1"/>
  <c r="AA19" i="10"/>
  <c r="AA18" i="10"/>
  <c r="L16" i="10"/>
  <c r="I16" i="10"/>
  <c r="C51" i="10" s="1"/>
  <c r="G51" i="10" s="1"/>
  <c r="M51" i="10" s="1"/>
  <c r="L51" i="10" s="1"/>
  <c r="H16" i="10"/>
  <c r="H15" i="10"/>
  <c r="I15" i="10" s="1"/>
  <c r="F15" i="10"/>
  <c r="I14" i="10"/>
  <c r="L14" i="10" s="1"/>
  <c r="F13" i="10"/>
  <c r="C11" i="10"/>
  <c r="AA10" i="10"/>
  <c r="L9" i="10"/>
  <c r="I9" i="10"/>
  <c r="C44" i="10" s="1"/>
  <c r="H8" i="10"/>
  <c r="I8" i="10" s="1"/>
  <c r="AA7" i="10"/>
  <c r="W7" i="10"/>
  <c r="H7" i="10"/>
  <c r="I7" i="10" s="1"/>
  <c r="W6" i="10"/>
  <c r="AA6" i="10" s="1"/>
  <c r="F6" i="10"/>
  <c r="I6" i="10" s="1"/>
  <c r="C6" i="10"/>
  <c r="AA5" i="10"/>
  <c r="I5" i="10"/>
  <c r="F5" i="10"/>
  <c r="C5" i="10"/>
  <c r="C81" i="10" s="1"/>
  <c r="G82" i="10" s="1"/>
  <c r="M82" i="10" s="1"/>
  <c r="AA4" i="10"/>
  <c r="I4" i="10"/>
  <c r="F4" i="10"/>
  <c r="G43" i="1"/>
  <c r="AA18" i="1"/>
  <c r="J192" i="1"/>
  <c r="J113" i="1"/>
  <c r="C32" i="1"/>
  <c r="J187" i="1"/>
  <c r="L66" i="10" l="1"/>
  <c r="E232" i="10" s="1"/>
  <c r="L201" i="10"/>
  <c r="L188" i="10"/>
  <c r="L101" i="10"/>
  <c r="AA12" i="10"/>
  <c r="L82" i="10"/>
  <c r="L90" i="10"/>
  <c r="M96" i="10"/>
  <c r="L96" i="10" s="1"/>
  <c r="L233" i="10"/>
  <c r="J128" i="10"/>
  <c r="H230" i="10" s="1"/>
  <c r="M70" i="10"/>
  <c r="L70" i="10" s="1"/>
  <c r="C71" i="10"/>
  <c r="G71" i="10" s="1"/>
  <c r="M71" i="10" s="1"/>
  <c r="L71" i="10" s="1"/>
  <c r="J143" i="10"/>
  <c r="H232" i="10" s="1"/>
  <c r="W131" i="10" s="1"/>
  <c r="J122" i="10"/>
  <c r="L231" i="10"/>
  <c r="L238" i="10" s="1"/>
  <c r="L49" i="10"/>
  <c r="K4" i="10"/>
  <c r="L4" i="10" s="1"/>
  <c r="K6" i="10"/>
  <c r="L6" i="10" s="1"/>
  <c r="C42" i="10"/>
  <c r="G42" i="10" s="1"/>
  <c r="M42" i="10" s="1"/>
  <c r="L42" i="10" s="1"/>
  <c r="L7" i="10"/>
  <c r="L24" i="10"/>
  <c r="C59" i="10"/>
  <c r="G59" i="10" s="1"/>
  <c r="M59" i="10" s="1"/>
  <c r="L59" i="10" s="1"/>
  <c r="L8" i="10"/>
  <c r="C43" i="10"/>
  <c r="G43" i="10" s="1"/>
  <c r="M43" i="10" s="1"/>
  <c r="L43" i="10" s="1"/>
  <c r="L15" i="10"/>
  <c r="C50" i="10"/>
  <c r="G50" i="10" s="1"/>
  <c r="M50" i="10" s="1"/>
  <c r="L50" i="10" s="1"/>
  <c r="L17" i="10"/>
  <c r="B230" i="10" s="1"/>
  <c r="C41" i="10"/>
  <c r="C69" i="10"/>
  <c r="G69" i="10" s="1"/>
  <c r="M69" i="10" s="1"/>
  <c r="L32" i="10"/>
  <c r="L55" i="10"/>
  <c r="M66" i="10"/>
  <c r="R100" i="10" s="1"/>
  <c r="M79" i="10"/>
  <c r="L76" i="10"/>
  <c r="G49" i="10"/>
  <c r="L78" i="10"/>
  <c r="L95" i="10"/>
  <c r="M107" i="10"/>
  <c r="S100" i="10" s="1"/>
  <c r="L106" i="10"/>
  <c r="L107" i="10" s="1"/>
  <c r="I232" i="10" s="1"/>
  <c r="W132" i="10" s="1"/>
  <c r="Y132" i="10" s="1"/>
  <c r="W128" i="10"/>
  <c r="L230" i="10"/>
  <c r="L236" i="10" s="1"/>
  <c r="F217" i="10"/>
  <c r="J217" i="10" s="1"/>
  <c r="L217" i="10" s="1"/>
  <c r="G230" i="10" s="1"/>
  <c r="J161" i="10"/>
  <c r="L220" i="10"/>
  <c r="AA20" i="10"/>
  <c r="AA27" i="10" s="1"/>
  <c r="K5" i="10" s="1"/>
  <c r="L5" i="10" s="1"/>
  <c r="G83" i="10"/>
  <c r="M83" i="10" s="1"/>
  <c r="L83" i="10" s="1"/>
  <c r="L85" i="10" s="1"/>
  <c r="L33" i="10"/>
  <c r="M85" i="10"/>
  <c r="M103" i="10"/>
  <c r="L100" i="10"/>
  <c r="J148" i="10"/>
  <c r="H233" i="10" s="1"/>
  <c r="X131" i="10" s="1"/>
  <c r="Y131" i="10" s="1"/>
  <c r="F223" i="10"/>
  <c r="J223" i="10" s="1"/>
  <c r="L223" i="10" s="1"/>
  <c r="G232" i="10" s="1"/>
  <c r="W130" i="10" s="1"/>
  <c r="J172" i="10"/>
  <c r="L23" i="10"/>
  <c r="L25" i="10" s="1"/>
  <c r="B231" i="10" s="1"/>
  <c r="L28" i="10"/>
  <c r="L29" i="10" s="1"/>
  <c r="B232" i="10" s="1"/>
  <c r="W126" i="10" s="1"/>
  <c r="M91" i="10"/>
  <c r="L87" i="10"/>
  <c r="J137" i="10"/>
  <c r="L167" i="10"/>
  <c r="L178" i="10"/>
  <c r="C233" i="10" s="1"/>
  <c r="X127" i="10" s="1"/>
  <c r="Y127" i="10" s="1"/>
  <c r="L190" i="10"/>
  <c r="L192" i="10" s="1"/>
  <c r="F230" i="10" s="1"/>
  <c r="L205" i="10"/>
  <c r="F232" i="10" s="1"/>
  <c r="W129" i="10" s="1"/>
  <c r="Y129" i="10" s="1"/>
  <c r="L226" i="10"/>
  <c r="G233" i="10" s="1"/>
  <c r="X130" i="10" s="1"/>
  <c r="C156" i="10"/>
  <c r="L156" i="10" s="1"/>
  <c r="L157" i="10" s="1"/>
  <c r="F214" i="10"/>
  <c r="J214" i="10" s="1"/>
  <c r="L214" i="10" s="1"/>
  <c r="L237" i="10" l="1"/>
  <c r="L91" i="10"/>
  <c r="L103" i="10"/>
  <c r="I231" i="10" s="1"/>
  <c r="I237" i="10" s="1"/>
  <c r="M61" i="10"/>
  <c r="B237" i="10"/>
  <c r="L79" i="10"/>
  <c r="L61" i="10"/>
  <c r="Y114" i="10"/>
  <c r="X90" i="10"/>
  <c r="Y111" i="10"/>
  <c r="Y113" i="10"/>
  <c r="L10" i="10"/>
  <c r="B229" i="10" s="1"/>
  <c r="B236" i="10" s="1"/>
  <c r="W90" i="10" s="1"/>
  <c r="Y130" i="10"/>
  <c r="L35" i="10"/>
  <c r="B233" i="10" s="1"/>
  <c r="X126" i="10" s="1"/>
  <c r="M52" i="10"/>
  <c r="R99" i="10"/>
  <c r="R95" i="10"/>
  <c r="C97" i="10"/>
  <c r="G97" i="10" s="1"/>
  <c r="M97" i="10" s="1"/>
  <c r="G41" i="10"/>
  <c r="M41" i="10"/>
  <c r="W137" i="10"/>
  <c r="S99" i="10"/>
  <c r="S96" i="10"/>
  <c r="S95" i="10"/>
  <c r="J232" i="10"/>
  <c r="M73" i="10"/>
  <c r="R101" i="10" s="1"/>
  <c r="L69" i="10"/>
  <c r="L73" i="10" s="1"/>
  <c r="E233" i="10" s="1"/>
  <c r="X128" i="10" s="1"/>
  <c r="Y128" i="10" s="1"/>
  <c r="L52" i="10"/>
  <c r="E230" i="10" s="1"/>
  <c r="J230" i="10" s="1"/>
  <c r="Y90" i="10" l="1"/>
  <c r="L97" i="10"/>
  <c r="L98" i="10" s="1"/>
  <c r="M98" i="10"/>
  <c r="S94" i="10" s="1"/>
  <c r="X115" i="10"/>
  <c r="X96" i="10"/>
  <c r="X137" i="10"/>
  <c r="Z137" i="10" s="1"/>
  <c r="Y126" i="10"/>
  <c r="X111" i="10"/>
  <c r="M46" i="10"/>
  <c r="R94" i="10" s="1"/>
  <c r="L41" i="10"/>
  <c r="L46" i="10" s="1"/>
  <c r="R96" i="10"/>
  <c r="X110" i="10"/>
  <c r="AB96" i="10" l="1"/>
  <c r="AA96" i="10"/>
  <c r="Y137" i="10"/>
  <c r="AB94" i="10"/>
  <c r="AA94" i="10"/>
  <c r="Y110" i="10"/>
  <c r="X113" i="10"/>
  <c r="X114" i="10"/>
  <c r="AB97" i="10"/>
  <c r="AA97" i="10"/>
  <c r="AA99" i="10" l="1"/>
  <c r="AB99" i="10"/>
  <c r="AB98" i="10"/>
  <c r="AA98" i="10"/>
  <c r="G78" i="1" l="1"/>
  <c r="K39" i="1" l="1"/>
  <c r="C11" i="1" l="1"/>
  <c r="H7" i="1"/>
  <c r="I7" i="1" s="1"/>
  <c r="C40" i="1" s="1"/>
  <c r="I5" i="1"/>
  <c r="I93" i="1" l="1"/>
  <c r="K93" i="1"/>
  <c r="V86" i="1" l="1"/>
  <c r="G159" i="1" l="1"/>
  <c r="J161" i="1" s="1"/>
  <c r="K68" i="1"/>
  <c r="K61" i="1"/>
  <c r="K43" i="1"/>
  <c r="I98" i="1" l="1"/>
  <c r="G56" i="1"/>
  <c r="M56" i="1" s="1"/>
  <c r="L56" i="1" s="1"/>
  <c r="J202" i="1"/>
  <c r="J201" i="1"/>
  <c r="L201" i="1" s="1"/>
  <c r="J133" i="1"/>
  <c r="L202" i="1" l="1"/>
  <c r="I22" i="1"/>
  <c r="C55" i="1" s="1"/>
  <c r="G98" i="1" l="1"/>
  <c r="M98" i="1" s="1"/>
  <c r="L98" i="1" s="1"/>
  <c r="G55" i="1"/>
  <c r="M55" i="1" s="1"/>
  <c r="L55" i="1" s="1"/>
  <c r="L22" i="1"/>
  <c r="J132" i="1" l="1"/>
  <c r="J119" i="1"/>
  <c r="AA97" i="1" l="1"/>
  <c r="J200" i="1"/>
  <c r="L200" i="1" s="1"/>
  <c r="J189" i="1"/>
  <c r="L189" i="1" s="1"/>
  <c r="K41" i="1"/>
  <c r="K42" i="1"/>
  <c r="I41" i="1"/>
  <c r="I42" i="1"/>
  <c r="H8" i="1" l="1"/>
  <c r="I8" i="1" s="1"/>
  <c r="I9" i="1"/>
  <c r="H15" i="1"/>
  <c r="I14" i="1"/>
  <c r="C42" i="1" l="1"/>
  <c r="G42" i="1" s="1"/>
  <c r="M42" i="1" s="1"/>
  <c r="L42" i="1" s="1"/>
  <c r="L8" i="1"/>
  <c r="C41" i="1"/>
  <c r="G41" i="1" s="1"/>
  <c r="M41" i="1" s="1"/>
  <c r="L41" i="1" s="1"/>
  <c r="L9" i="1"/>
  <c r="K228" i="1" l="1"/>
  <c r="K225" i="1"/>
  <c r="K219" i="1"/>
  <c r="K216" i="1"/>
  <c r="J206" i="1" l="1"/>
  <c r="L206" i="1" s="1"/>
  <c r="K209" i="1" l="1"/>
  <c r="K205" i="1"/>
  <c r="J198" i="1"/>
  <c r="L198" i="1" s="1"/>
  <c r="J199" i="1"/>
  <c r="L199" i="1" s="1"/>
  <c r="J188" i="1"/>
  <c r="L188" i="1" s="1"/>
  <c r="L187" i="1"/>
  <c r="K197" i="1"/>
  <c r="J197" i="1"/>
  <c r="K193" i="1"/>
  <c r="K192" i="1"/>
  <c r="L192" i="1" s="1"/>
  <c r="J193" i="1"/>
  <c r="K186" i="1"/>
  <c r="J186" i="1"/>
  <c r="J209" i="1"/>
  <c r="J205" i="1"/>
  <c r="J185" i="1"/>
  <c r="K185" i="1"/>
  <c r="L193" i="1" l="1"/>
  <c r="L185" i="1"/>
  <c r="L197" i="1"/>
  <c r="L203" i="1" s="1"/>
  <c r="B31" i="11" s="1"/>
  <c r="L194" i="1"/>
  <c r="F234" i="1" s="1"/>
  <c r="L205" i="1"/>
  <c r="L207" i="1" s="1"/>
  <c r="F236" i="1" s="1"/>
  <c r="W127" i="1" s="1"/>
  <c r="L209" i="1"/>
  <c r="F237" i="1" s="1"/>
  <c r="X127" i="1" s="1"/>
  <c r="L186" i="1"/>
  <c r="J118" i="1"/>
  <c r="J131" i="1"/>
  <c r="Y127" i="1" l="1"/>
  <c r="F235" i="1"/>
  <c r="F231" i="10"/>
  <c r="F237" i="10" s="1"/>
  <c r="F241" i="1"/>
  <c r="X93" i="1" s="1"/>
  <c r="L190" i="1"/>
  <c r="X93" i="10" l="1"/>
  <c r="F233" i="1"/>
  <c r="F240" i="1" s="1"/>
  <c r="W93" i="1" s="1"/>
  <c r="Y109" i="1" s="1"/>
  <c r="F229" i="10"/>
  <c r="F236" i="10" s="1"/>
  <c r="W93" i="10" s="1"/>
  <c r="M86" i="1"/>
  <c r="K86" i="1"/>
  <c r="M85" i="1"/>
  <c r="K85" i="1"/>
  <c r="M84" i="1"/>
  <c r="K84" i="1"/>
  <c r="M83" i="1"/>
  <c r="K83" i="1"/>
  <c r="K80" i="1"/>
  <c r="K79" i="1"/>
  <c r="M78" i="1"/>
  <c r="K78" i="1"/>
  <c r="M77" i="1"/>
  <c r="K77" i="1"/>
  <c r="M72" i="1"/>
  <c r="M73" i="1"/>
  <c r="M74" i="1"/>
  <c r="M71" i="1"/>
  <c r="K71" i="1"/>
  <c r="K72" i="1"/>
  <c r="K73" i="1"/>
  <c r="K74" i="1"/>
  <c r="X109" i="1" l="1"/>
  <c r="Y93" i="1"/>
  <c r="Y93" i="10"/>
  <c r="M75" i="1"/>
  <c r="M87" i="1"/>
  <c r="L71" i="1"/>
  <c r="L77" i="1"/>
  <c r="L83" i="1"/>
  <c r="L85" i="1"/>
  <c r="L84" i="1"/>
  <c r="L78" i="1"/>
  <c r="L86" i="1"/>
  <c r="L72" i="1"/>
  <c r="L74" i="1"/>
  <c r="L73" i="1"/>
  <c r="W32" i="1"/>
  <c r="AA32" i="1" s="1"/>
  <c r="AA34" i="1"/>
  <c r="W33" i="1"/>
  <c r="AA33" i="1" s="1"/>
  <c r="AA31" i="1"/>
  <c r="AA30" i="1"/>
  <c r="AA19" i="1"/>
  <c r="AA23" i="1"/>
  <c r="AA5" i="1"/>
  <c r="AA10" i="1"/>
  <c r="AA4" i="1"/>
  <c r="W20" i="1"/>
  <c r="W21" i="1"/>
  <c r="W7" i="1"/>
  <c r="AA7" i="1" s="1"/>
  <c r="W6" i="1"/>
  <c r="AA6" i="1" s="1"/>
  <c r="AA36" i="1" l="1"/>
  <c r="K13" i="1" s="1"/>
  <c r="AA20" i="1"/>
  <c r="G79" i="1"/>
  <c r="M79" i="1" s="1"/>
  <c r="AA21" i="1"/>
  <c r="G80" i="1"/>
  <c r="M80" i="1" s="1"/>
  <c r="L80" i="1" s="1"/>
  <c r="L87" i="1"/>
  <c r="L75" i="1"/>
  <c r="AA12" i="1"/>
  <c r="K6" i="1" s="1"/>
  <c r="AA25" i="1" l="1"/>
  <c r="K5" i="1" s="1"/>
  <c r="L79" i="1"/>
  <c r="L81" i="1" s="1"/>
  <c r="M81" i="1"/>
  <c r="L160" i="1" l="1"/>
  <c r="J130" i="1"/>
  <c r="J115" i="1"/>
  <c r="L107" i="1" l="1"/>
  <c r="I237" i="1" s="1"/>
  <c r="X130" i="1" s="1"/>
  <c r="C47" i="1" l="1"/>
  <c r="K47" i="1"/>
  <c r="K48" i="1"/>
  <c r="I48" i="1"/>
  <c r="G47" i="1" l="1"/>
  <c r="M47" i="1"/>
  <c r="L47" i="1" l="1"/>
  <c r="L153" i="1"/>
  <c r="J129" i="1" l="1"/>
  <c r="J114" i="1"/>
  <c r="J120" i="1" s="1"/>
  <c r="F222" i="1" l="1"/>
  <c r="J222" i="1" s="1"/>
  <c r="L222" i="1" s="1"/>
  <c r="L168" i="1"/>
  <c r="L169" i="1" s="1"/>
  <c r="J216" i="1"/>
  <c r="L216" i="1" s="1"/>
  <c r="L235" i="1"/>
  <c r="L233" i="1"/>
  <c r="L156" i="1"/>
  <c r="L157" i="1" s="1"/>
  <c r="J128" i="1"/>
  <c r="J135" i="1" s="1"/>
  <c r="B30" i="11" l="1"/>
  <c r="B29" i="11"/>
  <c r="B32" i="11"/>
  <c r="C235" i="1"/>
  <c r="C231" i="10"/>
  <c r="C237" i="10" s="1"/>
  <c r="X91" i="10" s="1"/>
  <c r="G235" i="1"/>
  <c r="G231" i="10"/>
  <c r="G237" i="10" s="1"/>
  <c r="X94" i="10" s="1"/>
  <c r="C233" i="1"/>
  <c r="C229" i="10"/>
  <c r="C236" i="10" s="1"/>
  <c r="W91" i="10" s="1"/>
  <c r="G233" i="1"/>
  <c r="G229" i="10"/>
  <c r="G236" i="10" s="1"/>
  <c r="W94" i="10" s="1"/>
  <c r="H233" i="1"/>
  <c r="H229" i="10"/>
  <c r="H236" i="10" s="1"/>
  <c r="W95" i="10" s="1"/>
  <c r="H235" i="1"/>
  <c r="H231" i="10"/>
  <c r="H237" i="10" s="1"/>
  <c r="F172" i="1"/>
  <c r="G68" i="1"/>
  <c r="M68" i="1" s="1"/>
  <c r="L68" i="1" s="1"/>
  <c r="I65" i="1"/>
  <c r="K65" i="1"/>
  <c r="I66" i="1"/>
  <c r="K66" i="1"/>
  <c r="I67" i="1"/>
  <c r="K67" i="1"/>
  <c r="Y94" i="10" l="1"/>
  <c r="Y91" i="10"/>
  <c r="X95" i="10"/>
  <c r="Y95" i="10" s="1"/>
  <c r="F140" i="1"/>
  <c r="J140" i="1" s="1"/>
  <c r="G172" i="1"/>
  <c r="F145" i="1"/>
  <c r="J145" i="1" s="1"/>
  <c r="G177" i="1"/>
  <c r="L178" i="1"/>
  <c r="F138" i="1"/>
  <c r="J138" i="1" s="1"/>
  <c r="F139" i="1"/>
  <c r="J139" i="1" s="1"/>
  <c r="J125" i="1"/>
  <c r="F143" i="1"/>
  <c r="J143" i="1" s="1"/>
  <c r="F144" i="1"/>
  <c r="J144" i="1" s="1"/>
  <c r="F137" i="1"/>
  <c r="J137" i="1" s="1"/>
  <c r="J124" i="1"/>
  <c r="J123" i="1"/>
  <c r="J122" i="1" l="1"/>
  <c r="J126" i="1" s="1"/>
  <c r="H234" i="1" s="1"/>
  <c r="H240" i="1" s="1"/>
  <c r="W95" i="1" s="1"/>
  <c r="Y111" i="1" s="1"/>
  <c r="M43" i="1"/>
  <c r="L43" i="1" s="1"/>
  <c r="F225" i="1"/>
  <c r="J225" i="1" s="1"/>
  <c r="L225" i="1" s="1"/>
  <c r="G236" i="1" s="1"/>
  <c r="W128" i="1" s="1"/>
  <c r="L179" i="1"/>
  <c r="L180" i="1" s="1"/>
  <c r="C237" i="1" s="1"/>
  <c r="X125" i="1" s="1"/>
  <c r="L237" i="1"/>
  <c r="L242" i="1" s="1"/>
  <c r="F228" i="1"/>
  <c r="J228" i="1" s="1"/>
  <c r="L228" i="1" s="1"/>
  <c r="G237" i="1" s="1"/>
  <c r="X128" i="1" s="1"/>
  <c r="Y128" i="1" s="1"/>
  <c r="L234" i="1"/>
  <c r="L240" i="1" s="1"/>
  <c r="F219" i="1"/>
  <c r="J219" i="1" s="1"/>
  <c r="L219" i="1" s="1"/>
  <c r="G234" i="1" s="1"/>
  <c r="G240" i="1" s="1"/>
  <c r="W94" i="1" s="1"/>
  <c r="Y110" i="1" s="1"/>
  <c r="J141" i="1"/>
  <c r="J175" i="1"/>
  <c r="J174" i="1"/>
  <c r="L236" i="1"/>
  <c r="L241" i="1" s="1"/>
  <c r="J146" i="1"/>
  <c r="G241" i="1" l="1"/>
  <c r="X94" i="1" s="1"/>
  <c r="H237" i="1"/>
  <c r="X129" i="1" s="1"/>
  <c r="H236" i="1"/>
  <c r="W129" i="1" s="1"/>
  <c r="AB94" i="1"/>
  <c r="G61" i="1"/>
  <c r="M61" i="1" s="1"/>
  <c r="L61" i="1" s="1"/>
  <c r="I54" i="1"/>
  <c r="I60" i="1"/>
  <c r="I102" i="1"/>
  <c r="I96" i="1"/>
  <c r="I97" i="1"/>
  <c r="K102" i="1"/>
  <c r="K60" i="1"/>
  <c r="K40" i="1"/>
  <c r="K49" i="1"/>
  <c r="K91" i="1"/>
  <c r="K92" i="1"/>
  <c r="I53" i="1"/>
  <c r="G102" i="1"/>
  <c r="G97" i="1"/>
  <c r="G96" i="1"/>
  <c r="Y129" i="1" l="1"/>
  <c r="Y94" i="1"/>
  <c r="AA95" i="1" s="1"/>
  <c r="X110" i="1"/>
  <c r="H241" i="1"/>
  <c r="X95" i="1" s="1"/>
  <c r="AA94" i="1"/>
  <c r="L173" i="1"/>
  <c r="L174" i="1"/>
  <c r="M102" i="1"/>
  <c r="M97" i="1"/>
  <c r="L97" i="1" s="1"/>
  <c r="M96" i="1"/>
  <c r="Y95" i="1" l="1"/>
  <c r="AB93" i="1" s="1"/>
  <c r="X111" i="1"/>
  <c r="AB95" i="1"/>
  <c r="L96" i="1"/>
  <c r="M99" i="1"/>
  <c r="L102" i="1"/>
  <c r="L103" i="1" s="1"/>
  <c r="I236" i="1" s="1"/>
  <c r="W130" i="1" s="1"/>
  <c r="Y130" i="1" s="1"/>
  <c r="M103" i="1"/>
  <c r="S96" i="1" s="1"/>
  <c r="L175" i="1"/>
  <c r="C236" i="1" s="1"/>
  <c r="W125" i="1" s="1"/>
  <c r="Y125" i="1" s="1"/>
  <c r="I40" i="1"/>
  <c r="I49" i="1"/>
  <c r="I91" i="1"/>
  <c r="I92" i="1"/>
  <c r="AA93" i="1" l="1"/>
  <c r="S95" i="1"/>
  <c r="S91" i="1"/>
  <c r="S92" i="1"/>
  <c r="C241" i="1"/>
  <c r="X91" i="1" s="1"/>
  <c r="L99" i="1"/>
  <c r="G91" i="1"/>
  <c r="G92" i="1"/>
  <c r="M92" i="1" s="1"/>
  <c r="L92" i="1" s="1"/>
  <c r="I235" i="1" l="1"/>
  <c r="I241" i="1" s="1"/>
  <c r="X96" i="1" s="1"/>
  <c r="B28" i="11"/>
  <c r="M91" i="1"/>
  <c r="L91" i="1" l="1"/>
  <c r="L5" i="1" l="1"/>
  <c r="L13" i="1"/>
  <c r="L14" i="1"/>
  <c r="I31" i="1" l="1"/>
  <c r="C66" i="1" s="1"/>
  <c r="G66" i="1" s="1"/>
  <c r="M66" i="1" l="1"/>
  <c r="L66" i="1" s="1"/>
  <c r="L31" i="1"/>
  <c r="H16" i="1" l="1"/>
  <c r="I16" i="1" s="1"/>
  <c r="I26" i="1"/>
  <c r="C60" i="1" s="1"/>
  <c r="G60" i="1" s="1"/>
  <c r="F32" i="1"/>
  <c r="I32" i="1" s="1"/>
  <c r="C67" i="1" s="1"/>
  <c r="G67" i="1" s="1"/>
  <c r="I30" i="1"/>
  <c r="C65" i="1" s="1"/>
  <c r="G65" i="1" s="1"/>
  <c r="I21" i="1"/>
  <c r="F13" i="1"/>
  <c r="F5" i="1"/>
  <c r="F15" i="1"/>
  <c r="I15" i="1" s="1"/>
  <c r="C48" i="1" s="1"/>
  <c r="G48" i="1" s="1"/>
  <c r="F6" i="1"/>
  <c r="I6" i="1" s="1"/>
  <c r="C39" i="1" s="1"/>
  <c r="C54" i="1" l="1"/>
  <c r="G54" i="1" s="1"/>
  <c r="M54" i="1" s="1"/>
  <c r="L54" i="1" s="1"/>
  <c r="G93" i="1"/>
  <c r="M93" i="1" s="1"/>
  <c r="M39" i="1"/>
  <c r="G39" i="1"/>
  <c r="L6" i="1"/>
  <c r="G53" i="1"/>
  <c r="M53" i="1" s="1"/>
  <c r="L20" i="1"/>
  <c r="M48" i="1"/>
  <c r="C49" i="1"/>
  <c r="G49" i="1" s="1"/>
  <c r="M67" i="1"/>
  <c r="L67" i="1" s="1"/>
  <c r="M65" i="1"/>
  <c r="M60" i="1"/>
  <c r="G40" i="1"/>
  <c r="L30" i="1"/>
  <c r="L21" i="1"/>
  <c r="L15" i="1"/>
  <c r="L32" i="1"/>
  <c r="L26" i="1"/>
  <c r="L27" i="1" s="1"/>
  <c r="B236" i="1" s="1"/>
  <c r="W124" i="1" s="1"/>
  <c r="L7" i="1"/>
  <c r="L16" i="1"/>
  <c r="L39" i="1" l="1"/>
  <c r="M57" i="1"/>
  <c r="L10" i="1"/>
  <c r="B233" i="1" s="1"/>
  <c r="L93" i="1"/>
  <c r="L94" i="1" s="1"/>
  <c r="M94" i="1"/>
  <c r="S90" i="1" s="1"/>
  <c r="L23" i="1"/>
  <c r="L65" i="1"/>
  <c r="L69" i="1" s="1"/>
  <c r="E237" i="1" s="1"/>
  <c r="X126" i="1" s="1"/>
  <c r="M69" i="1"/>
  <c r="R97" i="1" s="1"/>
  <c r="L60" i="1"/>
  <c r="L62" i="1" s="1"/>
  <c r="E236" i="1" s="1"/>
  <c r="W126" i="1" s="1"/>
  <c r="W135" i="1" s="1"/>
  <c r="M62" i="1"/>
  <c r="R96" i="1" s="1"/>
  <c r="L48" i="1"/>
  <c r="L53" i="1"/>
  <c r="L57" i="1" s="1"/>
  <c r="B27" i="11" s="1"/>
  <c r="L33" i="1"/>
  <c r="B237" i="1" s="1"/>
  <c r="X124" i="1" s="1"/>
  <c r="M49" i="1"/>
  <c r="L49" i="1" s="1"/>
  <c r="L17" i="1"/>
  <c r="B234" i="1" s="1"/>
  <c r="M40" i="1"/>
  <c r="M44" i="1" s="1"/>
  <c r="Y126" i="1" l="1"/>
  <c r="Y124" i="1"/>
  <c r="X135" i="1"/>
  <c r="Z135" i="1" s="1"/>
  <c r="R95" i="1"/>
  <c r="R92" i="1"/>
  <c r="R91" i="1"/>
  <c r="B235" i="1"/>
  <c r="B241" i="1" s="1"/>
  <c r="X90" i="1" s="1"/>
  <c r="B26" i="11"/>
  <c r="B23" i="11" s="1"/>
  <c r="I229" i="10"/>
  <c r="I236" i="10" s="1"/>
  <c r="W96" i="10" s="1"/>
  <c r="I233" i="1"/>
  <c r="I240" i="1" s="1"/>
  <c r="W96" i="1" s="1"/>
  <c r="E235" i="1"/>
  <c r="J235" i="1" s="1"/>
  <c r="E231" i="10"/>
  <c r="J236" i="1"/>
  <c r="L50" i="1"/>
  <c r="E234" i="1" s="1"/>
  <c r="M50" i="1"/>
  <c r="R90" i="1" s="1"/>
  <c r="L40" i="1"/>
  <c r="L44" i="1" s="1"/>
  <c r="B240" i="1"/>
  <c r="W90" i="1" s="1"/>
  <c r="Y106" i="1" s="1"/>
  <c r="Y112" i="1" l="1"/>
  <c r="Y96" i="1"/>
  <c r="X112" i="1"/>
  <c r="Y135" i="1"/>
  <c r="Y90" i="1"/>
  <c r="X106" i="1"/>
  <c r="E241" i="1"/>
  <c r="X92" i="1" s="1"/>
  <c r="Y116" i="10"/>
  <c r="Y96" i="10"/>
  <c r="X116" i="10"/>
  <c r="J231" i="10"/>
  <c r="E237" i="10"/>
  <c r="J234" i="1"/>
  <c r="E229" i="10"/>
  <c r="E236" i="10" s="1"/>
  <c r="W92" i="10" s="1"/>
  <c r="W97" i="10" s="1"/>
  <c r="C258" i="1"/>
  <c r="F246" i="1"/>
  <c r="M242" i="1"/>
  <c r="H246" i="1"/>
  <c r="B246" i="1"/>
  <c r="C246" i="1"/>
  <c r="G246" i="1"/>
  <c r="I246" i="1"/>
  <c r="E246" i="1"/>
  <c r="L161" i="1"/>
  <c r="L162" i="1" s="1"/>
  <c r="C234" i="1" s="1"/>
  <c r="C240" i="1" s="1"/>
  <c r="W91" i="1" s="1"/>
  <c r="E245" i="1" l="1"/>
  <c r="C257" i="1"/>
  <c r="Y107" i="1"/>
  <c r="Y91" i="1"/>
  <c r="AB92" i="1" s="1"/>
  <c r="X107" i="1"/>
  <c r="B245" i="1"/>
  <c r="I245" i="1"/>
  <c r="C245" i="1"/>
  <c r="F245" i="1"/>
  <c r="X86" i="1"/>
  <c r="G245" i="1"/>
  <c r="H245" i="1"/>
  <c r="M241" i="1"/>
  <c r="AB100" i="10"/>
  <c r="AA100" i="10"/>
  <c r="AB96" i="1"/>
  <c r="AA96" i="1"/>
  <c r="I241" i="10"/>
  <c r="G241" i="10"/>
  <c r="E241" i="10"/>
  <c r="X92" i="10"/>
  <c r="X97" i="10" s="1"/>
  <c r="C241" i="10"/>
  <c r="C253" i="10"/>
  <c r="M237" i="10"/>
  <c r="B241" i="10"/>
  <c r="F241" i="10"/>
  <c r="H241" i="10"/>
  <c r="J229" i="10"/>
  <c r="E233" i="1"/>
  <c r="AB100" i="1"/>
  <c r="X83" i="10" l="1"/>
  <c r="I240" i="10"/>
  <c r="E240" i="10"/>
  <c r="G240" i="10"/>
  <c r="F240" i="10"/>
  <c r="C252" i="10"/>
  <c r="C240" i="10"/>
  <c r="H240" i="10"/>
  <c r="M236" i="10"/>
  <c r="B240" i="10"/>
  <c r="J233" i="1"/>
  <c r="E240" i="1"/>
  <c r="W92" i="1" s="1"/>
  <c r="AA92" i="1"/>
  <c r="AA90" i="1"/>
  <c r="AB90" i="1"/>
  <c r="Y108" i="1" l="1"/>
  <c r="Y92" i="1"/>
  <c r="X108" i="1"/>
  <c r="Y97" i="10"/>
  <c r="Y92" i="10"/>
  <c r="X112" i="10"/>
  <c r="Y112" i="10"/>
  <c r="C256" i="1"/>
  <c r="F244" i="1"/>
  <c r="C244" i="1"/>
  <c r="B244" i="1"/>
  <c r="H244" i="1"/>
  <c r="G244" i="1"/>
  <c r="M240" i="1"/>
  <c r="I244" i="1"/>
  <c r="E244" i="1"/>
  <c r="W83" i="10" l="1"/>
  <c r="Y83" i="10" s="1"/>
  <c r="AB101" i="10"/>
  <c r="AA95" i="10"/>
  <c r="AB95" i="10"/>
  <c r="W86" i="1"/>
  <c r="AB97" i="1"/>
  <c r="Z83" i="10" l="1"/>
  <c r="AA91" i="1"/>
  <c r="AB91" i="1"/>
  <c r="Z86" i="1"/>
  <c r="Y86" i="1"/>
</calcChain>
</file>

<file path=xl/sharedStrings.xml><?xml version="1.0" encoding="utf-8"?>
<sst xmlns="http://schemas.openxmlformats.org/spreadsheetml/2006/main" count="5211" uniqueCount="401">
  <si>
    <t>Ausführungs-
menge</t>
  </si>
  <si>
    <t>Bauteil-
volumen</t>
  </si>
  <si>
    <r>
      <t>CO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-
Emission (*)</t>
    </r>
  </si>
  <si>
    <r>
      <t>CO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-
Emission</t>
    </r>
  </si>
  <si>
    <t xml:space="preserve">Bemerkungen
</t>
  </si>
  <si>
    <t xml:space="preserve">Quellenangabe (*)
</t>
  </si>
  <si>
    <t>[m³]</t>
  </si>
  <si>
    <t>[t]</t>
  </si>
  <si>
    <t>Bewehrung</t>
  </si>
  <si>
    <t xml:space="preserve">Zement </t>
  </si>
  <si>
    <t>m³</t>
  </si>
  <si>
    <t>t</t>
  </si>
  <si>
    <t>m</t>
  </si>
  <si>
    <t>Bohrpfahlwand Beton C20/25</t>
  </si>
  <si>
    <t>Bohrpfahlwand Beton C25/30</t>
  </si>
  <si>
    <t>Leitwand Beton C20/25</t>
  </si>
  <si>
    <t>UWS Beton C20/25</t>
  </si>
  <si>
    <t>Ankerkopf</t>
  </si>
  <si>
    <t>St</t>
  </si>
  <si>
    <t>Berechnung / Hinweis</t>
  </si>
  <si>
    <t>GEWI 50mm</t>
  </si>
  <si>
    <t>Zement 13kg/m GEWI + 91to Mehrzement</t>
  </si>
  <si>
    <t>Gewicht (alles außer Beton)</t>
  </si>
  <si>
    <t>[t/m³]</t>
  </si>
  <si>
    <t>Dichte (außer Beton)</t>
  </si>
  <si>
    <t>-</t>
  </si>
  <si>
    <t>m²</t>
  </si>
  <si>
    <t>DSV Sohle Zement</t>
  </si>
  <si>
    <t>MIP 550mm Zement</t>
  </si>
  <si>
    <t>200kg/St Mantelmischung CEM I</t>
  </si>
  <si>
    <t>1,2m³/St.; Wasserglasanteil 10%</t>
  </si>
  <si>
    <t>7900m²; 3800 St.</t>
  </si>
  <si>
    <t>12,5m Länge 16mm PVC</t>
  </si>
  <si>
    <t>Bauweise</t>
  </si>
  <si>
    <r>
      <t>[t CO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Arial"/>
        <family val="2"/>
      </rPr>
      <t>/ ME]</t>
    </r>
  </si>
  <si>
    <t>Menge</t>
  </si>
  <si>
    <t>Primärpfahl C20/25</t>
  </si>
  <si>
    <t>Sekundärpfahl C25/30</t>
  </si>
  <si>
    <t>0,4m³ pro m C20/25</t>
  </si>
  <si>
    <t>C20/25</t>
  </si>
  <si>
    <t>EFFC</t>
  </si>
  <si>
    <t>Steel rebar</t>
  </si>
  <si>
    <t>Steel sheets</t>
  </si>
  <si>
    <t>LWS Zement</t>
  </si>
  <si>
    <t>LWS Weichgel</t>
  </si>
  <si>
    <t>LWS Lanzen</t>
  </si>
  <si>
    <t>ICE V2</t>
  </si>
  <si>
    <t>PVC</t>
  </si>
  <si>
    <t>CEM I</t>
  </si>
  <si>
    <t>Sustainableconcrete</t>
  </si>
  <si>
    <t>Angabe Hersteller</t>
  </si>
  <si>
    <t>Beton</t>
  </si>
  <si>
    <t>Zement</t>
  </si>
  <si>
    <t>Aushub</t>
  </si>
  <si>
    <t>Transportmenge</t>
  </si>
  <si>
    <t>Schlamm</t>
  </si>
  <si>
    <t xml:space="preserve">Dichte </t>
  </si>
  <si>
    <t>Transport-gewicht</t>
  </si>
  <si>
    <t>Transport-kapazität</t>
  </si>
  <si>
    <t>[t/Fahrt]</t>
  </si>
  <si>
    <t>[km]</t>
  </si>
  <si>
    <t>Road Rigid &gt; 17t</t>
  </si>
  <si>
    <r>
      <t>[t CO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Arial"/>
        <family val="2"/>
      </rPr>
      <t>/ vkm]</t>
    </r>
  </si>
  <si>
    <t>0% -&gt; Hin&amp;Rückweg genutzt</t>
  </si>
  <si>
    <t>Empty return rate</t>
  </si>
  <si>
    <t>Road Articulated &gt;33t</t>
  </si>
  <si>
    <t>MIP Zement</t>
  </si>
  <si>
    <t>Stahl</t>
  </si>
  <si>
    <t>DSV Zement</t>
  </si>
  <si>
    <t>DSV Rückfluss</t>
  </si>
  <si>
    <t>l</t>
  </si>
  <si>
    <t>m²; St.</t>
  </si>
  <si>
    <t>Transportanzahl</t>
  </si>
  <si>
    <t>Entfernung (nach EFFC)</t>
  </si>
  <si>
    <t>EFFC Transport-kapazität</t>
  </si>
  <si>
    <t>233kg Zement/m² CEM I</t>
  </si>
  <si>
    <t>MIP Formstahl 2U 400</t>
  </si>
  <si>
    <t>effc</t>
  </si>
  <si>
    <t>Betrachtung Equipment</t>
  </si>
  <si>
    <t>Betonpumpe 36m mit 90m³/h</t>
  </si>
  <si>
    <t>BG 15</t>
  </si>
  <si>
    <t>Hitachi CX 400</t>
  </si>
  <si>
    <t>Gewicht</t>
  </si>
  <si>
    <t>RG25 (750 kW)</t>
  </si>
  <si>
    <t>BG 39 DKS (736 kW)</t>
  </si>
  <si>
    <t>Diesel</t>
  </si>
  <si>
    <t>Stunden</t>
  </si>
  <si>
    <t>h</t>
  </si>
  <si>
    <t>HDI-Pumpe (500 kW)</t>
  </si>
  <si>
    <t>IB 18 (100 kW)</t>
  </si>
  <si>
    <t>BPW</t>
  </si>
  <si>
    <t>UWS</t>
  </si>
  <si>
    <t>MIP</t>
  </si>
  <si>
    <t>HDI</t>
  </si>
  <si>
    <t>LWS</t>
  </si>
  <si>
    <t>Diesel / Stunden pro ME</t>
  </si>
  <si>
    <t>60 m² pro AT (40h=4 P x 10h/AT)</t>
  </si>
  <si>
    <t>Arbeitstage</t>
  </si>
  <si>
    <t>HDI Pumpe (500 kW)</t>
  </si>
  <si>
    <t>kW</t>
  </si>
  <si>
    <t>Verbrauch</t>
  </si>
  <si>
    <t>Einsatzzeit % vom AT</t>
  </si>
  <si>
    <t>Life time</t>
  </si>
  <si>
    <t>Use time</t>
  </si>
  <si>
    <t>[a]</t>
  </si>
  <si>
    <t>AT / Jahr</t>
  </si>
  <si>
    <t xml:space="preserve"> [AT/a]</t>
  </si>
  <si>
    <t>[AT]</t>
  </si>
  <si>
    <t>Baustelleneinrichtung</t>
  </si>
  <si>
    <r>
      <t>[kg CO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Arial"/>
        <family val="2"/>
      </rPr>
      <t>/ ME]</t>
    </r>
  </si>
  <si>
    <t>Entsorgung - Transport</t>
  </si>
  <si>
    <t>Material - Herstellung</t>
  </si>
  <si>
    <t>Material - Transport</t>
  </si>
  <si>
    <t>Vereinfachung C20/25 + C25/30</t>
  </si>
  <si>
    <t>Zusammenfassung GEWI + Ankerplatte</t>
  </si>
  <si>
    <t>Einheit</t>
  </si>
  <si>
    <t>Vergleich nach EFFC</t>
  </si>
  <si>
    <t xml:space="preserve">t </t>
  </si>
  <si>
    <t>Bohrwerkzeug</t>
  </si>
  <si>
    <t>Mischanlage, Silo, Pumpe</t>
  </si>
  <si>
    <t>RG 19</t>
  </si>
  <si>
    <t>Container (Büro, Werkzeug, Mannschaft)</t>
  </si>
  <si>
    <t>z.B. Putzmeister BSC 1409 D4 (150kW)</t>
  </si>
  <si>
    <t>Betonpumpe 90 m³/h  150kW</t>
  </si>
  <si>
    <t>Primärpfahl C20/25:</t>
  </si>
  <si>
    <t>CEM III/A</t>
  </si>
  <si>
    <t>FA</t>
  </si>
  <si>
    <t>Sand</t>
  </si>
  <si>
    <t>Wasser</t>
  </si>
  <si>
    <t>FM</t>
  </si>
  <si>
    <t>kg/m³</t>
  </si>
  <si>
    <t>tCo2/m³ Gesamt</t>
  </si>
  <si>
    <t>C20/25:</t>
  </si>
  <si>
    <t>Sekundärpfahl C25/30:</t>
  </si>
  <si>
    <t>tCo2/t</t>
  </si>
  <si>
    <t>C25/30</t>
  </si>
  <si>
    <t>UWS C20/25</t>
  </si>
  <si>
    <t>CEM III/B 32,5</t>
  </si>
  <si>
    <t>Anlieferung Sand, Zement etc. an Werk</t>
  </si>
  <si>
    <t>Beton C20/25</t>
  </si>
  <si>
    <t>Beton C25/30</t>
  </si>
  <si>
    <t>Fly Ash</t>
  </si>
  <si>
    <t>Water</t>
  </si>
  <si>
    <t>kWh</t>
  </si>
  <si>
    <t>Methode</t>
  </si>
  <si>
    <t>EFFC-Entfernung</t>
  </si>
  <si>
    <t>1/2 EFFC</t>
  </si>
  <si>
    <t>2x EFFC</t>
  </si>
  <si>
    <t>20/300</t>
  </si>
  <si>
    <t>10/150</t>
  </si>
  <si>
    <t>40/600</t>
  </si>
  <si>
    <t>BPW+UWS</t>
  </si>
  <si>
    <t>MIP+HDI</t>
  </si>
  <si>
    <t>MIP+LWS</t>
  </si>
  <si>
    <t>1,5x EFFC</t>
  </si>
  <si>
    <t>30/450</t>
  </si>
  <si>
    <t>[m³-t/Fahrt]</t>
  </si>
  <si>
    <t>to/km</t>
  </si>
  <si>
    <t>Bagger</t>
  </si>
  <si>
    <t>Kran</t>
  </si>
  <si>
    <t>Strom</t>
  </si>
  <si>
    <t>kWh/h</t>
  </si>
  <si>
    <t>Betrachtung Energie/Strom/Stunden</t>
  </si>
  <si>
    <t>Betrachtung Mob/Demob</t>
  </si>
  <si>
    <t>Anzahl</t>
  </si>
  <si>
    <t>Umläufe</t>
  </si>
  <si>
    <t>Entfernung gesamt</t>
  </si>
  <si>
    <t>Entfernung einfach</t>
  </si>
  <si>
    <t>Schwerlasttransporter 120to</t>
  </si>
  <si>
    <t>Schwerlasttransporter 80to</t>
  </si>
  <si>
    <t>MOB+DEMOB</t>
  </si>
  <si>
    <t>BG15</t>
  </si>
  <si>
    <t>Hitachi CX400</t>
  </si>
  <si>
    <t>RG25</t>
  </si>
  <si>
    <t>BE</t>
  </si>
  <si>
    <t>IB 18</t>
  </si>
  <si>
    <t>HDI Pumpe</t>
  </si>
  <si>
    <t>Betrachtung People Transport</t>
  </si>
  <si>
    <t>AT</t>
  </si>
  <si>
    <t>Anzahl AK</t>
  </si>
  <si>
    <t>Alle x Tage</t>
  </si>
  <si>
    <t>CO2-Einsparung 
MIP+LWS statt MIP+HDI</t>
  </si>
  <si>
    <t>CO2-Einsparung
 MIP+LWS statt BPW+UWS</t>
  </si>
  <si>
    <t>Lanzen+Gel 300 km vs Zement 20km</t>
  </si>
  <si>
    <t>Arbeitstage MIP: 132, LWS 182</t>
  </si>
  <si>
    <t>kWh/m</t>
  </si>
  <si>
    <t>Diesel: 9,8kWh/l</t>
  </si>
  <si>
    <t>S :</t>
  </si>
  <si>
    <t>Ankerlitzen / Ankerkopf</t>
  </si>
  <si>
    <t>Anker - Zement</t>
  </si>
  <si>
    <t>á 15 kg/St</t>
  </si>
  <si>
    <t>lfm</t>
  </si>
  <si>
    <t>22kg/m CEM I 42,5 R</t>
  </si>
  <si>
    <t>Steel wires</t>
  </si>
  <si>
    <t>EcoInvent 3.1</t>
  </si>
  <si>
    <t>KR 806</t>
  </si>
  <si>
    <t>Leistungswerte (alles mit 4 AK pro Gewerk)</t>
  </si>
  <si>
    <t>Zur Vereinfachung immer 4 AK</t>
  </si>
  <si>
    <t xml:space="preserve">               unabhängig von Kolonnenzusammensetzung / Standort</t>
  </si>
  <si>
    <t xml:space="preserve">    Hat nur sehr geringen Einfluss (&lt;1%) auf CO2-Wert</t>
  </si>
  <si>
    <t>to</t>
  </si>
  <si>
    <t xml:space="preserve">People Transport hängt (hier) nur von Bauzeit ab; </t>
  </si>
  <si>
    <t>Bentonit</t>
  </si>
  <si>
    <t>8kg Bentonit/m²</t>
  </si>
  <si>
    <t>Bentonite</t>
  </si>
  <si>
    <t>Ramme</t>
  </si>
  <si>
    <t>Suspension</t>
  </si>
  <si>
    <t>Bentonit+Wasser -&gt; 2x Menge</t>
  </si>
  <si>
    <t>Diesel Bereitstellung</t>
  </si>
  <si>
    <t>Ramme (RG17T)</t>
  </si>
  <si>
    <t>Waste</t>
  </si>
  <si>
    <t>Materials</t>
  </si>
  <si>
    <t>Freight</t>
  </si>
  <si>
    <t>Assets</t>
  </si>
  <si>
    <t>Energy</t>
  </si>
  <si>
    <t>Mob/Demob</t>
  </si>
  <si>
    <t>People's Transport</t>
  </si>
  <si>
    <t>People's Transportation</t>
  </si>
  <si>
    <t>Emissions</t>
  </si>
  <si>
    <t>BPW+UWS (Reference)</t>
  </si>
  <si>
    <t>Mob / Demob</t>
  </si>
  <si>
    <t>Difference:</t>
  </si>
  <si>
    <r>
      <t>CO</t>
    </r>
    <r>
      <rPr>
        <vertAlign val="subscript"/>
        <sz val="11"/>
        <color rgb="FF002060"/>
        <rFont val="Arial"/>
        <family val="2"/>
      </rPr>
      <t xml:space="preserve">2e </t>
    </r>
    <r>
      <rPr>
        <sz val="11"/>
        <color rgb="FF002060"/>
        <rFont val="Arial"/>
        <family val="2"/>
      </rPr>
      <t>Savings</t>
    </r>
  </si>
  <si>
    <r>
      <t>6203 tCO</t>
    </r>
    <r>
      <rPr>
        <b/>
        <vertAlign val="subscript"/>
        <sz val="11"/>
        <color rgb="FF002060"/>
        <rFont val="Arial"/>
        <family val="2"/>
      </rPr>
      <t>2e</t>
    </r>
  </si>
  <si>
    <r>
      <t>1693 tCO</t>
    </r>
    <r>
      <rPr>
        <b/>
        <vertAlign val="subscript"/>
        <sz val="11"/>
        <color rgb="FFFF0000"/>
        <rFont val="Arial"/>
        <family val="2"/>
      </rPr>
      <t>2e</t>
    </r>
  </si>
  <si>
    <r>
      <t>2592 tCO</t>
    </r>
    <r>
      <rPr>
        <b/>
        <vertAlign val="subscript"/>
        <sz val="11"/>
        <color rgb="FFFF0000"/>
        <rFont val="Arial"/>
        <family val="2"/>
      </rPr>
      <t>2e</t>
    </r>
  </si>
  <si>
    <r>
      <t>899  tCO</t>
    </r>
    <r>
      <rPr>
        <b/>
        <vertAlign val="subscript"/>
        <sz val="11"/>
        <color rgb="FF002060"/>
        <rFont val="Arial"/>
        <family val="2"/>
      </rPr>
      <t>2e</t>
    </r>
  </si>
  <si>
    <r>
      <t>4510 tCO</t>
    </r>
    <r>
      <rPr>
        <b/>
        <vertAlign val="subscript"/>
        <sz val="11"/>
        <color rgb="FF002060"/>
        <rFont val="Arial"/>
        <family val="2"/>
      </rPr>
      <t>2e</t>
    </r>
  </si>
  <si>
    <r>
      <t>1974 tCO</t>
    </r>
    <r>
      <rPr>
        <b/>
        <vertAlign val="subscript"/>
        <sz val="11"/>
        <color rgb="FF002060"/>
        <rFont val="Arial"/>
        <family val="2"/>
      </rPr>
      <t>2e</t>
    </r>
  </si>
  <si>
    <r>
      <t>1075 tCO</t>
    </r>
    <r>
      <rPr>
        <b/>
        <vertAlign val="subscript"/>
        <sz val="11"/>
        <color rgb="FF002060"/>
        <rFont val="Arial"/>
        <family val="2"/>
      </rPr>
      <t>2e</t>
    </r>
  </si>
  <si>
    <r>
      <t>CO</t>
    </r>
    <r>
      <rPr>
        <vertAlign val="subscript"/>
        <sz val="11"/>
        <color rgb="FF002060"/>
        <rFont val="Arial"/>
        <family val="2"/>
      </rPr>
      <t>2e</t>
    </r>
    <r>
      <rPr>
        <sz val="11"/>
        <color rgb="FF002060"/>
        <rFont val="Arial"/>
        <family val="2"/>
      </rPr>
      <t>-Savings MIP+JG instead of BPW+UWS</t>
    </r>
  </si>
  <si>
    <r>
      <t>CO</t>
    </r>
    <r>
      <rPr>
        <vertAlign val="subscript"/>
        <sz val="11"/>
        <color rgb="FF002060"/>
        <rFont val="Arial"/>
        <family val="2"/>
      </rPr>
      <t>2e</t>
    </r>
    <r>
      <rPr>
        <sz val="11"/>
        <color rgb="FF002060"/>
        <rFont val="Arial"/>
        <family val="2"/>
      </rPr>
      <t>-Savings MIP+GEL instead of BPW+UWS</t>
    </r>
  </si>
  <si>
    <t>JG slab (Reference)</t>
  </si>
  <si>
    <t>GEL slab</t>
  </si>
  <si>
    <r>
      <t>1693  tCO</t>
    </r>
    <r>
      <rPr>
        <b/>
        <vertAlign val="subscript"/>
        <sz val="11"/>
        <color rgb="FF002060"/>
        <rFont val="Arial"/>
        <family val="2"/>
      </rPr>
      <t>2e</t>
    </r>
  </si>
  <si>
    <t>MIP+JG</t>
  </si>
  <si>
    <t>LKW Anzahl</t>
  </si>
  <si>
    <t>Mattransport REIN</t>
  </si>
  <si>
    <t>Entsorgung RAUS</t>
  </si>
  <si>
    <t>PfW88</t>
  </si>
  <si>
    <t>MIP55</t>
  </si>
  <si>
    <t>Vereinfachung C25/30</t>
  </si>
  <si>
    <t>Bohrgut BPW</t>
  </si>
  <si>
    <t>Bohrgut</t>
  </si>
  <si>
    <r>
      <t>CO</t>
    </r>
    <r>
      <rPr>
        <vertAlign val="subscript"/>
        <sz val="11"/>
        <color rgb="FF002060"/>
        <rFont val="Arial"/>
        <family val="2"/>
      </rPr>
      <t xml:space="preserve">2eq </t>
    </r>
    <r>
      <rPr>
        <sz val="11"/>
        <color rgb="FF002060"/>
        <rFont val="Arial"/>
        <family val="2"/>
      </rPr>
      <t>Ersparnis</t>
    </r>
  </si>
  <si>
    <t>MIP550</t>
  </si>
  <si>
    <t>Emissionen</t>
  </si>
  <si>
    <t>Bohrachablone Beton C20/25</t>
  </si>
  <si>
    <t>Beton (PfW+ Bohrachablone)</t>
  </si>
  <si>
    <t>Bewehrungsstahl</t>
  </si>
  <si>
    <r>
      <t>CO2-Äquivalent Fußabdruck Brechnung tCO</t>
    </r>
    <r>
      <rPr>
        <vertAlign val="subscript"/>
        <sz val="11"/>
        <color theme="1"/>
        <rFont val="Arial"/>
        <family val="2"/>
      </rPr>
      <t>2eq</t>
    </r>
    <r>
      <rPr>
        <sz val="11"/>
        <color theme="1"/>
        <rFont val="Arial"/>
        <family val="2"/>
      </rPr>
      <t>- BV München Kistlerhofstr. 140</t>
    </r>
  </si>
  <si>
    <t>Gesamt* tCO2eq</t>
  </si>
  <si>
    <t>Mobilisierung/Demobilisierung Baustelle</t>
  </si>
  <si>
    <t>Transport von Personen</t>
  </si>
  <si>
    <t>Transport von Baumaterial</t>
  </si>
  <si>
    <t>Baumaterialien - Herstellung</t>
  </si>
  <si>
    <t>Energie (Kraftstoff und Strom)</t>
  </si>
  <si>
    <t>Transport von Erdreich/Abfall (Entsorgung)</t>
  </si>
  <si>
    <t>Produktion von Ausrüstung (Assets)</t>
  </si>
  <si>
    <t>~200kg Zement/m² CEM III/B 32,5</t>
  </si>
  <si>
    <t>~237kg Zement/m² CEM III/B 32,5</t>
  </si>
  <si>
    <t>Stahlträger</t>
  </si>
  <si>
    <t>C25/30 (15%überbeton schon drin)</t>
  </si>
  <si>
    <t>200m/Tag mit BG39</t>
  </si>
  <si>
    <t>BG 39 DKS System (736 kW)</t>
  </si>
  <si>
    <t>200m2/Tag</t>
  </si>
  <si>
    <t>lfm bpw</t>
  </si>
  <si>
    <t>Diesel BG39</t>
  </si>
  <si>
    <t>66l/h // 660l/t // 3.3 l/m2</t>
  </si>
  <si>
    <t>5l/h // 50l/t // 0.25 l/m2</t>
  </si>
  <si>
    <t>Diesel MIP</t>
  </si>
  <si>
    <t>Diesel Bagger</t>
  </si>
  <si>
    <t>Diesel weitere Geräte</t>
  </si>
  <si>
    <t>5l/h // 50l/t</t>
  </si>
  <si>
    <t>43l/h // 430l/t</t>
  </si>
  <si>
    <t>135 Liter / Tag</t>
  </si>
  <si>
    <t>Wandfläche</t>
  </si>
  <si>
    <t>Formstahl / Stahlträger</t>
  </si>
  <si>
    <t>Anker lfm</t>
  </si>
  <si>
    <t>%</t>
  </si>
  <si>
    <r>
      <t>Gesamt CO</t>
    </r>
    <r>
      <rPr>
        <vertAlign val="subscript"/>
        <sz val="11"/>
        <color theme="1"/>
        <rFont val="Arial"/>
        <family val="2"/>
      </rPr>
      <t>2eq</t>
    </r>
  </si>
  <si>
    <r>
      <t>kg/m</t>
    </r>
    <r>
      <rPr>
        <vertAlign val="superscript"/>
        <sz val="11"/>
        <color theme="1"/>
        <rFont val="Arial"/>
        <family val="2"/>
      </rPr>
      <t>3</t>
    </r>
  </si>
  <si>
    <r>
      <t>m</t>
    </r>
    <r>
      <rPr>
        <vertAlign val="superscript"/>
        <sz val="11"/>
        <color theme="1"/>
        <rFont val="Arial"/>
        <family val="2"/>
      </rPr>
      <t>2</t>
    </r>
  </si>
  <si>
    <r>
      <t>tCO</t>
    </r>
    <r>
      <rPr>
        <vertAlign val="subscript"/>
        <sz val="11"/>
        <color theme="1"/>
        <rFont val="Arial"/>
        <family val="2"/>
      </rPr>
      <t>2</t>
    </r>
  </si>
  <si>
    <t>Pfähle</t>
  </si>
  <si>
    <r>
      <t>m</t>
    </r>
    <r>
      <rPr>
        <vertAlign val="superscript"/>
        <sz val="11"/>
        <color theme="1"/>
        <rFont val="Arial"/>
        <family val="2"/>
      </rPr>
      <t>3</t>
    </r>
  </si>
  <si>
    <t>Pfahlbohrung lfm</t>
  </si>
  <si>
    <t>Beton C25/30:</t>
  </si>
  <si>
    <t>Beton C30/37:</t>
  </si>
  <si>
    <t>Beton C20/25:</t>
  </si>
  <si>
    <t>C30/37</t>
  </si>
  <si>
    <t>Beton C35/45:</t>
  </si>
  <si>
    <t>C16/20:</t>
  </si>
  <si>
    <t>Beton C16/20:</t>
  </si>
  <si>
    <t>Bohrschablone Beton C20/25</t>
  </si>
  <si>
    <t>Bohrschablone Länge</t>
  </si>
  <si>
    <t>Pfahlbeton C20/25</t>
  </si>
  <si>
    <t>Pfahlbeton C25/30</t>
  </si>
  <si>
    <t>Pfahlbeton C30/37</t>
  </si>
  <si>
    <t>Beton (Pfahl + Bohrachablone)</t>
  </si>
  <si>
    <t>Anker</t>
  </si>
  <si>
    <t>Leistung</t>
  </si>
  <si>
    <t>Entspricht Eingabefeld EFFC Carbon Calculator</t>
  </si>
  <si>
    <t>Liter/AT</t>
  </si>
  <si>
    <r>
      <t>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/AT</t>
    </r>
  </si>
  <si>
    <t>Verbrauch Diesel (alle Geräte)</t>
  </si>
  <si>
    <t>Entfernung Mob/Demob</t>
  </si>
  <si>
    <t>km</t>
  </si>
  <si>
    <t>Zementeinsatz</t>
  </si>
  <si>
    <t>Bentoniteinsatz</t>
  </si>
  <si>
    <r>
      <t>Überschlagsberechnung des CO</t>
    </r>
    <r>
      <rPr>
        <b/>
        <vertAlign val="subscript"/>
        <sz val="11"/>
        <color theme="1"/>
        <rFont val="Arial"/>
        <family val="2"/>
      </rPr>
      <t>2eq</t>
    </r>
    <r>
      <rPr>
        <b/>
        <sz val="11"/>
        <color theme="1"/>
        <rFont val="Arial"/>
        <family val="2"/>
      </rPr>
      <t xml:space="preserve"> Fußabdrucks</t>
    </r>
  </si>
  <si>
    <t>Fläche der Wandabwicklung</t>
  </si>
  <si>
    <t xml:space="preserve">Gesamtmenge Zement </t>
  </si>
  <si>
    <t>Gesamtmenge Bentonit</t>
  </si>
  <si>
    <t>Verbrauch Strom (alle Geräte)</t>
  </si>
  <si>
    <r>
      <t>Basisansatz (ohne Hindernisse): bei Verbauwänden 170m</t>
    </r>
    <r>
      <rPr>
        <vertAlign val="superscript"/>
        <sz val="8"/>
        <color theme="0" tint="-0.499984740745262"/>
        <rFont val="Arial"/>
        <family val="2"/>
      </rPr>
      <t>2</t>
    </r>
    <r>
      <rPr>
        <sz val="8"/>
        <color theme="0" tint="-0.499984740745262"/>
        <rFont val="Arial"/>
        <family val="2"/>
      </rPr>
      <t>/AT</t>
    </r>
  </si>
  <si>
    <t>Gewichtetes Mittel aller Schwertransporte (einfacher Weg)</t>
  </si>
  <si>
    <t>Basisansätze: 
25% kiesiger Boden; 35% sandinger Boden; 45% bindiger Boden
Entfernung Entsorgungsort: 20 km (nicht veränderlich)</t>
  </si>
  <si>
    <t>Rückfluss / Bohrüberschuss
(vom Wandvolumen abgeschätzt)</t>
  </si>
  <si>
    <t>Grundeinstellung: CEM III/B (nicht veränderlich!)
Entfernung Zementlieferant: 20 km (nicht veränderlich)</t>
  </si>
  <si>
    <t>Entfernung Bentonitlieferant: 20 km (nicht veränderlich)</t>
  </si>
  <si>
    <t>Entspricht Eingabefeld EFFC Carbon Calculator
Entfernung Stahllieferant: 300 km (nicht veränderlich)</t>
  </si>
  <si>
    <t>Basisansatz: 750 l/AT o. Fräsarbeiten bzw. 850 l/AT m. Fräsarbeiten zur Wandebnung
Entfernung Diesellieferant: 10 km (nicht veränderlich)</t>
  </si>
  <si>
    <t>Basisansatz: 80 kWh/h</t>
  </si>
  <si>
    <t>Produktion Ausrüstung</t>
  </si>
  <si>
    <t>Energie/Strom/Stunden</t>
  </si>
  <si>
    <t>Transport Personen</t>
  </si>
  <si>
    <r>
      <t>Gesamt CO</t>
    </r>
    <r>
      <rPr>
        <b/>
        <vertAlign val="subscript"/>
        <sz val="11"/>
        <color theme="1"/>
        <rFont val="Arial"/>
        <family val="2"/>
      </rPr>
      <t>2eq</t>
    </r>
  </si>
  <si>
    <r>
      <t>tCO</t>
    </r>
    <r>
      <rPr>
        <vertAlign val="subscript"/>
        <sz val="11"/>
        <color theme="1"/>
        <rFont val="Arial"/>
        <family val="2"/>
      </rPr>
      <t>2eq</t>
    </r>
  </si>
  <si>
    <t>Emissionen Anteile</t>
  </si>
  <si>
    <t>Pfahlbeton C16/20</t>
  </si>
  <si>
    <t>Überschlagsberechnung des CO2eq Fußabdrucks</t>
  </si>
  <si>
    <t>Basisansatz: Betonklasse C20/25 für die Bohrschablone</t>
  </si>
  <si>
    <t>C16/20</t>
  </si>
  <si>
    <t>Pfahlbeton
(gesamt inkl. Überbeton)</t>
  </si>
  <si>
    <t>Entspricht Eingabefeld EFFC Carbon Calculator
Basisansatz für Beton-Rohstoffversorgung an Betonwerk: 7% vom tCO2 Beton-Herstellung
Entfernung Betonlieferant: 20 km (nicht veränderlich)</t>
  </si>
  <si>
    <t>Gesamt Volumen Pfähle</t>
  </si>
  <si>
    <t>Entspricht Eingabefeld EFFC Carbon Calculator
Entfernung Entsorgungsort: 20 km (nicht veränderlich)</t>
  </si>
  <si>
    <t>m/AT</t>
  </si>
  <si>
    <t>Diesel MIP + alle Geräte</t>
  </si>
  <si>
    <t>Diesel BG39 + alle Geräte</t>
  </si>
  <si>
    <t>tCO2eq</t>
  </si>
  <si>
    <t>Basisansatz: 650 l/AT
Entfernung Diesellieferant: 10 km (nicht veränderlich)</t>
  </si>
  <si>
    <t>Agg.</t>
  </si>
  <si>
    <t xml:space="preserve"> Ankerkopf</t>
  </si>
  <si>
    <r>
      <t>Basisansatz (ohne Hindernisse): bei Verbauwänden 250m</t>
    </r>
    <r>
      <rPr>
        <vertAlign val="superscript"/>
        <sz val="8"/>
        <color theme="0" tint="-0.499984740745262"/>
        <rFont val="Arial"/>
        <family val="2"/>
      </rPr>
      <t>2</t>
    </r>
    <r>
      <rPr>
        <sz val="8"/>
        <color theme="0" tint="-0.499984740745262"/>
        <rFont val="Arial"/>
        <family val="2"/>
      </rPr>
      <t>/AT</t>
    </r>
  </si>
  <si>
    <t>1x Bohrgerät / MIP550 / Verbauwand</t>
  </si>
  <si>
    <t>1x Bohrgerät / MIP550 / Dichtwand</t>
  </si>
  <si>
    <t>Ankerlitzen</t>
  </si>
  <si>
    <t>kg/m</t>
  </si>
  <si>
    <t>1x Ankergerät (KR 806)</t>
  </si>
  <si>
    <t>Diesel KR + alle Geräte</t>
  </si>
  <si>
    <t>Basisansatz: ~25kg/m CEM I 42,5 R</t>
  </si>
  <si>
    <t>Anhebe Hydr.  Bagger</t>
  </si>
  <si>
    <t>100 m/T</t>
  </si>
  <si>
    <t>200 Liter/Tag</t>
  </si>
  <si>
    <t>Basisansatz (ohne Hindernisse): 100m/AT</t>
  </si>
  <si>
    <t>Stahl Ankerkopf</t>
  </si>
  <si>
    <t>Stahl Ankerlitzen</t>
  </si>
  <si>
    <t>Basisansatz: 200 l/AT
Entfernung Diesellieferant: 10 km (nicht veränderlich)</t>
  </si>
  <si>
    <t>Road Articulated &gt;3.5-7.5t</t>
  </si>
  <si>
    <t>Basisansatz: 16 kWh/h</t>
  </si>
  <si>
    <t>Basisansatz: 50 kWh/h</t>
  </si>
  <si>
    <t>Wanddicke</t>
  </si>
  <si>
    <t>SW</t>
  </si>
  <si>
    <t>Gesamt Volumen Wand</t>
  </si>
  <si>
    <t>Beton C16/20</t>
  </si>
  <si>
    <t>Beton C30/37</t>
  </si>
  <si>
    <t>Beton
(gesamt inkl. Überbeton/Mehrverbrauch)</t>
  </si>
  <si>
    <r>
      <t>Basisansatz (ohne Hindernisse): 100m</t>
    </r>
    <r>
      <rPr>
        <vertAlign val="superscript"/>
        <sz val="8"/>
        <color theme="0" tint="-0.499984740745262"/>
        <rFont val="Arial"/>
        <family val="2"/>
      </rPr>
      <t>2</t>
    </r>
    <r>
      <rPr>
        <sz val="8"/>
        <color theme="0" tint="-0.499984740745262"/>
        <rFont val="Arial"/>
        <family val="2"/>
      </rPr>
      <t>/AT</t>
    </r>
  </si>
  <si>
    <t>Leitwand Länge</t>
  </si>
  <si>
    <t>Basisansatz: Betonklasse C20/25 für die Leitwand</t>
  </si>
  <si>
    <t>Bewehrungsstahl Leitwand</t>
  </si>
  <si>
    <t>0.15 t /m3</t>
  </si>
  <si>
    <t>Beton (Wand + Leitwand)</t>
  </si>
  <si>
    <t>Bewehrung (Wand + Leitwand)</t>
  </si>
  <si>
    <t>Stützflüßigkeit</t>
  </si>
  <si>
    <t>m3</t>
  </si>
  <si>
    <t>Grundeinstellung: Mehrverbrauch 35% (nicht veränderlich!)
Entfernung Bentonitlieferant: 20 km (nicht veränderlich)</t>
  </si>
  <si>
    <t>35% Mehrverbrauch</t>
  </si>
  <si>
    <t>~1.9 Dichte Boden</t>
  </si>
  <si>
    <t xml:space="preserve"> MC64</t>
  </si>
  <si>
    <t>Greifer Ausrüstung</t>
  </si>
  <si>
    <t>Abschalbohlen</t>
  </si>
  <si>
    <t>Kontergewichte/Masten/Leitunge/Kleinteile</t>
  </si>
  <si>
    <t>Leistung SW ~100m2/Tag (A. Metka)</t>
  </si>
  <si>
    <t>Diesel Radlader</t>
  </si>
  <si>
    <t>Diesel MC64 + alle Geräte</t>
  </si>
  <si>
    <t>Basisansatz: 500 l/AT
Entfernung Diesellieferant: 10 km (nicht veränderlich)</t>
  </si>
  <si>
    <t>Basisansatz: 100 kWh/h</t>
  </si>
  <si>
    <t>C35/45</t>
  </si>
  <si>
    <t>Pfahlbeton C35/45</t>
  </si>
  <si>
    <t>Beton C35/45</t>
  </si>
  <si>
    <t>Beton C40/50</t>
  </si>
  <si>
    <t>Beton C40/50:</t>
  </si>
  <si>
    <t>C40/50</t>
  </si>
  <si>
    <t>Pfahlbeton C40/50</t>
  </si>
  <si>
    <t>Bentoniteinsatz für die Stützflüssigkeit</t>
  </si>
  <si>
    <t>1x Gerät /  MC64</t>
  </si>
  <si>
    <t>Basisansatz (ohne Hindernisse) für DKS System: 200m/AT</t>
  </si>
  <si>
    <t>1x Bohrgerät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</si>
</sst>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"/>
    <numFmt numFmtId="167" formatCode="0.0%"/>
  </numFmts>
  <fonts count="26" x14ac:knownFonts="1">
    <font>
      <sz val="11"/>
      <color theme="1"/>
      <name val="Arial"/>
      <family val="2"/>
    </font>
    <font>
      <b/>
      <sz val="14"/>
      <color theme="1"/>
      <name val="Arial"/>
      <family val="2"/>
    </font>
    <font>
      <vertAlign val="subscript"/>
      <sz val="11"/>
      <color theme="1"/>
      <name val="Arial"/>
      <family val="2"/>
    </font>
    <font>
      <vertAlign val="subscript"/>
      <sz val="10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4"/>
      <color rgb="FFFF0000"/>
      <name val="Arial"/>
      <family val="2"/>
    </font>
    <font>
      <sz val="11"/>
      <color rgb="FF002060"/>
      <name val="Arial"/>
      <family val="2"/>
    </font>
    <font>
      <b/>
      <sz val="11"/>
      <color rgb="FF002060"/>
      <name val="Arial"/>
      <family val="2"/>
    </font>
    <font>
      <vertAlign val="subscript"/>
      <sz val="11"/>
      <color rgb="FF002060"/>
      <name val="Arial"/>
      <family val="2"/>
    </font>
    <font>
      <b/>
      <sz val="11"/>
      <color rgb="FF002060"/>
      <name val="Symbol"/>
      <family val="1"/>
      <charset val="2"/>
    </font>
    <font>
      <b/>
      <vertAlign val="subscript"/>
      <sz val="11"/>
      <color rgb="FF002060"/>
      <name val="Arial"/>
      <family val="2"/>
    </font>
    <font>
      <b/>
      <sz val="11"/>
      <color rgb="FFFF0000"/>
      <name val="Arial"/>
      <family val="2"/>
    </font>
    <font>
      <b/>
      <vertAlign val="subscript"/>
      <sz val="11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B050"/>
      <name val="Arial"/>
      <family val="2"/>
    </font>
    <font>
      <sz val="11"/>
      <color theme="5"/>
      <name val="Arial"/>
      <family val="2"/>
    </font>
    <font>
      <b/>
      <vertAlign val="subscript"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sz val="11"/>
      <color theme="0" tint="-0.499984740745262"/>
      <name val="Arial"/>
      <family val="2"/>
    </font>
    <font>
      <sz val="8"/>
      <color theme="0" tint="-0.499984740745262"/>
      <name val="Arial"/>
      <family val="2"/>
    </font>
    <font>
      <vertAlign val="superscript"/>
      <sz val="8"/>
      <color theme="0" tint="-0.499984740745262"/>
      <name val="Arial"/>
      <family val="2"/>
    </font>
    <font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thin">
        <color rgb="FF002060"/>
      </bottom>
      <diagonal/>
    </border>
    <border>
      <left/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thin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/>
      <right style="medium">
        <color rgb="FF002060"/>
      </right>
      <top/>
      <bottom/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thin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80">
    <xf numFmtId="0" fontId="0" fillId="0" borderId="0" xfId="0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2" borderId="25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1" applyNumberFormat="1" applyFont="1" applyAlignment="1">
      <alignment horizontal="center" vertical="center" wrapText="1"/>
    </xf>
    <xf numFmtId="167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2" borderId="26" xfId="0" applyFill="1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7" fontId="0" fillId="0" borderId="0" xfId="1" applyNumberFormat="1" applyFont="1" applyBorder="1" applyAlignment="1">
      <alignment vertical="center" wrapText="1"/>
    </xf>
    <xf numFmtId="0" fontId="0" fillId="0" borderId="0" xfId="0" applyBorder="1" applyAlignment="1">
      <alignment vertical="center"/>
    </xf>
    <xf numFmtId="1" fontId="0" fillId="0" borderId="11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12" xfId="0" applyBorder="1" applyAlignment="1">
      <alignment vertical="center"/>
    </xf>
    <xf numFmtId="1" fontId="0" fillId="0" borderId="0" xfId="0" applyNumberFormat="1" applyBorder="1" applyAlignment="1">
      <alignment vertical="center"/>
    </xf>
    <xf numFmtId="167" fontId="0" fillId="0" borderId="0" xfId="1" applyNumberFormat="1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right" vertical="top"/>
    </xf>
    <xf numFmtId="1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14" fillId="0" borderId="0" xfId="1" applyFont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1" fontId="9" fillId="0" borderId="30" xfId="0" applyNumberFormat="1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9" fontId="7" fillId="0" borderId="39" xfId="1" applyNumberFormat="1" applyFont="1" applyBorder="1" applyAlignment="1">
      <alignment horizontal="center" vertical="center"/>
    </xf>
    <xf numFmtId="9" fontId="7" fillId="0" borderId="40" xfId="1" applyNumberFormat="1" applyFont="1" applyBorder="1" applyAlignment="1">
      <alignment horizontal="center" vertical="center"/>
    </xf>
    <xf numFmtId="9" fontId="7" fillId="0" borderId="41" xfId="1" applyNumberFormat="1" applyFont="1" applyBorder="1" applyAlignment="1">
      <alignment horizontal="center" vertical="center"/>
    </xf>
    <xf numFmtId="1" fontId="9" fillId="0" borderId="35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/>
    </xf>
    <xf numFmtId="9" fontId="14" fillId="0" borderId="0" xfId="1" applyFont="1" applyAlignment="1">
      <alignment horizontal="center"/>
    </xf>
    <xf numFmtId="1" fontId="9" fillId="0" borderId="44" xfId="0" applyNumberFormat="1" applyFont="1" applyBorder="1" applyAlignment="1">
      <alignment horizontal="center" vertical="center"/>
    </xf>
    <xf numFmtId="1" fontId="9" fillId="0" borderId="45" xfId="0" applyNumberFormat="1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 wrapText="1"/>
    </xf>
    <xf numFmtId="9" fontId="9" fillId="0" borderId="44" xfId="1" applyFont="1" applyBorder="1" applyAlignment="1">
      <alignment horizontal="center" vertical="center"/>
    </xf>
    <xf numFmtId="9" fontId="9" fillId="0" borderId="47" xfId="1" applyFont="1" applyBorder="1" applyAlignment="1">
      <alignment horizontal="center" vertical="center"/>
    </xf>
    <xf numFmtId="1" fontId="14" fillId="0" borderId="0" xfId="0" applyNumberFormat="1" applyFont="1" applyAlignment="1">
      <alignment horizontal="center"/>
    </xf>
    <xf numFmtId="9" fontId="9" fillId="0" borderId="37" xfId="1" applyFont="1" applyBorder="1" applyAlignment="1">
      <alignment horizontal="center" vertical="center"/>
    </xf>
    <xf numFmtId="9" fontId="9" fillId="0" borderId="49" xfId="1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26" xfId="0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1" fontId="7" fillId="0" borderId="25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2" borderId="19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/>
    </xf>
    <xf numFmtId="0" fontId="16" fillId="2" borderId="19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9" fontId="7" fillId="0" borderId="0" xfId="1" applyNumberFormat="1" applyFont="1" applyBorder="1" applyAlignment="1">
      <alignment horizontal="center" vertical="center"/>
    </xf>
    <xf numFmtId="0" fontId="9" fillId="0" borderId="31" xfId="0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9" fontId="18" fillId="0" borderId="39" xfId="1" applyNumberFormat="1" applyFont="1" applyBorder="1" applyAlignment="1">
      <alignment horizontal="center" vertical="center"/>
    </xf>
    <xf numFmtId="9" fontId="18" fillId="0" borderId="40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right" vertical="center"/>
    </xf>
    <xf numFmtId="0" fontId="0" fillId="2" borderId="26" xfId="0" applyFill="1" applyBorder="1" applyAlignment="1">
      <alignment horizontal="center" vertical="center" wrapText="1"/>
    </xf>
    <xf numFmtId="0" fontId="0" fillId="0" borderId="31" xfId="0" applyBorder="1" applyAlignment="1">
      <alignment horizontal="left" vertical="center"/>
    </xf>
    <xf numFmtId="1" fontId="0" fillId="0" borderId="35" xfId="0" applyNumberFormat="1" applyBorder="1" applyAlignment="1">
      <alignment horizontal="center" vertical="center"/>
    </xf>
    <xf numFmtId="9" fontId="18" fillId="0" borderId="48" xfId="1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51" xfId="0" applyFont="1" applyBorder="1" applyAlignment="1">
      <alignment horizontal="left" vertical="center"/>
    </xf>
    <xf numFmtId="9" fontId="18" fillId="0" borderId="54" xfId="1" applyNumberFormat="1" applyFon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6" fillId="0" borderId="0" xfId="0" applyNumberFormat="1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5" xfId="0" applyNumberFormat="1" applyFont="1" applyBorder="1" applyAlignment="1">
      <alignment horizontal="center" vertical="center"/>
    </xf>
    <xf numFmtId="164" fontId="16" fillId="0" borderId="25" xfId="0" applyNumberFormat="1" applyFont="1" applyBorder="1" applyAlignment="1">
      <alignment horizontal="center" vertical="center"/>
    </xf>
    <xf numFmtId="1" fontId="0" fillId="4" borderId="3" xfId="0" applyNumberFormat="1" applyFill="1" applyBorder="1" applyAlignment="1" applyProtection="1">
      <alignment horizontal="center" vertical="center"/>
      <protection locked="0"/>
    </xf>
    <xf numFmtId="1" fontId="0" fillId="4" borderId="29" xfId="0" applyNumberForma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26" xfId="0" applyFill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" fontId="0" fillId="4" borderId="67" xfId="0" applyNumberForma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26" xfId="0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9" fontId="9" fillId="0" borderId="0" xfId="1" applyFont="1" applyBorder="1" applyAlignment="1">
      <alignment horizontal="center" vertical="center"/>
    </xf>
    <xf numFmtId="1" fontId="0" fillId="4" borderId="28" xfId="0" applyNumberFormat="1" applyFill="1" applyBorder="1" applyAlignment="1" applyProtection="1">
      <alignment horizontal="center" vertical="center"/>
      <protection locked="0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6" borderId="29" xfId="0" applyNumberFormat="1" applyFill="1" applyBorder="1" applyAlignment="1" applyProtection="1">
      <alignment horizontal="center" vertical="center"/>
    </xf>
    <xf numFmtId="0" fontId="0" fillId="8" borderId="0" xfId="0" applyFill="1" applyProtection="1"/>
    <xf numFmtId="0" fontId="0" fillId="0" borderId="0" xfId="0" applyProtection="1"/>
    <xf numFmtId="0" fontId="0" fillId="0" borderId="56" xfId="0" applyBorder="1" applyAlignment="1" applyProtection="1">
      <alignment vertical="center"/>
    </xf>
    <xf numFmtId="0" fontId="0" fillId="0" borderId="57" xfId="0" applyBorder="1" applyAlignment="1" applyProtection="1">
      <alignment horizontal="left" vertical="center"/>
    </xf>
    <xf numFmtId="0" fontId="22" fillId="8" borderId="0" xfId="0" applyFont="1" applyFill="1" applyBorder="1" applyAlignment="1" applyProtection="1">
      <alignment vertical="center"/>
    </xf>
    <xf numFmtId="0" fontId="0" fillId="8" borderId="0" xfId="0" applyFill="1" applyBorder="1" applyAlignment="1" applyProtection="1">
      <alignment vertical="center"/>
    </xf>
    <xf numFmtId="0" fontId="0" fillId="0" borderId="60" xfId="0" applyBorder="1" applyAlignment="1" applyProtection="1">
      <alignment vertical="center"/>
    </xf>
    <xf numFmtId="0" fontId="0" fillId="0" borderId="61" xfId="0" applyBorder="1" applyAlignment="1" applyProtection="1">
      <alignment horizontal="left" vertical="center"/>
    </xf>
    <xf numFmtId="0" fontId="23" fillId="8" borderId="0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23" fillId="8" borderId="0" xfId="0" applyFont="1" applyFill="1" applyBorder="1" applyAlignment="1" applyProtection="1">
      <alignment vertical="center" wrapText="1"/>
    </xf>
    <xf numFmtId="0" fontId="0" fillId="6" borderId="60" xfId="0" applyFill="1" applyBorder="1" applyAlignment="1" applyProtection="1">
      <alignment vertical="center"/>
    </xf>
    <xf numFmtId="0" fontId="0" fillId="6" borderId="61" xfId="0" applyFill="1" applyBorder="1" applyAlignment="1" applyProtection="1">
      <alignment horizontal="left" vertical="center"/>
    </xf>
    <xf numFmtId="0" fontId="0" fillId="0" borderId="60" xfId="0" applyBorder="1" applyAlignment="1" applyProtection="1">
      <alignment horizontal="center" vertical="center"/>
    </xf>
    <xf numFmtId="0" fontId="0" fillId="0" borderId="55" xfId="0" applyBorder="1" applyAlignment="1" applyProtection="1">
      <alignment horizontal="center" vertical="center"/>
    </xf>
    <xf numFmtId="0" fontId="0" fillId="0" borderId="61" xfId="0" applyBorder="1" applyAlignment="1" applyProtection="1">
      <alignment horizontal="center" vertical="center"/>
    </xf>
    <xf numFmtId="0" fontId="5" fillId="0" borderId="62" xfId="0" applyFont="1" applyBorder="1" applyAlignment="1" applyProtection="1">
      <alignment vertical="center"/>
    </xf>
    <xf numFmtId="1" fontId="5" fillId="5" borderId="25" xfId="0" applyNumberFormat="1" applyFont="1" applyFill="1" applyBorder="1" applyAlignment="1" applyProtection="1">
      <alignment horizontal="center" vertical="center"/>
    </xf>
    <xf numFmtId="0" fontId="0" fillId="0" borderId="63" xfId="0" applyBorder="1" applyAlignment="1" applyProtection="1">
      <alignment horizontal="left" vertical="center"/>
    </xf>
    <xf numFmtId="0" fontId="0" fillId="8" borderId="0" xfId="0" applyFill="1" applyBorder="1" applyProtection="1"/>
    <xf numFmtId="0" fontId="0" fillId="7" borderId="29" xfId="0" applyFill="1" applyBorder="1" applyProtection="1"/>
    <xf numFmtId="0" fontId="0" fillId="7" borderId="29" xfId="0" applyFill="1" applyBorder="1" applyAlignment="1" applyProtection="1">
      <alignment horizontal="center"/>
    </xf>
    <xf numFmtId="0" fontId="0" fillId="8" borderId="29" xfId="0" applyFill="1" applyBorder="1" applyProtection="1"/>
    <xf numFmtId="1" fontId="0" fillId="5" borderId="29" xfId="0" applyNumberFormat="1" applyFill="1" applyBorder="1" applyAlignment="1" applyProtection="1">
      <alignment horizontal="center"/>
    </xf>
    <xf numFmtId="0" fontId="22" fillId="8" borderId="0" xfId="0" applyFont="1" applyFill="1" applyProtection="1"/>
    <xf numFmtId="164" fontId="0" fillId="5" borderId="29" xfId="0" applyNumberFormat="1" applyFill="1" applyBorder="1" applyAlignment="1" applyProtection="1">
      <alignment horizontal="center"/>
    </xf>
    <xf numFmtId="10" fontId="0" fillId="8" borderId="0" xfId="0" applyNumberFormat="1" applyFill="1" applyProtection="1"/>
    <xf numFmtId="0" fontId="4" fillId="8" borderId="0" xfId="0" applyFont="1" applyFill="1" applyBorder="1" applyAlignment="1" applyProtection="1">
      <alignment vertical="center"/>
    </xf>
    <xf numFmtId="0" fontId="0" fillId="0" borderId="66" xfId="0" applyBorder="1" applyAlignment="1" applyProtection="1">
      <alignment vertical="center" wrapText="1"/>
    </xf>
    <xf numFmtId="0" fontId="0" fillId="0" borderId="68" xfId="0" applyBorder="1" applyAlignment="1" applyProtection="1">
      <alignment horizontal="left" vertical="center"/>
    </xf>
    <xf numFmtId="0" fontId="23" fillId="8" borderId="69" xfId="0" applyFont="1" applyFill="1" applyBorder="1" applyAlignment="1" applyProtection="1">
      <alignment vertical="center" wrapText="1"/>
    </xf>
    <xf numFmtId="0" fontId="23" fillId="0" borderId="0" xfId="0" applyFont="1" applyBorder="1" applyAlignment="1" applyProtection="1">
      <alignment vertical="center" wrapText="1"/>
    </xf>
    <xf numFmtId="0" fontId="5" fillId="8" borderId="69" xfId="0" applyFont="1" applyFill="1" applyBorder="1" applyAlignment="1" applyProtection="1"/>
    <xf numFmtId="0" fontId="5" fillId="8" borderId="0" xfId="0" applyFont="1" applyFill="1" applyBorder="1" applyAlignment="1" applyProtection="1"/>
    <xf numFmtId="0" fontId="0" fillId="8" borderId="69" xfId="0" applyFill="1" applyBorder="1" applyAlignment="1" applyProtection="1"/>
    <xf numFmtId="0" fontId="0" fillId="8" borderId="0" xfId="0" applyFill="1" applyBorder="1" applyAlignment="1" applyProtection="1"/>
    <xf numFmtId="0" fontId="0" fillId="0" borderId="2" xfId="0" applyBorder="1" applyAlignment="1" applyProtection="1">
      <alignment vertical="center"/>
    </xf>
    <xf numFmtId="0" fontId="0" fillId="0" borderId="4" xfId="0" applyBorder="1" applyAlignment="1" applyProtection="1">
      <alignment horizontal="left" vertical="center"/>
    </xf>
    <xf numFmtId="0" fontId="0" fillId="8" borderId="69" xfId="0" applyFill="1" applyBorder="1" applyProtection="1"/>
    <xf numFmtId="1" fontId="0" fillId="8" borderId="0" xfId="0" applyNumberFormat="1" applyFill="1" applyBorder="1" applyAlignment="1" applyProtection="1">
      <alignment horizontal="center" vertical="center"/>
    </xf>
    <xf numFmtId="0" fontId="0" fillId="8" borderId="69" xfId="0" applyFill="1" applyBorder="1" applyAlignment="1" applyProtection="1">
      <alignment vertical="center"/>
    </xf>
    <xf numFmtId="1" fontId="0" fillId="0" borderId="57" xfId="0" applyNumberFormat="1" applyFill="1" applyBorder="1" applyAlignment="1" applyProtection="1">
      <alignment horizontal="left" vertical="center"/>
    </xf>
    <xf numFmtId="0" fontId="0" fillId="8" borderId="0" xfId="0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1" fontId="0" fillId="0" borderId="70" xfId="0" applyNumberFormat="1" applyFill="1" applyBorder="1" applyAlignment="1" applyProtection="1">
      <alignment horizontal="left" vertical="center"/>
    </xf>
    <xf numFmtId="1" fontId="0" fillId="9" borderId="29" xfId="0" applyNumberFormat="1" applyFill="1" applyBorder="1" applyAlignment="1" applyProtection="1">
      <alignment horizontal="center" vertical="center"/>
    </xf>
    <xf numFmtId="1" fontId="0" fillId="9" borderId="70" xfId="0" applyNumberFormat="1" applyFill="1" applyBorder="1" applyAlignment="1" applyProtection="1">
      <alignment horizontal="center" vertical="center"/>
    </xf>
    <xf numFmtId="1" fontId="0" fillId="9" borderId="4" xfId="0" applyNumberFormat="1" applyFill="1" applyBorder="1" applyAlignment="1" applyProtection="1">
      <alignment horizontal="center" vertical="center"/>
    </xf>
    <xf numFmtId="0" fontId="0" fillId="8" borderId="73" xfId="0" applyFill="1" applyBorder="1" applyAlignment="1" applyProtection="1">
      <alignment horizontal="left" vertical="center"/>
    </xf>
    <xf numFmtId="0" fontId="0" fillId="8" borderId="10" xfId="0" applyFill="1" applyBorder="1" applyAlignment="1" applyProtection="1">
      <alignment horizontal="left" vertical="center"/>
    </xf>
    <xf numFmtId="1" fontId="0" fillId="0" borderId="68" xfId="0" applyNumberFormat="1" applyFill="1" applyBorder="1" applyAlignment="1" applyProtection="1">
      <alignment horizontal="left" vertical="center"/>
    </xf>
    <xf numFmtId="0" fontId="23" fillId="0" borderId="69" xfId="0" applyFont="1" applyBorder="1" applyAlignment="1" applyProtection="1">
      <alignment vertical="center"/>
    </xf>
    <xf numFmtId="0" fontId="0" fillId="8" borderId="0" xfId="0" applyFill="1" applyBorder="1" applyAlignment="1" applyProtection="1">
      <alignment horizontal="left" vertical="center"/>
    </xf>
    <xf numFmtId="1" fontId="0" fillId="5" borderId="25" xfId="0" applyNumberFormat="1" applyFont="1" applyFill="1" applyBorder="1" applyAlignment="1" applyProtection="1">
      <alignment horizontal="center" vertical="center"/>
    </xf>
    <xf numFmtId="1" fontId="5" fillId="8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26" xfId="0" applyFill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2" fontId="0" fillId="4" borderId="29" xfId="0" applyNumberFormat="1" applyFill="1" applyBorder="1" applyAlignment="1" applyProtection="1">
      <alignment horizontal="center" vertical="center"/>
      <protection locked="0"/>
    </xf>
    <xf numFmtId="9" fontId="16" fillId="0" borderId="0" xfId="0" applyNumberFormat="1" applyFont="1" applyAlignment="1">
      <alignment horizontal="center" vertical="center" wrapText="1"/>
    </xf>
    <xf numFmtId="166" fontId="16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0" fillId="0" borderId="0" xfId="0" applyAlignment="1" applyProtection="1">
      <alignment vertical="center"/>
    </xf>
    <xf numFmtId="0" fontId="25" fillId="8" borderId="0" xfId="0" applyFont="1" applyFill="1" applyBorder="1" applyProtection="1"/>
    <xf numFmtId="0" fontId="0" fillId="0" borderId="57" xfId="0" applyBorder="1" applyAlignment="1" applyProtection="1">
      <alignment vertical="center"/>
    </xf>
    <xf numFmtId="0" fontId="0" fillId="0" borderId="0" xfId="0" applyAlignment="1">
      <alignment horizontal="center"/>
    </xf>
    <xf numFmtId="0" fontId="0" fillId="0" borderId="60" xfId="0" applyBorder="1" applyAlignment="1" applyProtection="1">
      <alignment horizontal="center" vertical="center"/>
    </xf>
    <xf numFmtId="0" fontId="0" fillId="0" borderId="55" xfId="0" applyBorder="1" applyAlignment="1" applyProtection="1">
      <alignment horizontal="center" vertical="center"/>
    </xf>
    <xf numFmtId="0" fontId="0" fillId="0" borderId="61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5" fillId="0" borderId="19" xfId="0" applyFont="1" applyBorder="1" applyAlignment="1" applyProtection="1">
      <alignment horizontal="left"/>
    </xf>
    <xf numFmtId="0" fontId="5" fillId="0" borderId="64" xfId="0" applyFont="1" applyBorder="1" applyAlignment="1" applyProtection="1">
      <alignment horizontal="left"/>
    </xf>
    <xf numFmtId="0" fontId="5" fillId="0" borderId="65" xfId="0" applyFont="1" applyBorder="1" applyAlignment="1" applyProtection="1">
      <alignment horizontal="left"/>
    </xf>
    <xf numFmtId="0" fontId="0" fillId="0" borderId="58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0" fillId="0" borderId="59" xfId="0" applyBorder="1" applyAlignment="1" applyProtection="1">
      <alignment horizontal="center"/>
    </xf>
    <xf numFmtId="0" fontId="0" fillId="0" borderId="0" xfId="0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26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0" borderId="11" xfId="0" applyBorder="1" applyAlignment="1" applyProtection="1">
      <alignment horizontal="center"/>
    </xf>
    <xf numFmtId="0" fontId="23" fillId="8" borderId="69" xfId="0" applyFont="1" applyFill="1" applyBorder="1" applyAlignment="1" applyProtection="1">
      <alignment horizontal="left" vertical="center" wrapText="1"/>
    </xf>
    <xf numFmtId="0" fontId="23" fillId="8" borderId="0" xfId="0" applyFont="1" applyFill="1" applyBorder="1" applyAlignment="1" applyProtection="1">
      <alignment horizontal="left" vertical="center" wrapText="1"/>
    </xf>
    <xf numFmtId="0" fontId="0" fillId="0" borderId="62" xfId="0" applyBorder="1" applyAlignment="1" applyProtection="1">
      <alignment horizontal="center"/>
    </xf>
    <xf numFmtId="0" fontId="0" fillId="0" borderId="72" xfId="0" applyBorder="1" applyAlignment="1" applyProtection="1">
      <alignment horizontal="center"/>
    </xf>
    <xf numFmtId="0" fontId="5" fillId="0" borderId="19" xfId="0" applyFont="1" applyBorder="1" applyAlignment="1" applyProtection="1">
      <alignment horizontal="center"/>
    </xf>
    <xf numFmtId="0" fontId="5" fillId="0" borderId="64" xfId="0" applyFont="1" applyBorder="1" applyAlignment="1" applyProtection="1">
      <alignment horizontal="center"/>
    </xf>
    <xf numFmtId="0" fontId="0" fillId="0" borderId="66" xfId="0" applyBorder="1" applyAlignment="1" applyProtection="1">
      <alignment horizontal="left" vertical="center" wrapText="1"/>
    </xf>
    <xf numFmtId="0" fontId="0" fillId="0" borderId="71" xfId="0" applyBorder="1" applyAlignment="1" applyProtection="1">
      <alignment horizontal="left" vertical="center" wrapText="1"/>
    </xf>
    <xf numFmtId="0" fontId="23" fillId="8" borderId="69" xfId="0" applyFont="1" applyFill="1" applyBorder="1" applyAlignment="1" applyProtection="1">
      <alignment horizontal="center" vertical="center" wrapText="1"/>
    </xf>
    <xf numFmtId="0" fontId="23" fillId="8" borderId="0" xfId="0" applyFont="1" applyFill="1" applyBorder="1" applyAlignment="1" applyProtection="1">
      <alignment horizontal="center" vertical="center" wrapText="1"/>
    </xf>
    <xf numFmtId="0" fontId="0" fillId="0" borderId="74" xfId="0" applyBorder="1" applyAlignment="1" applyProtection="1">
      <alignment horizontal="center" vertical="center"/>
    </xf>
    <xf numFmtId="0" fontId="0" fillId="0" borderId="75" xfId="0" applyBorder="1" applyAlignment="1" applyProtection="1">
      <alignment horizontal="center" vertical="center"/>
    </xf>
    <xf numFmtId="0" fontId="0" fillId="0" borderId="76" xfId="0" applyBorder="1" applyAlignment="1" applyProtection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1" fontId="0" fillId="3" borderId="25" xfId="0" applyNumberFormat="1" applyFill="1" applyBorder="1" applyAlignment="1">
      <alignment horizontal="center" vertical="center"/>
    </xf>
    <xf numFmtId="1" fontId="16" fillId="3" borderId="0" xfId="0" applyNumberFormat="1" applyFont="1" applyFill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</a:t>
            </a:r>
            <a:r>
              <a:rPr lang="de-DE" baseline="-25000"/>
              <a:t>2</a:t>
            </a:r>
            <a:r>
              <a:rPr lang="de-DE" baseline="0"/>
              <a:t>-Fußabdruck der betrachteten Verfahren</a:t>
            </a:r>
            <a:endParaRPr lang="de-DE"/>
          </a:p>
        </c:rich>
      </c:tx>
      <c:layout>
        <c:manualLayout>
          <c:xMode val="edge"/>
          <c:yMode val="edge"/>
          <c:x val="0.35710177280198202"/>
          <c:y val="1.5743913574114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'Calculations MIP-VW'!$B$239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'Calculations MIP-VW'!$A$240:$A$242</c:f>
            </c:multiLvlStrRef>
          </c:cat>
          <c:val>
            <c:numRef>
              <c:f>'Calculations MIP-VW'!$B$240:$B$242</c:f>
            </c:numRef>
          </c:val>
          <c:extLst>
            <c:ext xmlns:c15="http://schemas.microsoft.com/office/drawing/2012/chart" uri="{02D57815-91ED-43cb-92C2-25804820EDAC}">
              <c15:datalabelsRange>
                <c15:f>'Calculations MIP-VW'!$B$244:$B$246</c15:f>
              </c15:datalabelsRange>
            </c:ext>
            <c:ext xmlns:c16="http://schemas.microsoft.com/office/drawing/2014/chart" uri="{C3380CC4-5D6E-409C-BE32-E72D297353CC}">
              <c16:uniqueId val="{00000000-4772-47FE-AEC2-30460F4A0EED}"/>
            </c:ext>
          </c:extLst>
        </c:ser>
        <c:ser>
          <c:idx val="1"/>
          <c:order val="1"/>
          <c:tx>
            <c:strRef>
              <c:f>'Calculations MIP-VW'!$E$239</c:f>
              <c:strCache>
                <c:ptCount val="1"/>
                <c:pt idx="0">
                  <c:v>Freight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'Calculations MIP-VW'!$A$240:$A$242</c:f>
            </c:multiLvlStrRef>
          </c:cat>
          <c:val>
            <c:numRef>
              <c:f>'Calculations MIP-VW'!$E$240:$E$242</c:f>
            </c:numRef>
          </c:val>
          <c:extLst>
            <c:ext xmlns:c15="http://schemas.microsoft.com/office/drawing/2012/chart" uri="{02D57815-91ED-43cb-92C2-25804820EDAC}">
              <c15:datalabelsRange>
                <c15:f>'Calculations MIP-VW'!$E$244:$E$246</c15:f>
              </c15:datalabelsRange>
            </c:ext>
            <c:ext xmlns:c16="http://schemas.microsoft.com/office/drawing/2014/chart" uri="{C3380CC4-5D6E-409C-BE32-E72D297353CC}">
              <c16:uniqueId val="{00000001-4772-47FE-AEC2-30460F4A0EED}"/>
            </c:ext>
          </c:extLst>
        </c:ser>
        <c:ser>
          <c:idx val="3"/>
          <c:order val="2"/>
          <c:tx>
            <c:strRef>
              <c:f>'Calculations MIP-VW'!$I$239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'Calculations MIP-VW'!$A$240:$A$242</c:f>
            </c:multiLvlStrRef>
          </c:cat>
          <c:val>
            <c:numRef>
              <c:f>'Calculations MIP-VW'!$I$240:$I$242</c:f>
            </c:numRef>
          </c:val>
          <c:extLst>
            <c:ext xmlns:c15="http://schemas.microsoft.com/office/drawing/2012/chart" uri="{02D57815-91ED-43cb-92C2-25804820EDAC}">
              <c15:datalabelsRange>
                <c15:f>'Calculations MIP-VW'!$I$244:$I$246</c15:f>
              </c15:datalabelsRange>
            </c:ext>
            <c:ext xmlns:c16="http://schemas.microsoft.com/office/drawing/2014/chart" uri="{C3380CC4-5D6E-409C-BE32-E72D297353CC}">
              <c16:uniqueId val="{00000002-4772-47FE-AEC2-30460F4A0EED}"/>
            </c:ext>
          </c:extLst>
        </c:ser>
        <c:ser>
          <c:idx val="4"/>
          <c:order val="3"/>
          <c:tx>
            <c:strRef>
              <c:f>'Calculations MIP-VW'!$H$239</c:f>
              <c:strCache>
                <c:ptCount val="1"/>
                <c:pt idx="0">
                  <c:v>Assets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'Calculations MIP-VW'!$A$240:$A$242</c:f>
            </c:multiLvlStrRef>
          </c:cat>
          <c:val>
            <c:numRef>
              <c:f>'Calculations MIP-VW'!$H$240:$H$242</c:f>
            </c:numRef>
          </c:val>
          <c:extLst>
            <c:ext xmlns:c15="http://schemas.microsoft.com/office/drawing/2012/chart" uri="{02D57815-91ED-43cb-92C2-25804820EDAC}">
              <c15:datalabelsRange>
                <c15:f>'Calculations MIP-VW'!$H$244:$H$246</c15:f>
              </c15:datalabelsRange>
            </c:ext>
            <c:ext xmlns:c16="http://schemas.microsoft.com/office/drawing/2014/chart" uri="{C3380CC4-5D6E-409C-BE32-E72D297353CC}">
              <c16:uniqueId val="{00000003-4772-47FE-AEC2-30460F4A0EED}"/>
            </c:ext>
          </c:extLst>
        </c:ser>
        <c:ser>
          <c:idx val="6"/>
          <c:order val="4"/>
          <c:tx>
            <c:strRef>
              <c:f>'Calculations MIP-VW'!$C$239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'Calculations MIP-VW'!$A$240:$A$242</c:f>
            </c:multiLvlStrRef>
          </c:cat>
          <c:val>
            <c:numRef>
              <c:f>'Calculations MIP-VW'!$C$240:$C$242</c:f>
            </c:numRef>
          </c:val>
          <c:extLst>
            <c:ext xmlns:c15="http://schemas.microsoft.com/office/drawing/2012/chart" uri="{02D57815-91ED-43cb-92C2-25804820EDAC}">
              <c15:datalabelsRange>
                <c15:f>'Calculations MIP-VW'!$C$244:$C$246</c15:f>
              </c15:datalabelsRange>
            </c:ext>
            <c:ext xmlns:c16="http://schemas.microsoft.com/office/drawing/2014/chart" uri="{C3380CC4-5D6E-409C-BE32-E72D297353CC}">
              <c16:uniqueId val="{00000004-4772-47FE-AEC2-30460F4A0EED}"/>
            </c:ext>
          </c:extLst>
        </c:ser>
        <c:ser>
          <c:idx val="8"/>
          <c:order val="5"/>
          <c:tx>
            <c:strRef>
              <c:f>'Calculations MIP-VW'!$F$239</c:f>
              <c:strCache>
                <c:ptCount val="1"/>
                <c:pt idx="0">
                  <c:v>Mob/Demob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'Calculations MIP-VW'!$A$240:$A$242</c:f>
            </c:multiLvlStrRef>
          </c:cat>
          <c:val>
            <c:numRef>
              <c:f>'Calculations MIP-VW'!$F$240:$F$242</c:f>
            </c:numRef>
          </c:val>
          <c:extLst>
            <c:ext xmlns:c15="http://schemas.microsoft.com/office/drawing/2012/chart" uri="{02D57815-91ED-43cb-92C2-25804820EDAC}">
              <c15:datalabelsRange>
                <c15:f>'Calculations MIP-VW'!$F$244:$F$246</c15:f>
              </c15:datalabelsRange>
            </c:ext>
            <c:ext xmlns:c16="http://schemas.microsoft.com/office/drawing/2014/chart" uri="{C3380CC4-5D6E-409C-BE32-E72D297353CC}">
              <c16:uniqueId val="{00000005-4772-47FE-AEC2-30460F4A0EED}"/>
            </c:ext>
          </c:extLst>
        </c:ser>
        <c:ser>
          <c:idx val="9"/>
          <c:order val="6"/>
          <c:tx>
            <c:strRef>
              <c:f>'Calculations MIP-VW'!$G$239</c:f>
              <c:strCache>
                <c:ptCount val="1"/>
                <c:pt idx="0">
                  <c:v>People's Transport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multiLvlStrRef>
              <c:f>'Calculations MIP-VW'!$A$240:$A$242</c:f>
            </c:multiLvlStrRef>
          </c:cat>
          <c:val>
            <c:numRef>
              <c:f>'Calculations MIP-VW'!$G$240:$G$242</c:f>
            </c:numRef>
          </c:val>
          <c:extLst>
            <c:ext xmlns:c15="http://schemas.microsoft.com/office/drawing/2012/chart" uri="{02D57815-91ED-43cb-92C2-25804820EDAC}">
              <c15:datalabelsRange>
                <c15:f>'Calculations MIP-VW'!$G$244:$G$246</c15:f>
              </c15:datalabelsRange>
            </c:ext>
            <c:ext xmlns:c16="http://schemas.microsoft.com/office/drawing/2014/chart" uri="{C3380CC4-5D6E-409C-BE32-E72D297353CC}">
              <c16:uniqueId val="{00000006-4772-47FE-AEC2-30460F4A0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459144"/>
        <c:axId val="448459472"/>
        <c:extLst/>
      </c:barChart>
      <c:catAx>
        <c:axId val="4484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59472"/>
        <c:crosses val="autoZero"/>
        <c:auto val="1"/>
        <c:lblAlgn val="ctr"/>
        <c:lblOffset val="100"/>
        <c:noMultiLvlLbl val="0"/>
      </c:catAx>
      <c:valAx>
        <c:axId val="4484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</a:t>
                </a:r>
                <a:r>
                  <a:rPr lang="de-DE" baseline="0"/>
                  <a:t> CO</a:t>
                </a:r>
                <a:r>
                  <a:rPr lang="de-DE" baseline="-25000"/>
                  <a:t>2eq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5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8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der Methoden nach EFFC</a:t>
            </a:r>
          </a:p>
        </c:rich>
      </c:tx>
      <c:layout>
        <c:manualLayout>
          <c:xMode val="edge"/>
          <c:yMode val="edge"/>
          <c:x val="0.43494314454245103"/>
          <c:y val="1.2194946299025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'Calculations MIP-VW'!$B$232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'Calculations MIP-VW'!$A$233:$A$237</c:f>
            </c:multiLvlStrRef>
          </c:cat>
          <c:val>
            <c:numRef>
              <c:f>'Calculations MIP-VW'!$B$233:$B$237</c:f>
            </c:numRef>
          </c:val>
          <c:extLst>
            <c:ext xmlns:c16="http://schemas.microsoft.com/office/drawing/2014/chart" uri="{C3380CC4-5D6E-409C-BE32-E72D297353CC}">
              <c16:uniqueId val="{00000003-2FFB-41F7-92D0-3B3FF6FE6A78}"/>
            </c:ext>
          </c:extLst>
        </c:ser>
        <c:ser>
          <c:idx val="1"/>
          <c:order val="1"/>
          <c:tx>
            <c:strRef>
              <c:f>'Calculations MIP-VW'!$E$232</c:f>
              <c:strCache>
                <c:ptCount val="1"/>
                <c:pt idx="0">
                  <c:v>Freight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'Calculations MIP-VW'!$A$233:$A$237</c:f>
            </c:multiLvlStrRef>
          </c:cat>
          <c:val>
            <c:numRef>
              <c:f>'Calculations MIP-VW'!$E$233:$E$237</c:f>
            </c:numRef>
          </c:val>
          <c:extLst>
            <c:ext xmlns:c16="http://schemas.microsoft.com/office/drawing/2014/chart" uri="{C3380CC4-5D6E-409C-BE32-E72D297353CC}">
              <c16:uniqueId val="{00000007-2FFB-41F7-92D0-3B3FF6FE6A78}"/>
            </c:ext>
          </c:extLst>
        </c:ser>
        <c:ser>
          <c:idx val="3"/>
          <c:order val="2"/>
          <c:tx>
            <c:strRef>
              <c:f>'Calculations MIP-VW'!$I$232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'Calculations MIP-VW'!$A$233:$A$237</c:f>
            </c:multiLvlStrRef>
          </c:cat>
          <c:val>
            <c:numRef>
              <c:f>'Calculations MIP-VW'!$I$233:$I$237</c:f>
            </c:numRef>
          </c:val>
          <c:extLst>
            <c:ext xmlns:c16="http://schemas.microsoft.com/office/drawing/2014/chart" uri="{C3380CC4-5D6E-409C-BE32-E72D297353CC}">
              <c16:uniqueId val="{0000000B-2FFB-41F7-92D0-3B3FF6FE6A78}"/>
            </c:ext>
          </c:extLst>
        </c:ser>
        <c:ser>
          <c:idx val="4"/>
          <c:order val="3"/>
          <c:tx>
            <c:strRef>
              <c:f>'Calculations MIP-VW'!$H$232</c:f>
              <c:strCache>
                <c:ptCount val="1"/>
                <c:pt idx="0">
                  <c:v>Assets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'Calculations MIP-VW'!$A$233:$A$237</c:f>
            </c:multiLvlStrRef>
          </c:cat>
          <c:val>
            <c:numRef>
              <c:f>'Calculations MIP-VW'!$H$233:$H$237</c:f>
            </c:numRef>
          </c:val>
          <c:extLst>
            <c:ext xmlns:c16="http://schemas.microsoft.com/office/drawing/2014/chart" uri="{C3380CC4-5D6E-409C-BE32-E72D297353CC}">
              <c16:uniqueId val="{0000000F-2FFB-41F7-92D0-3B3FF6FE6A78}"/>
            </c:ext>
          </c:extLst>
        </c:ser>
        <c:ser>
          <c:idx val="6"/>
          <c:order val="4"/>
          <c:tx>
            <c:strRef>
              <c:f>'Calculations MIP-VW'!$C$232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'Calculations MIP-VW'!$A$233:$A$237</c:f>
            </c:multiLvlStrRef>
          </c:cat>
          <c:val>
            <c:numRef>
              <c:f>'Calculations MIP-VW'!$C$233:$C$237</c:f>
            </c:numRef>
          </c:val>
          <c:extLst>
            <c:ext xmlns:c16="http://schemas.microsoft.com/office/drawing/2014/chart" uri="{C3380CC4-5D6E-409C-BE32-E72D297353CC}">
              <c16:uniqueId val="{00000013-2FFB-41F7-92D0-3B3FF6FE6A78}"/>
            </c:ext>
          </c:extLst>
        </c:ser>
        <c:ser>
          <c:idx val="8"/>
          <c:order val="5"/>
          <c:tx>
            <c:strRef>
              <c:f>'Calculations MIP-VW'!$F$232</c:f>
              <c:strCache>
                <c:ptCount val="1"/>
                <c:pt idx="0">
                  <c:v>Mob/Demob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'Calculations MIP-VW'!$A$233:$A$237</c:f>
            </c:multiLvlStrRef>
          </c:cat>
          <c:val>
            <c:numRef>
              <c:f>'Calculations MIP-VW'!$F$233:$F$237</c:f>
            </c:numRef>
          </c:val>
          <c:extLst>
            <c:ext xmlns:c16="http://schemas.microsoft.com/office/drawing/2014/chart" uri="{C3380CC4-5D6E-409C-BE32-E72D297353CC}">
              <c16:uniqueId val="{00000017-2FFB-41F7-92D0-3B3FF6FE6A78}"/>
            </c:ext>
          </c:extLst>
        </c:ser>
        <c:ser>
          <c:idx val="9"/>
          <c:order val="6"/>
          <c:tx>
            <c:strRef>
              <c:f>'Calculations MIP-VW'!$G$232</c:f>
              <c:strCache>
                <c:ptCount val="1"/>
                <c:pt idx="0">
                  <c:v>People's Transport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'Calculations MIP-VW'!$A$233:$A$237</c:f>
            </c:multiLvlStrRef>
          </c:cat>
          <c:val>
            <c:numRef>
              <c:f>'Calculations MIP-VW'!$G$233:$G$237</c:f>
            </c:numRef>
          </c:val>
          <c:extLst>
            <c:ext xmlns:c16="http://schemas.microsoft.com/office/drawing/2014/chart" uri="{C3380CC4-5D6E-409C-BE32-E72D297353CC}">
              <c16:uniqueId val="{0000001B-2FFB-41F7-92D0-3B3FF6FE6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459144"/>
        <c:axId val="448459472"/>
        <c:extLst/>
      </c:barChart>
      <c:catAx>
        <c:axId val="4484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59472"/>
        <c:crosses val="autoZero"/>
        <c:auto val="1"/>
        <c:lblAlgn val="ctr"/>
        <c:lblOffset val="100"/>
        <c:noMultiLvlLbl val="0"/>
      </c:catAx>
      <c:valAx>
        <c:axId val="4484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5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BPW+UWS</a:t>
            </a:r>
          </a:p>
        </c:rich>
      </c:tx>
      <c:layout>
        <c:manualLayout>
          <c:xMode val="edge"/>
          <c:yMode val="edge"/>
          <c:x val="0.4460701935327307"/>
          <c:y val="2.41841833489475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'Calculations MIP-VW'!$A$240</c:f>
              <c:strCache>
                <c:ptCount val="1"/>
                <c:pt idx="0">
                  <c:v>PfW88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C3-44CF-BAE9-15A3B51B7D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C3-44CF-BAE9-15A3B51B7D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F1-43AB-951C-CD151D36F1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C3-44CF-BAE9-15A3B51B7D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FF-4945-8C6C-FF0E324679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9F1-43AB-951C-CD151D36F1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6FF-4945-8C6C-FF0E3246790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1A-44B4-87C4-9A22FFEC3B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6FF-4945-8C6C-FF0E3246790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FF-4945-8C6C-FF0E32467908}"/>
              </c:ext>
            </c:extLst>
          </c:dPt>
          <c:dLbls>
            <c:dLbl>
              <c:idx val="8"/>
              <c:layout>
                <c:manualLayout>
                  <c:x val="1.1023984307063844E-2"/>
                  <c:y val="-2.5222138352168208E-3"/>
                </c:manualLayout>
              </c:layout>
              <c:tx>
                <c:rich>
                  <a:bodyPr/>
                  <a:lstStyle/>
                  <a:p>
                    <a:fld id="{33BB2271-69FC-4AA2-8745-E17F7FCE5F61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75AFC088-5617-46D1-B7B8-D1DED96A4810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0CF9AD47-F40E-440D-8416-2900592DEE0D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6FF-4945-8C6C-FF0E32467908}"/>
                </c:ext>
              </c:extLst>
            </c:dLbl>
            <c:dLbl>
              <c:idx val="9"/>
              <c:layout>
                <c:manualLayout>
                  <c:x val="0.2630487761810002"/>
                  <c:y val="4.1053106997988871E-2"/>
                </c:manualLayout>
              </c:layout>
              <c:tx>
                <c:rich>
                  <a:bodyPr/>
                  <a:lstStyle/>
                  <a:p>
                    <a:fld id="{91311735-80D3-4DF6-AF31-A74E990FE99C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BF6A06AF-D344-49BC-8AA0-F78212E3FB22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9A2EBAFD-9F1C-496D-8BDB-27E440549359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6FF-4945-8C6C-FF0E32467908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'Calculations MIP-VW'!$B$240:$H$240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'Calculations MIP-VW'!$B$239:$H$239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6FF-4945-8C6C-FF0E324679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8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MIP+LWS</a:t>
            </a:r>
          </a:p>
        </c:rich>
      </c:tx>
      <c:layout>
        <c:manualLayout>
          <c:xMode val="edge"/>
          <c:yMode val="edge"/>
          <c:x val="0.4460701935327307"/>
          <c:y val="2.41841833489475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'Calculations MIP-VW'!$A$242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16-4B48-BA6B-7963CF42E7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16-4B48-BA6B-7963CF42E7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FEC-428C-9494-D0A3398AC1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16-4B48-BA6B-7963CF42E7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16-4B48-BA6B-7963CF42E7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430-45E2-B412-E68A630049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16-4B48-BA6B-7963CF42E7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81-42DC-88C2-64C3189364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16-4B48-BA6B-7963CF42E72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016-4B48-BA6B-7963CF42E722}"/>
              </c:ext>
            </c:extLst>
          </c:dPt>
          <c:dLbls>
            <c:dLbl>
              <c:idx val="8"/>
              <c:layout>
                <c:manualLayout>
                  <c:x val="-7.7930195476109496E-3"/>
                  <c:y val="1.0952040085898355E-3"/>
                </c:manualLayout>
              </c:layout>
              <c:tx>
                <c:rich>
                  <a:bodyPr/>
                  <a:lstStyle/>
                  <a:p>
                    <a:fld id="{28DE8A90-5437-43B6-A188-BAE9B80819BF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A8C60A0F-8785-41C8-BE6E-BF15524DBCB2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62144B89-12D7-4CA9-B3DB-0663A8322B97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016-4B48-BA6B-7963CF42E722}"/>
                </c:ext>
              </c:extLst>
            </c:dLbl>
            <c:dLbl>
              <c:idx val="9"/>
              <c:layout>
                <c:manualLayout>
                  <c:x val="0.1827344478526792"/>
                  <c:y val="8.341854995398303E-3"/>
                </c:manualLayout>
              </c:layout>
              <c:tx>
                <c:rich>
                  <a:bodyPr/>
                  <a:lstStyle/>
                  <a:p>
                    <a:fld id="{814E21C9-9BF5-4CAF-B668-A565B46CDF75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8D107784-A738-4C54-B9C1-A9B7C214DC07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84F59B12-B0F3-495E-AB43-6F12085301AF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9016-4B48-BA6B-7963CF42E722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'Calculations MIP-VW'!$B$242:$H$242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'Calculations MIP-VW'!$B$239:$H$239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9016-4B48-BA6B-7963CF42E7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8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084951477524675"/>
          <c:y val="0.14578653476304579"/>
          <c:w val="0.37992508223037325"/>
          <c:h val="0.72285909888005306"/>
        </c:manualLayout>
      </c:layout>
      <c:barChart>
        <c:barDir val="col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'Calculations MIP-VW'!$C$255</c:f>
            </c:numRef>
          </c:val>
          <c:extLst>
            <c:ext xmlns:c16="http://schemas.microsoft.com/office/drawing/2014/chart" uri="{C3380CC4-5D6E-409C-BE32-E72D297353CC}">
              <c16:uniqueId val="{00000007-D81F-45BF-80FC-E42AC7D3C4A5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'Calculations MIP-VW'!$B$255:$B$259</c:f>
            </c:multiLvlStrRef>
          </c:cat>
          <c:val>
            <c:numRef>
              <c:f>'Calculations MIP-VW'!$C$256</c:f>
            </c:numRef>
          </c:val>
          <c:extLst>
            <c:ext xmlns:c16="http://schemas.microsoft.com/office/drawing/2014/chart" uri="{C3380CC4-5D6E-409C-BE32-E72D297353CC}">
              <c16:uniqueId val="{00000000-D81F-45BF-80FC-E42AC7D3C4A5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'Calculations MIP-VW'!$C$257</c:f>
            </c:numRef>
          </c:val>
          <c:extLst>
            <c:ext xmlns:c16="http://schemas.microsoft.com/office/drawing/2014/chart" uri="{C3380CC4-5D6E-409C-BE32-E72D297353CC}">
              <c16:uniqueId val="{00000004-D81F-45BF-80FC-E42AC7D3C4A5}"/>
            </c:ext>
          </c:extLst>
        </c:ser>
        <c:ser>
          <c:idx val="2"/>
          <c:order val="3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'Calculations MIP-VW'!$C$258</c:f>
            </c:numRef>
          </c:val>
          <c:extLst>
            <c:ext xmlns:c16="http://schemas.microsoft.com/office/drawing/2014/chart" uri="{C3380CC4-5D6E-409C-BE32-E72D297353CC}">
              <c16:uniqueId val="{00000005-D81F-45BF-80FC-E42AC7D3C4A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'Calculations MIP-VW'!$C$259</c:f>
            </c:numRef>
          </c:val>
          <c:extLst>
            <c:ext xmlns:c16="http://schemas.microsoft.com/office/drawing/2014/chart" uri="{C3380CC4-5D6E-409C-BE32-E72D297353CC}">
              <c16:uniqueId val="{00000008-D81F-45BF-80FC-E42AC7D3C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68180224"/>
        <c:axId val="468174648"/>
      </c:barChart>
      <c:catAx>
        <c:axId val="46818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>
                    <a:solidFill>
                      <a:srgbClr val="002060"/>
                    </a:solidFill>
                  </a:rPr>
                  <a:t>Total</a:t>
                </a:r>
              </a:p>
            </c:rich>
          </c:tx>
          <c:layout>
            <c:manualLayout>
              <c:xMode val="edge"/>
              <c:yMode val="edge"/>
              <c:x val="0.4971657481793037"/>
              <c:y val="0.885049806998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174648"/>
        <c:crosses val="autoZero"/>
        <c:auto val="1"/>
        <c:lblAlgn val="ctr"/>
        <c:lblOffset val="100"/>
        <c:noMultiLvlLbl val="0"/>
      </c:catAx>
      <c:valAx>
        <c:axId val="4681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>
                    <a:solidFill>
                      <a:srgbClr val="002060"/>
                    </a:solidFill>
                  </a:rPr>
                  <a:t>tCO</a:t>
                </a:r>
                <a:r>
                  <a:rPr lang="de-DE" sz="1000" baseline="-25000">
                    <a:solidFill>
                      <a:srgbClr val="002060"/>
                    </a:solidFill>
                  </a:rPr>
                  <a:t>2e</a:t>
                </a:r>
                <a:endParaRPr lang="de-DE" sz="1000">
                  <a:solidFill>
                    <a:srgbClr val="002060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58690289546819"/>
              <c:y val="0.44437291129593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18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41762669678407E-2"/>
          <c:y val="0.14578653476304579"/>
          <c:w val="0.87784652249668116"/>
          <c:h val="0.72285909888005306"/>
        </c:manualLayout>
      </c:layout>
      <c:barChart>
        <c:barDir val="col"/>
        <c:grouping val="clustered"/>
        <c:varyColors val="0"/>
        <c:ser>
          <c:idx val="0"/>
          <c:order val="0"/>
          <c:tx>
            <c:v>BPW+UWS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'Calculations MIP-VW'!$B$240:$I$240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'Calculations MIP-VW'!$B$239:$I$239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DDCA-4499-B095-2C0F15F9D796}"/>
            </c:ext>
          </c:extLst>
        </c:ser>
        <c:ser>
          <c:idx val="1"/>
          <c:order val="1"/>
          <c:tx>
            <c:v>MIP+JG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'Calculations MIP-VW'!$B$241:$I$241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'Calculations MIP-VW'!$B$239:$I$239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DDCA-4499-B095-2C0F15F9D796}"/>
            </c:ext>
          </c:extLst>
        </c:ser>
        <c:ser>
          <c:idx val="2"/>
          <c:order val="2"/>
          <c:tx>
            <c:v>MIP+GEL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'Calculations MIP-VW'!$B$242:$I$242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'Calculations MIP-VW'!$B$239:$I$239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DDCA-4499-B095-2C0F15F9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468180224"/>
        <c:axId val="468174648"/>
      </c:barChart>
      <c:catAx>
        <c:axId val="4681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174648"/>
        <c:crosses val="autoZero"/>
        <c:auto val="1"/>
        <c:lblAlgn val="ctr"/>
        <c:lblOffset val="100"/>
        <c:noMultiLvlLbl val="0"/>
      </c:catAx>
      <c:valAx>
        <c:axId val="468174648"/>
        <c:scaling>
          <c:orientation val="minMax"/>
          <c:max val="7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681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269690201363523E-2"/>
          <c:y val="3.4864783281929254E-2"/>
          <c:w val="0.66914062936744179"/>
          <c:h val="9.2698200621956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</a:t>
            </a:r>
            <a:r>
              <a:rPr lang="de-DE" baseline="-25000"/>
              <a:t>2</a:t>
            </a:r>
            <a:r>
              <a:rPr lang="de-DE" baseline="0"/>
              <a:t>-Fußabdruck der betrachteten Verfahren</a:t>
            </a:r>
            <a:endParaRPr lang="de-DE"/>
          </a:p>
        </c:rich>
      </c:tx>
      <c:layout>
        <c:manualLayout>
          <c:xMode val="edge"/>
          <c:yMode val="edge"/>
          <c:x val="0.35710177280198202"/>
          <c:y val="1.5743913574114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'Calculations MIP-VW'!$B$239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'Calculations MIP-VW'!$A$240:$A$242</c:f>
            </c:multiLvlStrRef>
          </c:cat>
          <c:val>
            <c:numRef>
              <c:f>'Calculations MIP-VW'!$B$240:$B$242</c:f>
            </c:numRef>
          </c:val>
          <c:extLst>
            <c:ext xmlns:c15="http://schemas.microsoft.com/office/drawing/2012/chart" uri="{02D57815-91ED-43cb-92C2-25804820EDAC}">
              <c15:datalabelsRange>
                <c15:f>'Calculations MIP-VW'!$B$244:$B$246</c15:f>
              </c15:datalabelsRange>
            </c:ext>
            <c:ext xmlns:c16="http://schemas.microsoft.com/office/drawing/2014/chart" uri="{C3380CC4-5D6E-409C-BE32-E72D297353CC}">
              <c16:uniqueId val="{00000000-10C4-4A85-A425-B840091EF2C5}"/>
            </c:ext>
          </c:extLst>
        </c:ser>
        <c:ser>
          <c:idx val="1"/>
          <c:order val="1"/>
          <c:tx>
            <c:strRef>
              <c:f>'Calculations MIP-VW'!$E$239</c:f>
              <c:strCache>
                <c:ptCount val="1"/>
                <c:pt idx="0">
                  <c:v>Freight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'Calculations MIP-VW'!$A$240:$A$242</c:f>
            </c:multiLvlStrRef>
          </c:cat>
          <c:val>
            <c:numRef>
              <c:f>'Calculations MIP-VW'!$E$240:$E$242</c:f>
            </c:numRef>
          </c:val>
          <c:extLst>
            <c:ext xmlns:c15="http://schemas.microsoft.com/office/drawing/2012/chart" uri="{02D57815-91ED-43cb-92C2-25804820EDAC}">
              <c15:datalabelsRange>
                <c15:f>'Calculations MIP-VW'!$E$244:$E$246</c15:f>
              </c15:datalabelsRange>
            </c:ext>
            <c:ext xmlns:c16="http://schemas.microsoft.com/office/drawing/2014/chart" uri="{C3380CC4-5D6E-409C-BE32-E72D297353CC}">
              <c16:uniqueId val="{00000001-10C4-4A85-A425-B840091EF2C5}"/>
            </c:ext>
          </c:extLst>
        </c:ser>
        <c:ser>
          <c:idx val="3"/>
          <c:order val="2"/>
          <c:tx>
            <c:strRef>
              <c:f>'Calculations MIP-VW'!$I$239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'Calculations MIP-VW'!$A$240:$A$242</c:f>
            </c:multiLvlStrRef>
          </c:cat>
          <c:val>
            <c:numRef>
              <c:f>'Calculations MIP-VW'!$I$240:$I$242</c:f>
            </c:numRef>
          </c:val>
          <c:extLst>
            <c:ext xmlns:c15="http://schemas.microsoft.com/office/drawing/2012/chart" uri="{02D57815-91ED-43cb-92C2-25804820EDAC}">
              <c15:datalabelsRange>
                <c15:f>'Calculations MIP-VW'!$I$244:$I$246</c15:f>
              </c15:datalabelsRange>
            </c:ext>
            <c:ext xmlns:c16="http://schemas.microsoft.com/office/drawing/2014/chart" uri="{C3380CC4-5D6E-409C-BE32-E72D297353CC}">
              <c16:uniqueId val="{00000002-10C4-4A85-A425-B840091EF2C5}"/>
            </c:ext>
          </c:extLst>
        </c:ser>
        <c:ser>
          <c:idx val="4"/>
          <c:order val="3"/>
          <c:tx>
            <c:strRef>
              <c:f>'Calculations MIP-VW'!$H$239</c:f>
              <c:strCache>
                <c:ptCount val="1"/>
                <c:pt idx="0">
                  <c:v>Assets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'Calculations MIP-VW'!$A$240:$A$242</c:f>
            </c:multiLvlStrRef>
          </c:cat>
          <c:val>
            <c:numRef>
              <c:f>'Calculations MIP-VW'!$H$240:$H$242</c:f>
            </c:numRef>
          </c:val>
          <c:extLst>
            <c:ext xmlns:c15="http://schemas.microsoft.com/office/drawing/2012/chart" uri="{02D57815-91ED-43cb-92C2-25804820EDAC}">
              <c15:datalabelsRange>
                <c15:f>'Calculations MIP-VW'!$H$244:$H$246</c15:f>
              </c15:datalabelsRange>
            </c:ext>
            <c:ext xmlns:c16="http://schemas.microsoft.com/office/drawing/2014/chart" uri="{C3380CC4-5D6E-409C-BE32-E72D297353CC}">
              <c16:uniqueId val="{00000003-10C4-4A85-A425-B840091EF2C5}"/>
            </c:ext>
          </c:extLst>
        </c:ser>
        <c:ser>
          <c:idx val="6"/>
          <c:order val="4"/>
          <c:tx>
            <c:strRef>
              <c:f>'Calculations MIP-VW'!$C$239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'Calculations MIP-VW'!$A$240:$A$242</c:f>
            </c:multiLvlStrRef>
          </c:cat>
          <c:val>
            <c:numRef>
              <c:f>'Calculations MIP-VW'!$C$240:$C$242</c:f>
            </c:numRef>
          </c:val>
          <c:extLst>
            <c:ext xmlns:c15="http://schemas.microsoft.com/office/drawing/2012/chart" uri="{02D57815-91ED-43cb-92C2-25804820EDAC}">
              <c15:datalabelsRange>
                <c15:f>'Calculations MIP-VW'!$C$244:$C$246</c15:f>
              </c15:datalabelsRange>
            </c:ext>
            <c:ext xmlns:c16="http://schemas.microsoft.com/office/drawing/2014/chart" uri="{C3380CC4-5D6E-409C-BE32-E72D297353CC}">
              <c16:uniqueId val="{00000004-10C4-4A85-A425-B840091EF2C5}"/>
            </c:ext>
          </c:extLst>
        </c:ser>
        <c:ser>
          <c:idx val="8"/>
          <c:order val="5"/>
          <c:tx>
            <c:strRef>
              <c:f>'Calculations MIP-VW'!$F$239</c:f>
              <c:strCache>
                <c:ptCount val="1"/>
                <c:pt idx="0">
                  <c:v>Mob/Demob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'Calculations MIP-VW'!$A$240:$A$242</c:f>
            </c:multiLvlStrRef>
          </c:cat>
          <c:val>
            <c:numRef>
              <c:f>'Calculations MIP-VW'!$F$240:$F$242</c:f>
            </c:numRef>
          </c:val>
          <c:extLst>
            <c:ext xmlns:c15="http://schemas.microsoft.com/office/drawing/2012/chart" uri="{02D57815-91ED-43cb-92C2-25804820EDAC}">
              <c15:datalabelsRange>
                <c15:f>'Calculations MIP-VW'!$F$244:$F$246</c15:f>
              </c15:datalabelsRange>
            </c:ext>
            <c:ext xmlns:c16="http://schemas.microsoft.com/office/drawing/2014/chart" uri="{C3380CC4-5D6E-409C-BE32-E72D297353CC}">
              <c16:uniqueId val="{00000005-10C4-4A85-A425-B840091EF2C5}"/>
            </c:ext>
          </c:extLst>
        </c:ser>
        <c:ser>
          <c:idx val="9"/>
          <c:order val="6"/>
          <c:tx>
            <c:strRef>
              <c:f>'Calculations MIP-VW'!$G$239</c:f>
              <c:strCache>
                <c:ptCount val="1"/>
                <c:pt idx="0">
                  <c:v>People's Transport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multiLvlStrRef>
              <c:f>'Calculations MIP-VW'!$A$240:$A$242</c:f>
            </c:multiLvlStrRef>
          </c:cat>
          <c:val>
            <c:numRef>
              <c:f>'Calculations MIP-VW'!$G$240:$G$242</c:f>
            </c:numRef>
          </c:val>
          <c:extLst>
            <c:ext xmlns:c15="http://schemas.microsoft.com/office/drawing/2012/chart" uri="{02D57815-91ED-43cb-92C2-25804820EDAC}">
              <c15:datalabelsRange>
                <c15:f>'Calculations MIP-VW'!$G$244:$G$246</c15:f>
              </c15:datalabelsRange>
            </c:ext>
            <c:ext xmlns:c16="http://schemas.microsoft.com/office/drawing/2014/chart" uri="{C3380CC4-5D6E-409C-BE32-E72D297353CC}">
              <c16:uniqueId val="{00000006-10C4-4A85-A425-B840091EF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459144"/>
        <c:axId val="448459472"/>
        <c:extLst/>
      </c:barChart>
      <c:catAx>
        <c:axId val="4484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59472"/>
        <c:crosses val="autoZero"/>
        <c:auto val="1"/>
        <c:lblAlgn val="ctr"/>
        <c:lblOffset val="100"/>
        <c:noMultiLvlLbl val="0"/>
      </c:catAx>
      <c:valAx>
        <c:axId val="4484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</a:t>
                </a:r>
                <a:r>
                  <a:rPr lang="de-DE" baseline="0"/>
                  <a:t> CO</a:t>
                </a:r>
                <a:r>
                  <a:rPr lang="de-DE" baseline="-25000"/>
                  <a:t>2eq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5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8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'Calculations MIP-VW'!$P$113</c:f>
              <c:strCache>
                <c:ptCount val="1"/>
                <c:pt idx="0">
                  <c:v>BPW+UWS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'Calculations MIP-VW'!$Q$112:$T$112</c:f>
              <c:strCache>
                <c:ptCount val="4"/>
                <c:pt idx="0">
                  <c:v>10/150</c:v>
                </c:pt>
                <c:pt idx="1">
                  <c:v>20/300</c:v>
                </c:pt>
                <c:pt idx="2">
                  <c:v>30/450</c:v>
                </c:pt>
                <c:pt idx="3">
                  <c:v>40/600</c:v>
                </c:pt>
              </c:strCache>
            </c:strRef>
          </c:cat>
          <c:val>
            <c:numRef>
              <c:f>'Calculations MIP-VW'!$Q$113:$T$113</c:f>
            </c:numRef>
          </c:val>
          <c:smooth val="0"/>
          <c:extLst>
            <c:ext xmlns:c16="http://schemas.microsoft.com/office/drawing/2014/chart" uri="{C3380CC4-5D6E-409C-BE32-E72D297353CC}">
              <c16:uniqueId val="{00000000-319A-4679-A3C8-9DA6A6AF8562}"/>
            </c:ext>
          </c:extLst>
        </c:ser>
        <c:ser>
          <c:idx val="1"/>
          <c:order val="1"/>
          <c:tx>
            <c:strRef>
              <c:f>'Calculations MIP-VW'!$P$114</c:f>
              <c:strCache>
                <c:ptCount val="1"/>
                <c:pt idx="0">
                  <c:v>MIP+HDI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'Calculations MIP-VW'!$Q$112:$T$112</c:f>
              <c:strCache>
                <c:ptCount val="4"/>
                <c:pt idx="0">
                  <c:v>10/150</c:v>
                </c:pt>
                <c:pt idx="1">
                  <c:v>20/300</c:v>
                </c:pt>
                <c:pt idx="2">
                  <c:v>30/450</c:v>
                </c:pt>
                <c:pt idx="3">
                  <c:v>40/600</c:v>
                </c:pt>
              </c:strCache>
            </c:strRef>
          </c:cat>
          <c:val>
            <c:numRef>
              <c:f>'Calculations MIP-VW'!$Q$114:$T$114</c:f>
            </c:numRef>
          </c:val>
          <c:smooth val="0"/>
          <c:extLst>
            <c:ext xmlns:c16="http://schemas.microsoft.com/office/drawing/2014/chart" uri="{C3380CC4-5D6E-409C-BE32-E72D297353CC}">
              <c16:uniqueId val="{00000001-319A-4679-A3C8-9DA6A6AF8562}"/>
            </c:ext>
          </c:extLst>
        </c:ser>
        <c:ser>
          <c:idx val="2"/>
          <c:order val="2"/>
          <c:tx>
            <c:strRef>
              <c:f>'Calculations MIP-VW'!$P$115</c:f>
              <c:strCache>
                <c:ptCount val="1"/>
                <c:pt idx="0">
                  <c:v>MIP+LWS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'Calculations MIP-VW'!$Q$112:$T$112</c:f>
              <c:strCache>
                <c:ptCount val="4"/>
                <c:pt idx="0">
                  <c:v>10/150</c:v>
                </c:pt>
                <c:pt idx="1">
                  <c:v>20/300</c:v>
                </c:pt>
                <c:pt idx="2">
                  <c:v>30/450</c:v>
                </c:pt>
                <c:pt idx="3">
                  <c:v>40/600</c:v>
                </c:pt>
              </c:strCache>
            </c:strRef>
          </c:cat>
          <c:val>
            <c:numRef>
              <c:f>'Calculations MIP-VW'!$Q$115:$T$115</c:f>
            </c:numRef>
          </c:val>
          <c:smooth val="0"/>
          <c:extLst>
            <c:ext xmlns:c16="http://schemas.microsoft.com/office/drawing/2014/chart" uri="{C3380CC4-5D6E-409C-BE32-E72D297353CC}">
              <c16:uniqueId val="{00000002-319A-4679-A3C8-9DA6A6AF8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101048"/>
        <c:axId val="599099736"/>
      </c:lineChart>
      <c:catAx>
        <c:axId val="59910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099736"/>
        <c:crosses val="autoZero"/>
        <c:auto val="1"/>
        <c:lblAlgn val="ctr"/>
        <c:lblOffset val="100"/>
        <c:noMultiLvlLbl val="0"/>
      </c:catAx>
      <c:valAx>
        <c:axId val="5990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10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der Methoden nach EFFC</a:t>
            </a:r>
          </a:p>
        </c:rich>
      </c:tx>
      <c:layout>
        <c:manualLayout>
          <c:xMode val="edge"/>
          <c:yMode val="edge"/>
          <c:x val="0.43494314454245103"/>
          <c:y val="1.2194946299025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'Calculations MIP-VW'!$B$232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'Calculations MIP-VW'!$A$233:$A$237</c:f>
            </c:multiLvlStrRef>
          </c:cat>
          <c:val>
            <c:numRef>
              <c:f>'Calculations MIP-VW'!$B$233:$B$237</c:f>
            </c:numRef>
          </c:val>
          <c:extLst>
            <c:ext xmlns:c16="http://schemas.microsoft.com/office/drawing/2014/chart" uri="{C3380CC4-5D6E-409C-BE32-E72D297353CC}">
              <c16:uniqueId val="{00000000-1906-4C8C-9CC5-ABB22E16583A}"/>
            </c:ext>
          </c:extLst>
        </c:ser>
        <c:ser>
          <c:idx val="1"/>
          <c:order val="1"/>
          <c:tx>
            <c:strRef>
              <c:f>'Calculations MIP-VW'!$E$232</c:f>
              <c:strCache>
                <c:ptCount val="1"/>
                <c:pt idx="0">
                  <c:v>Freight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'Calculations MIP-VW'!$A$233:$A$237</c:f>
            </c:multiLvlStrRef>
          </c:cat>
          <c:val>
            <c:numRef>
              <c:f>'Calculations MIP-VW'!$E$233:$E$237</c:f>
            </c:numRef>
          </c:val>
          <c:extLst>
            <c:ext xmlns:c16="http://schemas.microsoft.com/office/drawing/2014/chart" uri="{C3380CC4-5D6E-409C-BE32-E72D297353CC}">
              <c16:uniqueId val="{00000001-1906-4C8C-9CC5-ABB22E16583A}"/>
            </c:ext>
          </c:extLst>
        </c:ser>
        <c:ser>
          <c:idx val="3"/>
          <c:order val="2"/>
          <c:tx>
            <c:strRef>
              <c:f>'Calculations MIP-VW'!$I$232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'Calculations MIP-VW'!$A$233:$A$237</c:f>
            </c:multiLvlStrRef>
          </c:cat>
          <c:val>
            <c:numRef>
              <c:f>'Calculations MIP-VW'!$I$233:$I$237</c:f>
            </c:numRef>
          </c:val>
          <c:extLst>
            <c:ext xmlns:c16="http://schemas.microsoft.com/office/drawing/2014/chart" uri="{C3380CC4-5D6E-409C-BE32-E72D297353CC}">
              <c16:uniqueId val="{00000002-1906-4C8C-9CC5-ABB22E16583A}"/>
            </c:ext>
          </c:extLst>
        </c:ser>
        <c:ser>
          <c:idx val="4"/>
          <c:order val="3"/>
          <c:tx>
            <c:strRef>
              <c:f>'Calculations MIP-VW'!$H$232</c:f>
              <c:strCache>
                <c:ptCount val="1"/>
                <c:pt idx="0">
                  <c:v>Assets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'Calculations MIP-VW'!$A$233:$A$237</c:f>
            </c:multiLvlStrRef>
          </c:cat>
          <c:val>
            <c:numRef>
              <c:f>'Calculations MIP-VW'!$H$233:$H$237</c:f>
            </c:numRef>
          </c:val>
          <c:extLst>
            <c:ext xmlns:c16="http://schemas.microsoft.com/office/drawing/2014/chart" uri="{C3380CC4-5D6E-409C-BE32-E72D297353CC}">
              <c16:uniqueId val="{00000003-1906-4C8C-9CC5-ABB22E16583A}"/>
            </c:ext>
          </c:extLst>
        </c:ser>
        <c:ser>
          <c:idx val="6"/>
          <c:order val="4"/>
          <c:tx>
            <c:strRef>
              <c:f>'Calculations MIP-VW'!$C$232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'Calculations MIP-VW'!$A$233:$A$237</c:f>
            </c:multiLvlStrRef>
          </c:cat>
          <c:val>
            <c:numRef>
              <c:f>'Calculations MIP-VW'!$C$233:$C$237</c:f>
            </c:numRef>
          </c:val>
          <c:extLst>
            <c:ext xmlns:c16="http://schemas.microsoft.com/office/drawing/2014/chart" uri="{C3380CC4-5D6E-409C-BE32-E72D297353CC}">
              <c16:uniqueId val="{00000004-1906-4C8C-9CC5-ABB22E16583A}"/>
            </c:ext>
          </c:extLst>
        </c:ser>
        <c:ser>
          <c:idx val="8"/>
          <c:order val="5"/>
          <c:tx>
            <c:strRef>
              <c:f>'Calculations MIP-VW'!$F$232</c:f>
              <c:strCache>
                <c:ptCount val="1"/>
                <c:pt idx="0">
                  <c:v>Mob/Demob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'Calculations MIP-VW'!$A$233:$A$237</c:f>
            </c:multiLvlStrRef>
          </c:cat>
          <c:val>
            <c:numRef>
              <c:f>'Calculations MIP-VW'!$F$233:$F$237</c:f>
            </c:numRef>
          </c:val>
          <c:extLst>
            <c:ext xmlns:c16="http://schemas.microsoft.com/office/drawing/2014/chart" uri="{C3380CC4-5D6E-409C-BE32-E72D297353CC}">
              <c16:uniqueId val="{00000005-1906-4C8C-9CC5-ABB22E16583A}"/>
            </c:ext>
          </c:extLst>
        </c:ser>
        <c:ser>
          <c:idx val="9"/>
          <c:order val="6"/>
          <c:tx>
            <c:strRef>
              <c:f>'Calculations MIP-VW'!$G$232</c:f>
              <c:strCache>
                <c:ptCount val="1"/>
                <c:pt idx="0">
                  <c:v>People's Transport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'Calculations MIP-VW'!$A$233:$A$237</c:f>
            </c:multiLvlStrRef>
          </c:cat>
          <c:val>
            <c:numRef>
              <c:f>'Calculations MIP-VW'!$G$233:$G$237</c:f>
            </c:numRef>
          </c:val>
          <c:extLst>
            <c:ext xmlns:c16="http://schemas.microsoft.com/office/drawing/2014/chart" uri="{C3380CC4-5D6E-409C-BE32-E72D297353CC}">
              <c16:uniqueId val="{00000006-1906-4C8C-9CC5-ABB22E165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459144"/>
        <c:axId val="448459472"/>
        <c:extLst/>
      </c:barChart>
      <c:catAx>
        <c:axId val="4484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59472"/>
        <c:crosses val="autoZero"/>
        <c:auto val="1"/>
        <c:lblAlgn val="ctr"/>
        <c:lblOffset val="100"/>
        <c:noMultiLvlLbl val="0"/>
      </c:catAx>
      <c:valAx>
        <c:axId val="4484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5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BPW+UWS</a:t>
            </a:r>
          </a:p>
        </c:rich>
      </c:tx>
      <c:layout>
        <c:manualLayout>
          <c:xMode val="edge"/>
          <c:yMode val="edge"/>
          <c:x val="0.4460701935327307"/>
          <c:y val="2.41841833489475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'Calculations MIP-VW'!$A$240</c:f>
              <c:strCache>
                <c:ptCount val="1"/>
                <c:pt idx="0">
                  <c:v>PfW88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1C-41F4-BD1A-82BE0E624B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1C-41F4-BD1A-82BE0E624B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1C-41F4-BD1A-82BE0E624B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1C-41F4-BD1A-82BE0E624B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1C-41F4-BD1A-82BE0E624B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1C-41F4-BD1A-82BE0E624B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61C-41F4-BD1A-82BE0E624B1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61C-41F4-BD1A-82BE0E624B1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61C-41F4-BD1A-82BE0E624B1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61C-41F4-BD1A-82BE0E624B19}"/>
              </c:ext>
            </c:extLst>
          </c:dPt>
          <c:dLbls>
            <c:dLbl>
              <c:idx val="8"/>
              <c:layout>
                <c:manualLayout>
                  <c:x val="1.1023984307063844E-2"/>
                  <c:y val="-2.5222138352168208E-3"/>
                </c:manualLayout>
              </c:layout>
              <c:tx>
                <c:rich>
                  <a:bodyPr/>
                  <a:lstStyle/>
                  <a:p>
                    <a:fld id="{33BB2271-69FC-4AA2-8745-E17F7FCE5F61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75AFC088-5617-46D1-B7B8-D1DED96A4810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0CF9AD47-F40E-440D-8416-2900592DEE0D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E61C-41F4-BD1A-82BE0E624B19}"/>
                </c:ext>
              </c:extLst>
            </c:dLbl>
            <c:dLbl>
              <c:idx val="9"/>
              <c:layout>
                <c:manualLayout>
                  <c:x val="0.2630487761810002"/>
                  <c:y val="4.1053106997988871E-2"/>
                </c:manualLayout>
              </c:layout>
              <c:tx>
                <c:rich>
                  <a:bodyPr/>
                  <a:lstStyle/>
                  <a:p>
                    <a:fld id="{91311735-80D3-4DF6-AF31-A74E990FE99C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BF6A06AF-D344-49BC-8AA0-F78212E3FB22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9A2EBAFD-9F1C-496D-8BDB-27E440549359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E61C-41F4-BD1A-82BE0E624B19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'Calculations MIP-VW'!$B$240:$H$240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'Calculations MIP-VW'!$B$239:$H$239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E61C-41F4-BD1A-82BE0E624B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8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MIP+LWS</a:t>
            </a:r>
          </a:p>
        </c:rich>
      </c:tx>
      <c:layout>
        <c:manualLayout>
          <c:xMode val="edge"/>
          <c:yMode val="edge"/>
          <c:x val="0.4460701935327307"/>
          <c:y val="2.41841833489475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'Calculations MIP-VW'!$A$242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55-4257-A610-371EA30E66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55-4257-A610-371EA30E66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55-4257-A610-371EA30E66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55-4257-A610-371EA30E66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55-4257-A610-371EA30E66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F55-4257-A610-371EA30E66A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55-4257-A610-371EA30E66A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F55-4257-A610-371EA30E66A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F55-4257-A610-371EA30E66A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F55-4257-A610-371EA30E66AC}"/>
              </c:ext>
            </c:extLst>
          </c:dPt>
          <c:dLbls>
            <c:dLbl>
              <c:idx val="8"/>
              <c:layout>
                <c:manualLayout>
                  <c:x val="-7.7930195476109496E-3"/>
                  <c:y val="1.0952040085898355E-3"/>
                </c:manualLayout>
              </c:layout>
              <c:tx>
                <c:rich>
                  <a:bodyPr/>
                  <a:lstStyle/>
                  <a:p>
                    <a:fld id="{28DE8A90-5437-43B6-A188-BAE9B80819BF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A8C60A0F-8785-41C8-BE6E-BF15524DBCB2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62144B89-12D7-4CA9-B3DB-0663A8322B97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9F55-4257-A610-371EA30E66AC}"/>
                </c:ext>
              </c:extLst>
            </c:dLbl>
            <c:dLbl>
              <c:idx val="9"/>
              <c:layout>
                <c:manualLayout>
                  <c:x val="0.1827344478526792"/>
                  <c:y val="8.341854995398303E-3"/>
                </c:manualLayout>
              </c:layout>
              <c:tx>
                <c:rich>
                  <a:bodyPr/>
                  <a:lstStyle/>
                  <a:p>
                    <a:fld id="{814E21C9-9BF5-4CAF-B668-A565B46CDF75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8D107784-A738-4C54-B9C1-A9B7C214DC07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84F59B12-B0F3-495E-AB43-6F12085301AF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9F55-4257-A610-371EA30E66AC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'Calculations MIP-VW'!$B$242:$H$242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'Calculations MIP-VW'!$B$239:$H$239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9F55-4257-A610-371EA30E66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8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'Calculations MIP-VW'!$P$113</c:f>
              <c:strCache>
                <c:ptCount val="1"/>
                <c:pt idx="0">
                  <c:v>BPW+UWS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'Calculations MIP-VW'!$Q$112:$T$112</c:f>
              <c:strCache>
                <c:ptCount val="4"/>
                <c:pt idx="0">
                  <c:v>10/150</c:v>
                </c:pt>
                <c:pt idx="1">
                  <c:v>20/300</c:v>
                </c:pt>
                <c:pt idx="2">
                  <c:v>30/450</c:v>
                </c:pt>
                <c:pt idx="3">
                  <c:v>40/600</c:v>
                </c:pt>
              </c:strCache>
            </c:strRef>
          </c:cat>
          <c:val>
            <c:numRef>
              <c:f>'Calculations MIP-VW'!$Q$113:$T$113</c:f>
            </c:numRef>
          </c:val>
          <c:smooth val="0"/>
          <c:extLst>
            <c:ext xmlns:c16="http://schemas.microsoft.com/office/drawing/2014/chart" uri="{C3380CC4-5D6E-409C-BE32-E72D297353CC}">
              <c16:uniqueId val="{00000000-3E3B-403F-8099-82A2B29E6FE4}"/>
            </c:ext>
          </c:extLst>
        </c:ser>
        <c:ser>
          <c:idx val="1"/>
          <c:order val="1"/>
          <c:tx>
            <c:strRef>
              <c:f>'Calculations MIP-VW'!$P$114</c:f>
              <c:strCache>
                <c:ptCount val="1"/>
                <c:pt idx="0">
                  <c:v>MIP+HDI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'Calculations MIP-VW'!$Q$112:$T$112</c:f>
              <c:strCache>
                <c:ptCount val="4"/>
                <c:pt idx="0">
                  <c:v>10/150</c:v>
                </c:pt>
                <c:pt idx="1">
                  <c:v>20/300</c:v>
                </c:pt>
                <c:pt idx="2">
                  <c:v>30/450</c:v>
                </c:pt>
                <c:pt idx="3">
                  <c:v>40/600</c:v>
                </c:pt>
              </c:strCache>
            </c:strRef>
          </c:cat>
          <c:val>
            <c:numRef>
              <c:f>'Calculations MIP-VW'!$Q$114:$T$114</c:f>
            </c:numRef>
          </c:val>
          <c:smooth val="0"/>
          <c:extLst>
            <c:ext xmlns:c16="http://schemas.microsoft.com/office/drawing/2014/chart" uri="{C3380CC4-5D6E-409C-BE32-E72D297353CC}">
              <c16:uniqueId val="{00000001-3E3B-403F-8099-82A2B29E6FE4}"/>
            </c:ext>
          </c:extLst>
        </c:ser>
        <c:ser>
          <c:idx val="2"/>
          <c:order val="2"/>
          <c:tx>
            <c:strRef>
              <c:f>'Calculations MIP-VW'!$P$115</c:f>
              <c:strCache>
                <c:ptCount val="1"/>
                <c:pt idx="0">
                  <c:v>MIP+LWS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'Calculations MIP-VW'!$Q$112:$T$112</c:f>
              <c:strCache>
                <c:ptCount val="4"/>
                <c:pt idx="0">
                  <c:v>10/150</c:v>
                </c:pt>
                <c:pt idx="1">
                  <c:v>20/300</c:v>
                </c:pt>
                <c:pt idx="2">
                  <c:v>30/450</c:v>
                </c:pt>
                <c:pt idx="3">
                  <c:v>40/600</c:v>
                </c:pt>
              </c:strCache>
            </c:strRef>
          </c:cat>
          <c:val>
            <c:numRef>
              <c:f>'Calculations MIP-VW'!$Q$115:$T$115</c:f>
            </c:numRef>
          </c:val>
          <c:smooth val="0"/>
          <c:extLst>
            <c:ext xmlns:c16="http://schemas.microsoft.com/office/drawing/2014/chart" uri="{C3380CC4-5D6E-409C-BE32-E72D297353CC}">
              <c16:uniqueId val="{00000002-3E3B-403F-8099-82A2B29E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101048"/>
        <c:axId val="599099736"/>
      </c:lineChart>
      <c:catAx>
        <c:axId val="59910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099736"/>
        <c:crosses val="autoZero"/>
        <c:auto val="1"/>
        <c:lblAlgn val="ctr"/>
        <c:lblOffset val="100"/>
        <c:noMultiLvlLbl val="0"/>
      </c:catAx>
      <c:valAx>
        <c:axId val="5990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10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084951477524675"/>
          <c:y val="0.14578653476304579"/>
          <c:w val="0.37992508223037325"/>
          <c:h val="0.72285909888005306"/>
        </c:manualLayout>
      </c:layout>
      <c:barChart>
        <c:barDir val="col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'Calculations MIP-VW'!$C$255</c:f>
            </c:numRef>
          </c:val>
          <c:extLst>
            <c:ext xmlns:c16="http://schemas.microsoft.com/office/drawing/2014/chart" uri="{C3380CC4-5D6E-409C-BE32-E72D297353CC}">
              <c16:uniqueId val="{00000000-F565-4182-8592-7167018FBABB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'Calculations MIP-VW'!$B$255:$B$259</c:f>
            </c:multiLvlStrRef>
          </c:cat>
          <c:val>
            <c:numRef>
              <c:f>'Calculations MIP-VW'!$C$256</c:f>
            </c:numRef>
          </c:val>
          <c:extLst>
            <c:ext xmlns:c16="http://schemas.microsoft.com/office/drawing/2014/chart" uri="{C3380CC4-5D6E-409C-BE32-E72D297353CC}">
              <c16:uniqueId val="{00000001-F565-4182-8592-7167018FBABB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'Calculations MIP-VW'!$C$257</c:f>
            </c:numRef>
          </c:val>
          <c:extLst>
            <c:ext xmlns:c16="http://schemas.microsoft.com/office/drawing/2014/chart" uri="{C3380CC4-5D6E-409C-BE32-E72D297353CC}">
              <c16:uniqueId val="{00000002-F565-4182-8592-7167018FBABB}"/>
            </c:ext>
          </c:extLst>
        </c:ser>
        <c:ser>
          <c:idx val="2"/>
          <c:order val="3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'Calculations MIP-VW'!$C$258</c:f>
            </c:numRef>
          </c:val>
          <c:extLst>
            <c:ext xmlns:c16="http://schemas.microsoft.com/office/drawing/2014/chart" uri="{C3380CC4-5D6E-409C-BE32-E72D297353CC}">
              <c16:uniqueId val="{00000003-F565-4182-8592-7167018FBAB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'Calculations MIP-VW'!$C$259</c:f>
            </c:numRef>
          </c:val>
          <c:extLst>
            <c:ext xmlns:c16="http://schemas.microsoft.com/office/drawing/2014/chart" uri="{C3380CC4-5D6E-409C-BE32-E72D297353CC}">
              <c16:uniqueId val="{00000004-F565-4182-8592-7167018FB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68180224"/>
        <c:axId val="468174648"/>
      </c:barChart>
      <c:catAx>
        <c:axId val="46818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>
                    <a:solidFill>
                      <a:srgbClr val="002060"/>
                    </a:solidFill>
                  </a:rPr>
                  <a:t>Total</a:t>
                </a:r>
              </a:p>
            </c:rich>
          </c:tx>
          <c:layout>
            <c:manualLayout>
              <c:xMode val="edge"/>
              <c:yMode val="edge"/>
              <c:x val="0.4971657481793037"/>
              <c:y val="0.885049806998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174648"/>
        <c:crosses val="autoZero"/>
        <c:auto val="1"/>
        <c:lblAlgn val="ctr"/>
        <c:lblOffset val="100"/>
        <c:noMultiLvlLbl val="0"/>
      </c:catAx>
      <c:valAx>
        <c:axId val="4681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>
                    <a:solidFill>
                      <a:srgbClr val="002060"/>
                    </a:solidFill>
                  </a:rPr>
                  <a:t>tCO</a:t>
                </a:r>
                <a:r>
                  <a:rPr lang="de-DE" sz="1000" baseline="-25000">
                    <a:solidFill>
                      <a:srgbClr val="002060"/>
                    </a:solidFill>
                  </a:rPr>
                  <a:t>2e</a:t>
                </a:r>
                <a:endParaRPr lang="de-DE" sz="1000">
                  <a:solidFill>
                    <a:srgbClr val="002060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58690289546819"/>
              <c:y val="0.44437291129593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18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41762669678407E-2"/>
          <c:y val="0.14578653476304579"/>
          <c:w val="0.87784652249668116"/>
          <c:h val="0.72285909888005306"/>
        </c:manualLayout>
      </c:layout>
      <c:barChart>
        <c:barDir val="col"/>
        <c:grouping val="clustered"/>
        <c:varyColors val="0"/>
        <c:ser>
          <c:idx val="0"/>
          <c:order val="0"/>
          <c:tx>
            <c:v>BPW+UWS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'Calculations MIP-VW'!$B$240:$I$240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'Calculations MIP-VW'!$B$239:$I$239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303-4702-8A1C-7FBBB9241A6D}"/>
            </c:ext>
          </c:extLst>
        </c:ser>
        <c:ser>
          <c:idx val="1"/>
          <c:order val="1"/>
          <c:tx>
            <c:v>MIP+JG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'Calculations MIP-VW'!$B$241:$I$241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'Calculations MIP-VW'!$B$239:$I$239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303-4702-8A1C-7FBBB9241A6D}"/>
            </c:ext>
          </c:extLst>
        </c:ser>
        <c:ser>
          <c:idx val="2"/>
          <c:order val="2"/>
          <c:tx>
            <c:v>MIP+GEL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'Calculations MIP-VW'!$B$242:$I$242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'Calculations MIP-VW'!$B$239:$I$239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303-4702-8A1C-7FBBB9241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468180224"/>
        <c:axId val="468174648"/>
      </c:barChart>
      <c:catAx>
        <c:axId val="4681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174648"/>
        <c:crosses val="autoZero"/>
        <c:auto val="1"/>
        <c:lblAlgn val="ctr"/>
        <c:lblOffset val="100"/>
        <c:noMultiLvlLbl val="0"/>
      </c:catAx>
      <c:valAx>
        <c:axId val="468174648"/>
        <c:scaling>
          <c:orientation val="minMax"/>
          <c:max val="7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681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269690201363523E-2"/>
          <c:y val="3.4864783281929254E-2"/>
          <c:w val="0.66914062936744179"/>
          <c:h val="9.2698200621956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</a:t>
            </a:r>
            <a:r>
              <a:rPr lang="de-DE" baseline="-25000"/>
              <a:t>2</a:t>
            </a:r>
            <a:r>
              <a:rPr lang="de-DE" baseline="0"/>
              <a:t>-Fußabdruck der betrachteten Verfahren</a:t>
            </a:r>
            <a:endParaRPr lang="de-DE"/>
          </a:p>
        </c:rich>
      </c:tx>
      <c:layout>
        <c:manualLayout>
          <c:xMode val="edge"/>
          <c:yMode val="edge"/>
          <c:x val="0.35710177280198202"/>
          <c:y val="1.5743913574114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'Calculation Pfähle'!$B$250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391C1B2-6A0B-4FC7-A582-DF555B53A4B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027-48B5-8608-779026B4A07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F4F64DA-6CA7-4A58-BDAF-83FFA3674A0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027-48B5-8608-779026B4A07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027-48B5-8608-779026B4A0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Pfähle'!$A$251:$A$253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f>'Calculation Pfähle'!$B$251:$B$253</c:f>
              <c:numCache>
                <c:formatCode>0</c:formatCode>
                <c:ptCount val="3"/>
                <c:pt idx="0">
                  <c:v>1098.0268639999999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'Calculation Pfähle'!$B$255:$B$257</c15:f>
                <c15:dlblRangeCache>
                  <c:ptCount val="3"/>
                  <c:pt idx="0">
                    <c:v>86,9%</c:v>
                  </c:pt>
                  <c:pt idx="1">
                    <c:v>#BEZUG!</c:v>
                  </c:pt>
                  <c:pt idx="2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3027-48B5-8608-779026B4A074}"/>
            </c:ext>
          </c:extLst>
        </c:ser>
        <c:ser>
          <c:idx val="1"/>
          <c:order val="1"/>
          <c:tx>
            <c:strRef>
              <c:f>'Calculation Pfähle'!$E$250</c:f>
              <c:strCache>
                <c:ptCount val="1"/>
                <c:pt idx="0">
                  <c:v>Freight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A2E0CC4-1374-49D6-96CD-0DF89796A7C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027-48B5-8608-779026B4A074}"/>
                </c:ext>
              </c:extLst>
            </c:dLbl>
            <c:dLbl>
              <c:idx val="1"/>
              <c:layout>
                <c:manualLayout>
                  <c:x val="-7.6230604581670997E-2"/>
                  <c:y val="-1.7421351855751207E-3"/>
                </c:manualLayout>
              </c:layout>
              <c:tx>
                <c:rich>
                  <a:bodyPr/>
                  <a:lstStyle/>
                  <a:p>
                    <a:fld id="{CA5C063B-EFC8-40D3-9472-91A7CAA7928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027-48B5-8608-779026B4A074}"/>
                </c:ext>
              </c:extLst>
            </c:dLbl>
            <c:dLbl>
              <c:idx val="2"/>
              <c:layout>
                <c:manualLayout>
                  <c:x val="-7.6230604581671094E-2"/>
                  <c:y val="0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027-48B5-8608-779026B4A0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Pfähle'!$A$251:$A$253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f>'Calculation Pfähle'!$E$251:$E$253</c:f>
              <c:numCache>
                <c:formatCode>0</c:formatCode>
                <c:ptCount val="3"/>
                <c:pt idx="0">
                  <c:v>77.139600000000002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'Calculation Pfähle'!$E$255:$E$257</c15:f>
                <c15:dlblRangeCache>
                  <c:ptCount val="3"/>
                  <c:pt idx="0">
                    <c:v>6,1%</c:v>
                  </c:pt>
                  <c:pt idx="1">
                    <c:v>#BEZUG!</c:v>
                  </c:pt>
                  <c:pt idx="2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3027-48B5-8608-779026B4A074}"/>
            </c:ext>
          </c:extLst>
        </c:ser>
        <c:ser>
          <c:idx val="3"/>
          <c:order val="2"/>
          <c:tx>
            <c:strRef>
              <c:f>'Calculation Pfähle'!$I$250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E1A45A3-0E3E-4749-A343-C90446A3ECE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027-48B5-8608-779026B4A07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504E08-94E6-4017-9A74-E48845FD667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027-48B5-8608-779026B4A07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3027-48B5-8608-779026B4A0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Pfähle'!$A$251:$A$253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f>'Calculation Pfähle'!$I$251:$I$253</c:f>
              <c:numCache>
                <c:formatCode>0</c:formatCode>
                <c:ptCount val="3"/>
                <c:pt idx="0">
                  <c:v>22.56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'Calculation Pfähle'!$I$255:$I$257</c15:f>
                <c15:dlblRangeCache>
                  <c:ptCount val="3"/>
                  <c:pt idx="0">
                    <c:v>1,8%</c:v>
                  </c:pt>
                  <c:pt idx="1">
                    <c:v>#BEZUG!</c:v>
                  </c:pt>
                  <c:pt idx="2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3027-48B5-8608-779026B4A074}"/>
            </c:ext>
          </c:extLst>
        </c:ser>
        <c:ser>
          <c:idx val="4"/>
          <c:order val="3"/>
          <c:tx>
            <c:strRef>
              <c:f>'Calculation Pfähle'!$H$250</c:f>
              <c:strCache>
                <c:ptCount val="1"/>
                <c:pt idx="0">
                  <c:v>Assets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8905362637168228E-2"/>
                  <c:y val="0"/>
                </c:manualLayout>
              </c:layout>
              <c:tx>
                <c:rich>
                  <a:bodyPr/>
                  <a:lstStyle/>
                  <a:p>
                    <a:fld id="{FCF333C4-0B8A-443C-ACEC-4A600C6CB7D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027-48B5-8608-779026B4A074}"/>
                </c:ext>
              </c:extLst>
            </c:dLbl>
            <c:dLbl>
              <c:idx val="1"/>
              <c:layout>
                <c:manualLayout>
                  <c:x val="7.7567983609419619E-2"/>
                  <c:y val="0"/>
                </c:manualLayout>
              </c:layout>
              <c:tx>
                <c:rich>
                  <a:bodyPr/>
                  <a:lstStyle/>
                  <a:p>
                    <a:fld id="{E0E1F99F-F95A-4665-9F7C-976F0B629B3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027-48B5-8608-779026B4A074}"/>
                </c:ext>
              </c:extLst>
            </c:dLbl>
            <c:dLbl>
              <c:idx val="2"/>
              <c:layout>
                <c:manualLayout>
                  <c:x val="7.7567983609419619E-2"/>
                  <c:y val="-1.2775510443764061E-16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3027-48B5-8608-779026B4A0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Pfähle'!$A$251:$A$253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f>'Calculation Pfähle'!$H$251:$H$253</c:f>
              <c:numCache>
                <c:formatCode>0</c:formatCode>
                <c:ptCount val="3"/>
                <c:pt idx="0">
                  <c:v>20.779666666666664</c:v>
                </c:pt>
                <c:pt idx="1">
                  <c:v>13.542108766666667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'Calculation Pfähle'!$H$255:$H$257</c15:f>
                <c15:dlblRangeCache>
                  <c:ptCount val="3"/>
                  <c:pt idx="0">
                    <c:v>1,6%</c:v>
                  </c:pt>
                  <c:pt idx="1">
                    <c:v>#BEZUG!</c:v>
                  </c:pt>
                  <c:pt idx="2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3027-48B5-8608-779026B4A074}"/>
            </c:ext>
          </c:extLst>
        </c:ser>
        <c:ser>
          <c:idx val="6"/>
          <c:order val="4"/>
          <c:tx>
            <c:strRef>
              <c:f>'Calculation Pfähle'!$C$250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61F3A9C-D4A2-4486-8E34-79A83813191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027-48B5-8608-779026B4A07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FB6139B-15CD-4764-A51F-966E4C14678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027-48B5-8608-779026B4A07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3027-48B5-8608-779026B4A0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Pfähle'!$A$251:$A$253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f>'Calculation Pfähle'!$C$251:$C$253</c:f>
              <c:numCache>
                <c:formatCode>0</c:formatCode>
                <c:ptCount val="3"/>
                <c:pt idx="0">
                  <c:v>58.262500000000003</c:v>
                </c:pt>
                <c:pt idx="1">
                  <c:v>53.247320000000002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'Calculation Pfähle'!$C$255:$C$257</c15:f>
                <c15:dlblRangeCache>
                  <c:ptCount val="3"/>
                  <c:pt idx="0">
                    <c:v>4,6%</c:v>
                  </c:pt>
                  <c:pt idx="1">
                    <c:v>#BEZUG!</c:v>
                  </c:pt>
                  <c:pt idx="2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3027-48B5-8608-779026B4A074}"/>
            </c:ext>
          </c:extLst>
        </c:ser>
        <c:ser>
          <c:idx val="8"/>
          <c:order val="5"/>
          <c:tx>
            <c:strRef>
              <c:f>'Calculation Pfähle'!$F$250</c:f>
              <c:strCache>
                <c:ptCount val="1"/>
                <c:pt idx="0">
                  <c:v>Mob/Demob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1815031031732641E-2"/>
                  <c:y val="0"/>
                </c:manualLayout>
              </c:layout>
              <c:tx>
                <c:rich>
                  <a:bodyPr/>
                  <a:lstStyle/>
                  <a:p>
                    <a:fld id="{FE3223A8-C097-4EAF-BA4B-676435157EF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027-48B5-8608-779026B4A074}"/>
                </c:ext>
              </c:extLst>
            </c:dLbl>
            <c:dLbl>
              <c:idx val="1"/>
              <c:layout>
                <c:manualLayout>
                  <c:x val="8.0451447181203756E-2"/>
                  <c:y val="1.7885998868252858E-3"/>
                </c:manualLayout>
              </c:layout>
              <c:tx>
                <c:rich>
                  <a:bodyPr/>
                  <a:lstStyle/>
                  <a:p>
                    <a:fld id="{B252F72A-4391-41B6-B902-906D7283A3C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3027-48B5-8608-779026B4A074}"/>
                </c:ext>
              </c:extLst>
            </c:dLbl>
            <c:dLbl>
              <c:idx val="2"/>
              <c:layout>
                <c:manualLayout>
                  <c:x val="9.1360117985434572E-2"/>
                  <c:y val="1.788599886825220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3027-48B5-8608-779026B4A0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Pfähle'!$A$251:$A$253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f>'Calculation Pfähle'!$F$251:$F$253</c:f>
              <c:numCache>
                <c:formatCode>0</c:formatCode>
                <c:ptCount val="3"/>
                <c:pt idx="0">
                  <c:v>7.4300000000000006</c:v>
                </c:pt>
                <c:pt idx="1">
                  <c:v>4.2160000000000002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'Calculation Pfähle'!$F$255:$F$257</c15:f>
                <c15:dlblRangeCache>
                  <c:ptCount val="3"/>
                  <c:pt idx="0">
                    <c:v>0,6%</c:v>
                  </c:pt>
                  <c:pt idx="1">
                    <c:v>#BEZUG!</c:v>
                  </c:pt>
                  <c:pt idx="2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3027-48B5-8608-779026B4A074}"/>
            </c:ext>
          </c:extLst>
        </c:ser>
        <c:ser>
          <c:idx val="9"/>
          <c:order val="6"/>
          <c:tx>
            <c:strRef>
              <c:f>'Calculation Pfähle'!$G$250</c:f>
              <c:strCache>
                <c:ptCount val="1"/>
                <c:pt idx="0">
                  <c:v>People's Transport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515816498953065E-6"/>
                  <c:y val="-2.1463198641903432E-2"/>
                </c:manualLayout>
              </c:layout>
              <c:tx>
                <c:rich>
                  <a:bodyPr/>
                  <a:lstStyle/>
                  <a:p>
                    <a:fld id="{5F1FEF45-1D8C-4D36-A129-C26857F8C06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027-48B5-8608-779026B4A074}"/>
                </c:ext>
              </c:extLst>
            </c:dLbl>
            <c:dLbl>
              <c:idx val="1"/>
              <c:layout>
                <c:manualLayout>
                  <c:x val="7.1937100774932945E-6"/>
                  <c:y val="-2.6815337342613772E-2"/>
                </c:manualLayout>
              </c:layout>
              <c:tx>
                <c:rich>
                  <a:bodyPr/>
                  <a:lstStyle/>
                  <a:p>
                    <a:fld id="{E84D2269-53A3-4A68-820B-571EF7533A6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3027-48B5-8608-779026B4A074}"/>
                </c:ext>
              </c:extLst>
            </c:dLbl>
            <c:dLbl>
              <c:idx val="2"/>
              <c:layout>
                <c:manualLayout>
                  <c:x val="1.5006616065895243E-2"/>
                  <c:y val="-2.318377539917465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3027-48B5-8608-779026B4A0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'Calculation Pfähle'!$A$251:$A$253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f>'Calculation Pfähle'!$G$251:$G$253</c:f>
              <c:numCache>
                <c:formatCode>0</c:formatCode>
                <c:ptCount val="3"/>
                <c:pt idx="0">
                  <c:v>2.1</c:v>
                </c:pt>
                <c:pt idx="1">
                  <c:v>1.5091999999999999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'Calculation Pfähle'!$G$255:$G$257</c15:f>
                <c15:dlblRangeCache>
                  <c:ptCount val="3"/>
                  <c:pt idx="0">
                    <c:v>0,2%</c:v>
                  </c:pt>
                  <c:pt idx="1">
                    <c:v>#BEZUG!</c:v>
                  </c:pt>
                  <c:pt idx="2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3027-48B5-8608-779026B4A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459144"/>
        <c:axId val="448459472"/>
        <c:extLst/>
      </c:barChart>
      <c:catAx>
        <c:axId val="4484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59472"/>
        <c:crosses val="autoZero"/>
        <c:auto val="1"/>
        <c:lblAlgn val="ctr"/>
        <c:lblOffset val="100"/>
        <c:noMultiLvlLbl val="0"/>
      </c:catAx>
      <c:valAx>
        <c:axId val="4484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</a:t>
                </a:r>
                <a:r>
                  <a:rPr lang="de-DE" baseline="0"/>
                  <a:t> CO</a:t>
                </a:r>
                <a:r>
                  <a:rPr lang="de-DE" baseline="-25000"/>
                  <a:t>2eq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5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8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'Calculation Pfähle'!$Q$124</c:f>
              <c:strCache>
                <c:ptCount val="1"/>
                <c:pt idx="0">
                  <c:v>BPW+UWS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'Calculation Pfähle'!$R$121:$U$121</c:f>
              <c:strCache>
                <c:ptCount val="4"/>
                <c:pt idx="0">
                  <c:v>10/150</c:v>
                </c:pt>
                <c:pt idx="1">
                  <c:v>20/300</c:v>
                </c:pt>
                <c:pt idx="2">
                  <c:v>30/450</c:v>
                </c:pt>
                <c:pt idx="3">
                  <c:v>40/600</c:v>
                </c:pt>
              </c:strCache>
            </c:strRef>
          </c:cat>
          <c:val>
            <c:numRef>
              <c:f>'Calculation Pfähle'!$R$124:$U$124</c:f>
              <c:numCache>
                <c:formatCode>General</c:formatCode>
                <c:ptCount val="4"/>
                <c:pt idx="0">
                  <c:v>5826.5</c:v>
                </c:pt>
                <c:pt idx="1">
                  <c:v>6258</c:v>
                </c:pt>
                <c:pt idx="2">
                  <c:v>6689.5</c:v>
                </c:pt>
                <c:pt idx="3">
                  <c:v>7121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2-4861-8896-D271C51FC6BF}"/>
            </c:ext>
          </c:extLst>
        </c:ser>
        <c:ser>
          <c:idx val="1"/>
          <c:order val="1"/>
          <c:tx>
            <c:strRef>
              <c:f>'Calculation Pfähle'!$Q$125</c:f>
              <c:strCache>
                <c:ptCount val="1"/>
                <c:pt idx="0">
                  <c:v>MIP+HDI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'Calculation Pfähle'!$R$121:$U$121</c:f>
              <c:strCache>
                <c:ptCount val="4"/>
                <c:pt idx="0">
                  <c:v>10/150</c:v>
                </c:pt>
                <c:pt idx="1">
                  <c:v>20/300</c:v>
                </c:pt>
                <c:pt idx="2">
                  <c:v>30/450</c:v>
                </c:pt>
                <c:pt idx="3">
                  <c:v>40/600</c:v>
                </c:pt>
              </c:strCache>
            </c:strRef>
          </c:cat>
          <c:val>
            <c:numRef>
              <c:f>'Calculation Pfähle'!$R$125:$U$125</c:f>
              <c:numCache>
                <c:formatCode>General</c:formatCode>
                <c:ptCount val="4"/>
                <c:pt idx="0">
                  <c:v>4184</c:v>
                </c:pt>
                <c:pt idx="1">
                  <c:v>4452</c:v>
                </c:pt>
                <c:pt idx="2">
                  <c:v>4720</c:v>
                </c:pt>
                <c:pt idx="3">
                  <c:v>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2-4861-8896-D271C51FC6BF}"/>
            </c:ext>
          </c:extLst>
        </c:ser>
        <c:ser>
          <c:idx val="2"/>
          <c:order val="2"/>
          <c:tx>
            <c:strRef>
              <c:f>'Calculation Pfähle'!$Q$126</c:f>
              <c:strCache>
                <c:ptCount val="1"/>
                <c:pt idx="0">
                  <c:v>MIP+LWS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'Calculation Pfähle'!$R$121:$U$121</c:f>
              <c:strCache>
                <c:ptCount val="4"/>
                <c:pt idx="0">
                  <c:v>10/150</c:v>
                </c:pt>
                <c:pt idx="1">
                  <c:v>20/300</c:v>
                </c:pt>
                <c:pt idx="2">
                  <c:v>30/450</c:v>
                </c:pt>
                <c:pt idx="3">
                  <c:v>40/600</c:v>
                </c:pt>
              </c:strCache>
            </c:strRef>
          </c:cat>
          <c:val>
            <c:numRef>
              <c:f>'Calculation Pfähle'!$R$126:$U$126</c:f>
              <c:numCache>
                <c:formatCode>General</c:formatCode>
                <c:ptCount val="4"/>
                <c:pt idx="0">
                  <c:v>3312.5</c:v>
                </c:pt>
                <c:pt idx="1">
                  <c:v>3555</c:v>
                </c:pt>
                <c:pt idx="2">
                  <c:v>3797.5</c:v>
                </c:pt>
                <c:pt idx="3">
                  <c:v>3312.5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2-4861-8896-D271C51FC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01048"/>
        <c:axId val="599099736"/>
      </c:lineChart>
      <c:catAx>
        <c:axId val="59910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099736"/>
        <c:crosses val="autoZero"/>
        <c:auto val="1"/>
        <c:lblAlgn val="ctr"/>
        <c:lblOffset val="100"/>
        <c:noMultiLvlLbl val="0"/>
      </c:catAx>
      <c:valAx>
        <c:axId val="5990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10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BPW+UWS</a:t>
            </a:r>
          </a:p>
        </c:rich>
      </c:tx>
      <c:layout>
        <c:manualLayout>
          <c:xMode val="edge"/>
          <c:yMode val="edge"/>
          <c:x val="0.4460701935327307"/>
          <c:y val="2.41841833489475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'Calculation Pfähle'!$A$251</c:f>
              <c:strCache>
                <c:ptCount val="1"/>
                <c:pt idx="0">
                  <c:v>PfW88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92-49DC-A327-B8059C3889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92-49DC-A327-B8059C3889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92-49DC-A327-B8059C3889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92-49DC-A327-B8059C3889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92-49DC-A327-B8059C3889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92-49DC-A327-B8059C3889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192-49DC-A327-B8059C3889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192-49DC-A327-B8059C3889F7}"/>
              </c:ext>
            </c:extLst>
          </c:dPt>
          <c:dLbls>
            <c:dLbl>
              <c:idx val="0"/>
              <c:layout>
                <c:manualLayout>
                  <c:x val="8.1548160731258465E-2"/>
                  <c:y val="-7.9607111320758206E-2"/>
                </c:manualLayout>
              </c:layout>
              <c:tx>
                <c:rich>
                  <a:bodyPr/>
                  <a:lstStyle/>
                  <a:p>
                    <a:fld id="{5D0918E7-E569-4D70-B7E7-C03118BE2699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3DA05B1A-6D17-4B3A-97FD-8D5BCE3880EA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64A7501C-EFD9-4B08-92AC-CDD23EDD5762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192-49DC-A327-B8059C3889F7}"/>
                </c:ext>
              </c:extLst>
            </c:dLbl>
            <c:dLbl>
              <c:idx val="1"/>
              <c:layout>
                <c:manualLayout>
                  <c:x val="-2.4094521628344356E-2"/>
                  <c:y val="6.2977120746466287E-3"/>
                </c:manualLayout>
              </c:layout>
              <c:tx>
                <c:rich>
                  <a:bodyPr/>
                  <a:lstStyle/>
                  <a:p>
                    <a:fld id="{2F71BBF9-23BB-4EE0-A25A-C7E16423B806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72F37CB7-66C2-4590-9D89-473B60185B3A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2AB3519B-A75E-464B-B865-74D72D9F18A8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192-49DC-A327-B8059C3889F7}"/>
                </c:ext>
              </c:extLst>
            </c:dLbl>
            <c:dLbl>
              <c:idx val="2"/>
              <c:layout>
                <c:manualLayout>
                  <c:x val="-5.7127419159133649E-2"/>
                  <c:y val="5.4661200215800433E-2"/>
                </c:manualLayout>
              </c:layout>
              <c:tx>
                <c:rich>
                  <a:bodyPr/>
                  <a:lstStyle/>
                  <a:p>
                    <a:fld id="{0E9E9E44-8A17-4620-9F86-1D292EE12C40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0DF876C9-D485-49D3-80AD-95285CABD173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FE71ECFE-5582-487B-A3D7-B2AAC2D3427E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192-49DC-A327-B8059C3889F7}"/>
                </c:ext>
              </c:extLst>
            </c:dLbl>
            <c:dLbl>
              <c:idx val="3"/>
              <c:layout>
                <c:manualLayout>
                  <c:x val="-4.806922283564885E-2"/>
                  <c:y val="3.5126281441246784E-2"/>
                </c:manualLayout>
              </c:layout>
              <c:tx>
                <c:rich>
                  <a:bodyPr/>
                  <a:lstStyle/>
                  <a:p>
                    <a:fld id="{32640348-40A3-4DFF-AFDD-D43F2FBDE6BA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AC018A1F-F1D3-410C-96C9-18EB274756AF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4401B68E-CC21-468D-9B3C-16E0B3647E23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192-49DC-A327-B8059C3889F7}"/>
                </c:ext>
              </c:extLst>
            </c:dLbl>
            <c:dLbl>
              <c:idx val="4"/>
              <c:layout>
                <c:manualLayout>
                  <c:x val="-9.8113207547169817E-2"/>
                  <c:y val="-3.1182725333386268E-2"/>
                </c:manualLayout>
              </c:layout>
              <c:tx>
                <c:rich>
                  <a:bodyPr/>
                  <a:lstStyle/>
                  <a:p>
                    <a:fld id="{937B1A52-DBDF-43ED-918D-4E0C6757C649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302C7934-1301-4AAD-8DAD-7A2C52E38D8F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F27C6CCE-2780-4921-B728-B1C175502339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192-49DC-A327-B8059C3889F7}"/>
                </c:ext>
              </c:extLst>
            </c:dLbl>
            <c:dLbl>
              <c:idx val="6"/>
              <c:layout>
                <c:manualLayout>
                  <c:x val="1.1023984307063844E-2"/>
                  <c:y val="-2.5222138352168208E-3"/>
                </c:manualLayout>
              </c:layout>
              <c:tx>
                <c:rich>
                  <a:bodyPr/>
                  <a:lstStyle/>
                  <a:p>
                    <a:fld id="{33BB2271-69FC-4AA2-8745-E17F7FCE5F61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75AFC088-5617-46D1-B7B8-D1DED96A4810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0CF9AD47-F40E-440D-8416-2900592DEE0D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0192-49DC-A327-B8059C3889F7}"/>
                </c:ext>
              </c:extLst>
            </c:dLbl>
            <c:dLbl>
              <c:idx val="7"/>
              <c:layout>
                <c:manualLayout>
                  <c:x val="0.2630487761810002"/>
                  <c:y val="4.1053106997988871E-2"/>
                </c:manualLayout>
              </c:layout>
              <c:tx>
                <c:rich>
                  <a:bodyPr/>
                  <a:lstStyle/>
                  <a:p>
                    <a:fld id="{91311735-80D3-4DF6-AF31-A74E990FE99C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BF6A06AF-D344-49BC-8AA0-F78212E3FB22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9A2EBAFD-9F1C-496D-8BDB-27E440549359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0192-49DC-A327-B8059C3889F7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'Calculation Pfähle'!$B$250:$H$250</c15:sqref>
                  </c15:fullRef>
                </c:ext>
              </c:extLst>
              <c:f>('Calculation Pfähle'!$B$250:$C$250,'Calculation Pfähle'!$E$250:$F$250,'Calculation Pfähle'!$H$250)</c:f>
              <c:strCache>
                <c:ptCount val="5"/>
                <c:pt idx="0">
                  <c:v>Materials</c:v>
                </c:pt>
                <c:pt idx="1">
                  <c:v>Energy</c:v>
                </c:pt>
                <c:pt idx="2">
                  <c:v>Freight</c:v>
                </c:pt>
                <c:pt idx="3">
                  <c:v>Mob/Demob</c:v>
                </c:pt>
                <c:pt idx="4">
                  <c:v>Assets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'Calculation Pfähle'!$B$251:$H$251</c15:sqref>
                  </c15:fullRef>
                </c:ext>
              </c:extLst>
              <c:f>('Calculation Pfähle'!$B$251:$C$251,'Calculation Pfähle'!$E$251:$F$251,'Calculation Pfähle'!$H$251)</c:f>
              <c:numCache>
                <c:formatCode>0</c:formatCode>
                <c:ptCount val="5"/>
                <c:pt idx="0">
                  <c:v>1098.0268639999999</c:v>
                </c:pt>
                <c:pt idx="1">
                  <c:v>58.262500000000003</c:v>
                </c:pt>
                <c:pt idx="2">
                  <c:v>77.139600000000002</c:v>
                </c:pt>
                <c:pt idx="3">
                  <c:v>7.4300000000000006</c:v>
                </c:pt>
                <c:pt idx="4">
                  <c:v>20.779666666666664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0-0192-49DC-A327-B8059C3889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8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MIP+LWS</a:t>
            </a:r>
          </a:p>
        </c:rich>
      </c:tx>
      <c:layout>
        <c:manualLayout>
          <c:xMode val="edge"/>
          <c:yMode val="edge"/>
          <c:x val="0.4460701935327307"/>
          <c:y val="2.41841833489475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'Calculation Pfähle'!$A$253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88-48DB-A6F0-327F443F37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88-48DB-A6F0-327F443F37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88-48DB-A6F0-327F443F37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88-48DB-A6F0-327F443F37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88-48DB-A6F0-327F443F37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88-48DB-A6F0-327F443F378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88-48DB-A6F0-327F443F378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B88-48DB-A6F0-327F443F378E}"/>
              </c:ext>
            </c:extLst>
          </c:dPt>
          <c:dLbls>
            <c:dLbl>
              <c:idx val="0"/>
              <c:layout>
                <c:manualLayout>
                  <c:x val="5.2163712903063701E-2"/>
                  <c:y val="-6.4543409346558958E-2"/>
                </c:manualLayout>
              </c:layout>
              <c:tx>
                <c:rich>
                  <a:bodyPr/>
                  <a:lstStyle/>
                  <a:p>
                    <a:fld id="{020B8644-20B9-4880-AA7E-6A494D55DAD1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8F3B518E-E568-4FA6-85B6-E56DDBDC5F43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F75019A1-5D74-40CA-8267-C40EA5E631FD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B88-48DB-A6F0-327F443F378E}"/>
                </c:ext>
              </c:extLst>
            </c:dLbl>
            <c:dLbl>
              <c:idx val="1"/>
              <c:layout>
                <c:manualLayout>
                  <c:x val="-1.2469008488069906E-2"/>
                  <c:y val="1.1367897194668849E-4"/>
                </c:manualLayout>
              </c:layout>
              <c:tx>
                <c:rich>
                  <a:bodyPr/>
                  <a:lstStyle/>
                  <a:p>
                    <a:fld id="{7E1650BE-457E-4FA0-8E1A-EA73F8EB2807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F0AC9927-7F9F-4B93-9B33-E70B8C4D26E4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D16C65B2-D8BD-4FDC-A58F-B47274E1B79F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B88-48DB-A6F0-327F443F378E}"/>
                </c:ext>
              </c:extLst>
            </c:dLbl>
            <c:dLbl>
              <c:idx val="2"/>
              <c:layout>
                <c:manualLayout>
                  <c:x val="-3.5363266025303076E-2"/>
                  <c:y val="1.0624978695844837E-2"/>
                </c:manualLayout>
              </c:layout>
              <c:tx>
                <c:rich>
                  <a:bodyPr/>
                  <a:lstStyle/>
                  <a:p>
                    <a:fld id="{4814E840-32E6-45FD-9165-6CE18F0411F3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1D2201E8-1D91-416C-8876-A2A63A44376F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05B3923D-98C2-4D8A-9A89-BECF49CB98C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B88-48DB-A6F0-327F443F378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48A28A-9C9E-4D5B-A5EB-8A37598A0656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FC4C2D43-E40F-4C8C-A141-C5C22FD17DAE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90052285-F163-4603-92D1-89F1FF9F4AAF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4B88-48DB-A6F0-327F443F378E}"/>
                </c:ext>
              </c:extLst>
            </c:dLbl>
            <c:dLbl>
              <c:idx val="4"/>
              <c:layout>
                <c:manualLayout>
                  <c:x val="-4.4209430533381215E-2"/>
                  <c:y val="-3.3845996523161878E-2"/>
                </c:manualLayout>
              </c:layout>
              <c:tx>
                <c:rich>
                  <a:bodyPr/>
                  <a:lstStyle/>
                  <a:p>
                    <a:fld id="{B8D20890-989B-480E-83ED-8DDE55139D9B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E70EAE2E-CDB3-46A1-91F7-088FB58FD024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6A2658ED-EAF3-4DF3-ADA0-3EDE4E4A4E0D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4B88-48DB-A6F0-327F443F378E}"/>
                </c:ext>
              </c:extLst>
            </c:dLbl>
            <c:dLbl>
              <c:idx val="6"/>
              <c:layout>
                <c:manualLayout>
                  <c:x val="-7.7930195476109496E-3"/>
                  <c:y val="1.0952040085898355E-3"/>
                </c:manualLayout>
              </c:layout>
              <c:tx>
                <c:rich>
                  <a:bodyPr/>
                  <a:lstStyle/>
                  <a:p>
                    <a:fld id="{28DE8A90-5437-43B6-A188-BAE9B80819BF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A8C60A0F-8785-41C8-BE6E-BF15524DBCB2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62144B89-12D7-4CA9-B3DB-0663A8322B97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4B88-48DB-A6F0-327F443F378E}"/>
                </c:ext>
              </c:extLst>
            </c:dLbl>
            <c:dLbl>
              <c:idx val="7"/>
              <c:layout>
                <c:manualLayout>
                  <c:x val="0.1827344478526792"/>
                  <c:y val="8.341854995398303E-3"/>
                </c:manualLayout>
              </c:layout>
              <c:tx>
                <c:rich>
                  <a:bodyPr/>
                  <a:lstStyle/>
                  <a:p>
                    <a:fld id="{814E21C9-9BF5-4CAF-B668-A565B46CDF75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8D107784-A738-4C54-B9C1-A9B7C214DC07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84F59B12-B0F3-495E-AB43-6F12085301AF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4B88-48DB-A6F0-327F443F378E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'Calculation Pfähle'!$B$250:$H$250</c15:sqref>
                  </c15:fullRef>
                </c:ext>
              </c:extLst>
              <c:f>('Calculation Pfähle'!$B$250:$C$250,'Calculation Pfähle'!$E$250:$F$250,'Calculation Pfähle'!$H$250)</c:f>
              <c:strCache>
                <c:ptCount val="5"/>
                <c:pt idx="0">
                  <c:v>Materials</c:v>
                </c:pt>
                <c:pt idx="1">
                  <c:v>Energy</c:v>
                </c:pt>
                <c:pt idx="2">
                  <c:v>Freight</c:v>
                </c:pt>
                <c:pt idx="3">
                  <c:v>Mob/Demob</c:v>
                </c:pt>
                <c:pt idx="4">
                  <c:v>Assets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'Calculation Pfähle'!$B$253:$H$253</c15:sqref>
                  </c15:fullRef>
                </c:ext>
              </c:extLst>
              <c:f>('Calculation Pfähle'!$B$253:$C$253,'Calculation Pfähle'!$E$253:$F$253,'Calculation Pfähle'!$H$253)</c:f>
              <c:numCache>
                <c:formatCode>0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'Calculation Pfähle'!$D$253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4B88-48DB-A6F0-327F443F37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8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084951477524675"/>
          <c:y val="0.14578653476304579"/>
          <c:w val="0.37992508223037325"/>
          <c:h val="0.72285909888005306"/>
        </c:manualLayout>
      </c:layout>
      <c:barChart>
        <c:barDir val="col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'Calculation Pfähle'!$C$266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7-4B56-96C4-882109BA9718}"/>
            </c:ext>
          </c:extLst>
        </c:ser>
        <c:ser>
          <c:idx val="0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4.01159889065076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27-4B56-96C4-882109BA97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'Calculation Pfähle'!$B$266:$B$270</c:f>
              <c:numCache>
                <c:formatCode>General</c:formatCode>
                <c:ptCount val="5"/>
              </c:numCache>
            </c:numRef>
          </c:cat>
          <c:val>
            <c:numRef>
              <c:f>'Calculation Pfähle'!$C$267</c:f>
              <c:numCache>
                <c:formatCode>0</c:formatCode>
                <c:ptCount val="1"/>
                <c:pt idx="0">
                  <c:v>1286.2986306666664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7-4B56-96C4-882109BA9718}"/>
            </c:ext>
          </c:extLst>
        </c:ser>
        <c:ser>
          <c:idx val="1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87500983268404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27-4B56-96C4-882109BA97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'Calculation Pfähle'!$C$268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27-4B56-96C4-882109BA9718}"/>
            </c:ext>
          </c:extLst>
        </c:ser>
        <c:ser>
          <c:idx val="2"/>
          <c:order val="3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114276417745657E-2"/>
                  <c:y val="1.1950023424371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27-4B56-96C4-882109BA97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'Calculation Pfähle'!$C$269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27-4B56-96C4-882109BA971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'Calculation Pfähle'!$C$270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27-4B56-96C4-882109BA9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68180224"/>
        <c:axId val="468174648"/>
      </c:barChart>
      <c:catAx>
        <c:axId val="46818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>
                    <a:solidFill>
                      <a:srgbClr val="002060"/>
                    </a:solidFill>
                  </a:rPr>
                  <a:t>Total</a:t>
                </a:r>
              </a:p>
            </c:rich>
          </c:tx>
          <c:layout>
            <c:manualLayout>
              <c:xMode val="edge"/>
              <c:yMode val="edge"/>
              <c:x val="0.4971657481793037"/>
              <c:y val="0.885049806998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174648"/>
        <c:crosses val="autoZero"/>
        <c:auto val="1"/>
        <c:lblAlgn val="ctr"/>
        <c:lblOffset val="100"/>
        <c:noMultiLvlLbl val="0"/>
      </c:catAx>
      <c:valAx>
        <c:axId val="4681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>
                    <a:solidFill>
                      <a:srgbClr val="002060"/>
                    </a:solidFill>
                  </a:rPr>
                  <a:t>tCO</a:t>
                </a:r>
                <a:r>
                  <a:rPr lang="de-DE" sz="1000" baseline="-25000">
                    <a:solidFill>
                      <a:srgbClr val="002060"/>
                    </a:solidFill>
                  </a:rPr>
                  <a:t>2e</a:t>
                </a:r>
                <a:endParaRPr lang="de-DE" sz="1000">
                  <a:solidFill>
                    <a:srgbClr val="002060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58690289546819"/>
              <c:y val="0.44437291129593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18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41762669678407E-2"/>
          <c:y val="0.14578653476304579"/>
          <c:w val="0.87784652249668116"/>
          <c:h val="0.72285909888005306"/>
        </c:manualLayout>
      </c:layout>
      <c:barChart>
        <c:barDir val="col"/>
        <c:grouping val="clustered"/>
        <c:varyColors val="0"/>
        <c:ser>
          <c:idx val="0"/>
          <c:order val="0"/>
          <c:tx>
            <c:v>BPW+UWS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4.3744607271593737E-3"/>
                  <c:y val="7.78392558076818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AE-4FFD-AEF0-F6A4DC4D9EB7}"/>
                </c:ext>
              </c:extLst>
            </c:dLbl>
            <c:dLbl>
              <c:idx val="6"/>
              <c:layout>
                <c:manualLayout>
                  <c:x val="-6.5616910907392205E-3"/>
                  <c:y val="7.78392558076818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AE-4FFD-AEF0-F6A4DC4D9E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'Calculation Pfähle'!$B$250:$I$250</c15:sqref>
                  </c15:fullRef>
                </c:ext>
              </c:extLst>
              <c:f>('Calculation Pfähle'!$B$250:$C$250,'Calculation Pfähle'!$E$250:$I$250)</c:f>
              <c:strCache>
                <c:ptCount val="7"/>
                <c:pt idx="0">
                  <c:v>Materials</c:v>
                </c:pt>
                <c:pt idx="1">
                  <c:v>Energy</c:v>
                </c:pt>
                <c:pt idx="2">
                  <c:v>Freight</c:v>
                </c:pt>
                <c:pt idx="3">
                  <c:v>Mob/Demob</c:v>
                </c:pt>
                <c:pt idx="4">
                  <c:v>People's Transport</c:v>
                </c:pt>
                <c:pt idx="5">
                  <c:v>Assets</c:v>
                </c:pt>
                <c:pt idx="6">
                  <c:v>Waste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'Calculation Pfähle'!$B$251:$I$251</c15:sqref>
                  </c15:fullRef>
                </c:ext>
              </c:extLst>
              <c:f>('Calculation Pfähle'!$B$251:$C$251,'Calculation Pfähle'!$E$251:$I$251)</c:f>
              <c:numCache>
                <c:formatCode>0</c:formatCode>
                <c:ptCount val="7"/>
                <c:pt idx="0">
                  <c:v>1098.0268639999999</c:v>
                </c:pt>
                <c:pt idx="1">
                  <c:v>58.262500000000003</c:v>
                </c:pt>
                <c:pt idx="2">
                  <c:v>77.139600000000002</c:v>
                </c:pt>
                <c:pt idx="3">
                  <c:v>7.4300000000000006</c:v>
                </c:pt>
                <c:pt idx="4">
                  <c:v>2.1</c:v>
                </c:pt>
                <c:pt idx="5">
                  <c:v>20.779666666666664</c:v>
                </c:pt>
                <c:pt idx="6">
                  <c:v>22.56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AE-4FFD-AEF0-F6A4DC4D9EB7}"/>
            </c:ext>
          </c:extLst>
        </c:ser>
        <c:ser>
          <c:idx val="1"/>
          <c:order val="1"/>
          <c:tx>
            <c:v>MIP+JG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936151817898433E-2"/>
                  <c:y val="-3.89196279038409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AE-4FFD-AEF0-F6A4DC4D9EB7}"/>
                </c:ext>
              </c:extLst>
            </c:dLbl>
            <c:dLbl>
              <c:idx val="6"/>
              <c:layout>
                <c:manualLayout>
                  <c:x val="0"/>
                  <c:y val="7.78392558076818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AE-4FFD-AEF0-F6A4DC4D9E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'Calculation Pfähle'!$B$250:$I$250</c15:sqref>
                  </c15:fullRef>
                </c:ext>
              </c:extLst>
              <c:f>('Calculation Pfähle'!$B$250:$C$250,'Calculation Pfähle'!$E$250:$I$250)</c:f>
              <c:strCache>
                <c:ptCount val="7"/>
                <c:pt idx="0">
                  <c:v>Materials</c:v>
                </c:pt>
                <c:pt idx="1">
                  <c:v>Energy</c:v>
                </c:pt>
                <c:pt idx="2">
                  <c:v>Freight</c:v>
                </c:pt>
                <c:pt idx="3">
                  <c:v>Mob/Demob</c:v>
                </c:pt>
                <c:pt idx="4">
                  <c:v>People's Transport</c:v>
                </c:pt>
                <c:pt idx="5">
                  <c:v>Assets</c:v>
                </c:pt>
                <c:pt idx="6">
                  <c:v>Waste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'Calculation Pfähle'!$B$252:$I$252</c15:sqref>
                  </c15:fullRef>
                </c:ext>
              </c:extLst>
              <c:f>('Calculation Pfähle'!$B$252:$C$252,'Calculation Pfähle'!$E$252:$I$252)</c:f>
              <c:numCache>
                <c:formatCode>0</c:formatCode>
                <c:ptCount val="7"/>
                <c:pt idx="0">
                  <c:v>0</c:v>
                </c:pt>
                <c:pt idx="1">
                  <c:v>53.247320000000002</c:v>
                </c:pt>
                <c:pt idx="2">
                  <c:v>0</c:v>
                </c:pt>
                <c:pt idx="3">
                  <c:v>4.2160000000000002</c:v>
                </c:pt>
                <c:pt idx="4">
                  <c:v>1.5091999999999999</c:v>
                </c:pt>
                <c:pt idx="5">
                  <c:v>13.542108766666667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AE-4FFD-AEF0-F6A4DC4D9EB7}"/>
            </c:ext>
          </c:extLst>
        </c:ser>
        <c:ser>
          <c:idx val="2"/>
          <c:order val="2"/>
          <c:tx>
            <c:v>MIP+GEL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5616910907390401E-3"/>
                  <c:y val="-3.89196279038409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AE-4FFD-AEF0-F6A4DC4D9EB7}"/>
                </c:ext>
              </c:extLst>
            </c:dLbl>
            <c:dLbl>
              <c:idx val="1"/>
              <c:layout>
                <c:manualLayout>
                  <c:x val="4.3744607271593329E-3"/>
                  <c:y val="1.16758883711521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AE-4FFD-AEF0-F6A4DC4D9EB7}"/>
                </c:ext>
              </c:extLst>
            </c:dLbl>
            <c:dLbl>
              <c:idx val="6"/>
              <c:layout>
                <c:manualLayout>
                  <c:x val="2.1872303635796868E-3"/>
                  <c:y val="7.78392558076818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AE-4FFD-AEF0-F6A4DC4D9E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'Calculation Pfähle'!$B$250:$I$250</c15:sqref>
                  </c15:fullRef>
                </c:ext>
              </c:extLst>
              <c:f>('Calculation Pfähle'!$B$250:$C$250,'Calculation Pfähle'!$E$250:$I$250)</c:f>
              <c:strCache>
                <c:ptCount val="7"/>
                <c:pt idx="0">
                  <c:v>Materials</c:v>
                </c:pt>
                <c:pt idx="1">
                  <c:v>Energy</c:v>
                </c:pt>
                <c:pt idx="2">
                  <c:v>Freight</c:v>
                </c:pt>
                <c:pt idx="3">
                  <c:v>Mob/Demob</c:v>
                </c:pt>
                <c:pt idx="4">
                  <c:v>People's Transport</c:v>
                </c:pt>
                <c:pt idx="5">
                  <c:v>Assets</c:v>
                </c:pt>
                <c:pt idx="6">
                  <c:v>Waste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'Calculation Pfähle'!$B$253:$I$253</c15:sqref>
                  </c15:fullRef>
                </c:ext>
              </c:extLst>
              <c:f>('Calculation Pfähle'!$B$253:$C$253,'Calculation Pfähle'!$E$253:$I$253)</c:f>
              <c:numCache>
                <c:formatCode>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9-59AE-4FFD-AEF0-F6A4DC4D9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468180224"/>
        <c:axId val="468174648"/>
      </c:barChart>
      <c:catAx>
        <c:axId val="4681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174648"/>
        <c:crosses val="autoZero"/>
        <c:auto val="1"/>
        <c:lblAlgn val="ctr"/>
        <c:lblOffset val="100"/>
        <c:noMultiLvlLbl val="0"/>
      </c:catAx>
      <c:valAx>
        <c:axId val="468174648"/>
        <c:scaling>
          <c:orientation val="minMax"/>
          <c:max val="7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681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269690201363523E-2"/>
          <c:y val="3.4864783281929254E-2"/>
          <c:w val="0.66914062936744179"/>
          <c:h val="9.2698200621956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</a:t>
            </a:r>
            <a:r>
              <a:rPr lang="de-DE" baseline="-25000"/>
              <a:t>2</a:t>
            </a:r>
            <a:r>
              <a:rPr lang="de-DE" baseline="0"/>
              <a:t>-Fußabdruck der betrachteten Verfahren</a:t>
            </a:r>
            <a:endParaRPr lang="de-DE"/>
          </a:p>
        </c:rich>
      </c:tx>
      <c:layout>
        <c:manualLayout>
          <c:xMode val="edge"/>
          <c:yMode val="edge"/>
          <c:x val="0.35710177280198202"/>
          <c:y val="1.5743913574114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'Calculation SW'!$B$253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F70D696-075E-408E-B1F0-1271238ED78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0AB-4939-9512-A41679AFD7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3205643-58C3-43B6-9142-F292A1E34DC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0AB-4939-9512-A41679AFD79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0AB-4939-9512-A41679AFD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SW'!$A$254:$A$256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f>'Calculation SW'!$B$254:$B$256</c:f>
              <c:numCache>
                <c:formatCode>0</c:formatCode>
                <c:ptCount val="3"/>
                <c:pt idx="0">
                  <c:v>1363.5327869599998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'Calculation SW'!$B$258:$B$260</c15:f>
                <c15:dlblRangeCache>
                  <c:ptCount val="3"/>
                  <c:pt idx="0">
                    <c:v>85,1%</c:v>
                  </c:pt>
                  <c:pt idx="1">
                    <c:v>#BEZUG!</c:v>
                  </c:pt>
                  <c:pt idx="2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0AB-4939-9512-A41679AFD795}"/>
            </c:ext>
          </c:extLst>
        </c:ser>
        <c:ser>
          <c:idx val="1"/>
          <c:order val="1"/>
          <c:tx>
            <c:strRef>
              <c:f>'Calculation SW'!$E$253</c:f>
              <c:strCache>
                <c:ptCount val="1"/>
                <c:pt idx="0">
                  <c:v>Freight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7A0A3B3-08C7-42E3-BFBA-D66565D0E7E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0AB-4939-9512-A41679AFD795}"/>
                </c:ext>
              </c:extLst>
            </c:dLbl>
            <c:dLbl>
              <c:idx val="1"/>
              <c:layout>
                <c:manualLayout>
                  <c:x val="-7.6230604581670997E-2"/>
                  <c:y val="-1.7421351855751207E-3"/>
                </c:manualLayout>
              </c:layout>
              <c:tx>
                <c:rich>
                  <a:bodyPr/>
                  <a:lstStyle/>
                  <a:p>
                    <a:fld id="{B756C3F6-2B73-4EFA-B56B-6EC53F5B4F5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0AB-4939-9512-A41679AFD795}"/>
                </c:ext>
              </c:extLst>
            </c:dLbl>
            <c:dLbl>
              <c:idx val="2"/>
              <c:layout>
                <c:manualLayout>
                  <c:x val="-7.6230604581671094E-2"/>
                  <c:y val="0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0AB-4939-9512-A41679AFD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SW'!$A$254:$A$256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f>'Calculation SW'!$E$254:$E$256</c:f>
              <c:numCache>
                <c:formatCode>0</c:formatCode>
                <c:ptCount val="3"/>
                <c:pt idx="0">
                  <c:v>76.742799999999988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'Calculation SW'!$E$258:$E$260</c15:f>
                <c15:dlblRangeCache>
                  <c:ptCount val="3"/>
                  <c:pt idx="0">
                    <c:v>4,8%</c:v>
                  </c:pt>
                  <c:pt idx="1">
                    <c:v>#BEZUG!</c:v>
                  </c:pt>
                  <c:pt idx="2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20AB-4939-9512-A41679AFD795}"/>
            </c:ext>
          </c:extLst>
        </c:ser>
        <c:ser>
          <c:idx val="3"/>
          <c:order val="2"/>
          <c:tx>
            <c:strRef>
              <c:f>'Calculation SW'!$I$253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5BAD80F-AE67-4764-B452-3225520167E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0AB-4939-9512-A41679AFD7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CBD239-0A27-4A66-AD07-E5604B52ECC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0AB-4939-9512-A41679AFD79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0AB-4939-9512-A41679AFD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SW'!$A$254:$A$256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f>'Calculation SW'!$I$254:$I$256</c:f>
              <c:numCache>
                <c:formatCode>0</c:formatCode>
                <c:ptCount val="3"/>
                <c:pt idx="0">
                  <c:v>35.043199999999999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'Calculation SW'!$I$258:$I$260</c15:f>
                <c15:dlblRangeCache>
                  <c:ptCount val="3"/>
                  <c:pt idx="0">
                    <c:v>2,2%</c:v>
                  </c:pt>
                  <c:pt idx="1">
                    <c:v>#BEZUG!</c:v>
                  </c:pt>
                  <c:pt idx="2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20AB-4939-9512-A41679AFD795}"/>
            </c:ext>
          </c:extLst>
        </c:ser>
        <c:ser>
          <c:idx val="4"/>
          <c:order val="3"/>
          <c:tx>
            <c:strRef>
              <c:f>'Calculation SW'!$H$253</c:f>
              <c:strCache>
                <c:ptCount val="1"/>
                <c:pt idx="0">
                  <c:v>Assets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8905362637168228E-2"/>
                  <c:y val="0"/>
                </c:manualLayout>
              </c:layout>
              <c:tx>
                <c:rich>
                  <a:bodyPr/>
                  <a:lstStyle/>
                  <a:p>
                    <a:fld id="{E69113A1-1514-4B0C-A7AD-3F724C340D7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0AB-4939-9512-A41679AFD795}"/>
                </c:ext>
              </c:extLst>
            </c:dLbl>
            <c:dLbl>
              <c:idx val="1"/>
              <c:layout>
                <c:manualLayout>
                  <c:x val="7.7567983609419619E-2"/>
                  <c:y val="0"/>
                </c:manualLayout>
              </c:layout>
              <c:tx>
                <c:rich>
                  <a:bodyPr/>
                  <a:lstStyle/>
                  <a:p>
                    <a:fld id="{55A0BCB2-61CB-41A7-ADD6-8C4E2FFBF12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0AB-4939-9512-A41679AFD795}"/>
                </c:ext>
              </c:extLst>
            </c:dLbl>
            <c:dLbl>
              <c:idx val="2"/>
              <c:layout>
                <c:manualLayout>
                  <c:x val="7.7567983609419619E-2"/>
                  <c:y val="-1.2775510443764061E-16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20AB-4939-9512-A41679AFD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SW'!$A$254:$A$256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f>'Calculation SW'!$H$254:$H$256</c:f>
              <c:numCache>
                <c:formatCode>0</c:formatCode>
                <c:ptCount val="3"/>
                <c:pt idx="0">
                  <c:v>34.428974066666655</c:v>
                </c:pt>
                <c:pt idx="1">
                  <c:v>13.542108766666667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'Calculation SW'!$H$258:$H$260</c15:f>
                <c15:dlblRangeCache>
                  <c:ptCount val="3"/>
                  <c:pt idx="0">
                    <c:v>2,1%</c:v>
                  </c:pt>
                  <c:pt idx="1">
                    <c:v>#BEZUG!</c:v>
                  </c:pt>
                  <c:pt idx="2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20AB-4939-9512-A41679AFD795}"/>
            </c:ext>
          </c:extLst>
        </c:ser>
        <c:ser>
          <c:idx val="6"/>
          <c:order val="4"/>
          <c:tx>
            <c:strRef>
              <c:f>'Calculation SW'!$C$253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2672DB4-B635-4F89-990D-ACF9E87EF96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0AB-4939-9512-A41679AFD7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CD686C-3ECA-4F7F-A543-AF2F863B1E5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0AB-4939-9512-A41679AFD79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20AB-4939-9512-A41679AFD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SW'!$A$254:$A$256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f>'Calculation SW'!$C$254:$C$256</c:f>
              <c:numCache>
                <c:formatCode>0</c:formatCode>
                <c:ptCount val="3"/>
                <c:pt idx="0">
                  <c:v>115.28187</c:v>
                </c:pt>
                <c:pt idx="1">
                  <c:v>53.247320000000002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'Calculation SW'!$C$258:$C$260</c15:f>
                <c15:dlblRangeCache>
                  <c:ptCount val="3"/>
                  <c:pt idx="0">
                    <c:v>7,2%</c:v>
                  </c:pt>
                  <c:pt idx="1">
                    <c:v>#BEZUG!</c:v>
                  </c:pt>
                  <c:pt idx="2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20AB-4939-9512-A41679AFD795}"/>
            </c:ext>
          </c:extLst>
        </c:ser>
        <c:ser>
          <c:idx val="8"/>
          <c:order val="5"/>
          <c:tx>
            <c:strRef>
              <c:f>'Calculation SW'!$F$253</c:f>
              <c:strCache>
                <c:ptCount val="1"/>
                <c:pt idx="0">
                  <c:v>Mob/Demob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1815031031732641E-2"/>
                  <c:y val="0"/>
                </c:manualLayout>
              </c:layout>
              <c:tx>
                <c:rich>
                  <a:bodyPr/>
                  <a:lstStyle/>
                  <a:p>
                    <a:fld id="{A7EF9DBD-FC4D-4C5B-9C0E-EFAC12FD72A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0AB-4939-9512-A41679AFD795}"/>
                </c:ext>
              </c:extLst>
            </c:dLbl>
            <c:dLbl>
              <c:idx val="1"/>
              <c:layout>
                <c:manualLayout>
                  <c:x val="8.0451447181203756E-2"/>
                  <c:y val="1.7885998868252858E-3"/>
                </c:manualLayout>
              </c:layout>
              <c:tx>
                <c:rich>
                  <a:bodyPr/>
                  <a:lstStyle/>
                  <a:p>
                    <a:fld id="{4E5CDD17-3A8E-4A9A-8586-0F14EF1E51D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0AB-4939-9512-A41679AFD795}"/>
                </c:ext>
              </c:extLst>
            </c:dLbl>
            <c:dLbl>
              <c:idx val="2"/>
              <c:layout>
                <c:manualLayout>
                  <c:x val="9.1360117985434572E-2"/>
                  <c:y val="1.788599886825220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20AB-4939-9512-A41679AFD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SW'!$A$254:$A$256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f>'Calculation SW'!$F$254:$F$256</c:f>
              <c:numCache>
                <c:formatCode>0</c:formatCode>
                <c:ptCount val="3"/>
                <c:pt idx="0">
                  <c:v>7.8199999999999994</c:v>
                </c:pt>
                <c:pt idx="1">
                  <c:v>4.2160000000000002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'Calculation SW'!$F$258:$F$260</c15:f>
                <c15:dlblRangeCache>
                  <c:ptCount val="3"/>
                  <c:pt idx="0">
                    <c:v>0,5%</c:v>
                  </c:pt>
                  <c:pt idx="1">
                    <c:v>#BEZUG!</c:v>
                  </c:pt>
                  <c:pt idx="2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20AB-4939-9512-A41679AFD795}"/>
            </c:ext>
          </c:extLst>
        </c:ser>
        <c:ser>
          <c:idx val="9"/>
          <c:order val="6"/>
          <c:tx>
            <c:strRef>
              <c:f>'Calculation SW'!$G$253</c:f>
              <c:strCache>
                <c:ptCount val="1"/>
                <c:pt idx="0">
                  <c:v>People's Transport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515816498953065E-6"/>
                  <c:y val="-2.1463198641903432E-2"/>
                </c:manualLayout>
              </c:layout>
              <c:tx>
                <c:rich>
                  <a:bodyPr/>
                  <a:lstStyle/>
                  <a:p>
                    <a:fld id="{03D8BA8E-0B43-474A-B2A8-30B5D5BF568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20AB-4939-9512-A41679AFD795}"/>
                </c:ext>
              </c:extLst>
            </c:dLbl>
            <c:dLbl>
              <c:idx val="1"/>
              <c:layout>
                <c:manualLayout>
                  <c:x val="7.1937100774932945E-6"/>
                  <c:y val="-2.6815337342613772E-2"/>
                </c:manualLayout>
              </c:layout>
              <c:tx>
                <c:rich>
                  <a:bodyPr/>
                  <a:lstStyle/>
                  <a:p>
                    <a:fld id="{F6C57EBC-7636-48E5-B6DC-C014D746A17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20AB-4939-9512-A41679AFD795}"/>
                </c:ext>
              </c:extLst>
            </c:dLbl>
            <c:dLbl>
              <c:idx val="2"/>
              <c:layout>
                <c:manualLayout>
                  <c:x val="1.5006616065895243E-2"/>
                  <c:y val="-2.318377539917465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20AB-4939-9512-A41679AFD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'Calculation SW'!$A$254:$A$256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f>'Calculation SW'!$G$254:$G$256</c:f>
              <c:numCache>
                <c:formatCode>0</c:formatCode>
                <c:ptCount val="3"/>
                <c:pt idx="0">
                  <c:v>4.6090800000000005</c:v>
                </c:pt>
                <c:pt idx="1">
                  <c:v>1.5091999999999999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'Calculation SW'!$G$258:$G$260</c15:f>
                <c15:dlblRangeCache>
                  <c:ptCount val="3"/>
                  <c:pt idx="0">
                    <c:v>0,3%</c:v>
                  </c:pt>
                  <c:pt idx="1">
                    <c:v>#BEZUG!</c:v>
                  </c:pt>
                  <c:pt idx="2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20AB-4939-9512-A41679AFD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459144"/>
        <c:axId val="448459472"/>
        <c:extLst/>
      </c:barChart>
      <c:catAx>
        <c:axId val="4484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59472"/>
        <c:crosses val="autoZero"/>
        <c:auto val="1"/>
        <c:lblAlgn val="ctr"/>
        <c:lblOffset val="100"/>
        <c:noMultiLvlLbl val="0"/>
      </c:catAx>
      <c:valAx>
        <c:axId val="4484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</a:t>
                </a:r>
                <a:r>
                  <a:rPr lang="de-DE" baseline="0"/>
                  <a:t> CO</a:t>
                </a:r>
                <a:r>
                  <a:rPr lang="de-DE" baseline="-25000"/>
                  <a:t>2eq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5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8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'Calculation SW'!$Q$124</c:f>
              <c:strCache>
                <c:ptCount val="1"/>
                <c:pt idx="0">
                  <c:v>BPW+UWS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'Calculation SW'!$R$121:$U$121</c:f>
              <c:strCache>
                <c:ptCount val="4"/>
                <c:pt idx="0">
                  <c:v>10/150</c:v>
                </c:pt>
                <c:pt idx="1">
                  <c:v>20/300</c:v>
                </c:pt>
                <c:pt idx="2">
                  <c:v>30/450</c:v>
                </c:pt>
                <c:pt idx="3">
                  <c:v>40/600</c:v>
                </c:pt>
              </c:strCache>
            </c:strRef>
          </c:cat>
          <c:val>
            <c:numRef>
              <c:f>'Calculation SW'!$R$124:$U$124</c:f>
              <c:numCache>
                <c:formatCode>General</c:formatCode>
                <c:ptCount val="4"/>
                <c:pt idx="0">
                  <c:v>5826.5</c:v>
                </c:pt>
                <c:pt idx="1">
                  <c:v>6258</c:v>
                </c:pt>
                <c:pt idx="2">
                  <c:v>6689.5</c:v>
                </c:pt>
                <c:pt idx="3">
                  <c:v>7121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4-4F8C-8B52-1C895E8405CA}"/>
            </c:ext>
          </c:extLst>
        </c:ser>
        <c:ser>
          <c:idx val="1"/>
          <c:order val="1"/>
          <c:tx>
            <c:strRef>
              <c:f>'Calculation SW'!$Q$125</c:f>
              <c:strCache>
                <c:ptCount val="1"/>
                <c:pt idx="0">
                  <c:v>MIP+HDI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'Calculation SW'!$R$121:$U$121</c:f>
              <c:strCache>
                <c:ptCount val="4"/>
                <c:pt idx="0">
                  <c:v>10/150</c:v>
                </c:pt>
                <c:pt idx="1">
                  <c:v>20/300</c:v>
                </c:pt>
                <c:pt idx="2">
                  <c:v>30/450</c:v>
                </c:pt>
                <c:pt idx="3">
                  <c:v>40/600</c:v>
                </c:pt>
              </c:strCache>
            </c:strRef>
          </c:cat>
          <c:val>
            <c:numRef>
              <c:f>'Calculation SW'!$R$125:$U$125</c:f>
              <c:numCache>
                <c:formatCode>General</c:formatCode>
                <c:ptCount val="4"/>
                <c:pt idx="0">
                  <c:v>4184</c:v>
                </c:pt>
                <c:pt idx="1">
                  <c:v>4452</c:v>
                </c:pt>
                <c:pt idx="2">
                  <c:v>4720</c:v>
                </c:pt>
                <c:pt idx="3">
                  <c:v>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4-4F8C-8B52-1C895E8405CA}"/>
            </c:ext>
          </c:extLst>
        </c:ser>
        <c:ser>
          <c:idx val="2"/>
          <c:order val="2"/>
          <c:tx>
            <c:strRef>
              <c:f>'Calculation SW'!$Q$126</c:f>
              <c:strCache>
                <c:ptCount val="1"/>
                <c:pt idx="0">
                  <c:v>MIP+LWS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'Calculation SW'!$R$121:$U$121</c:f>
              <c:strCache>
                <c:ptCount val="4"/>
                <c:pt idx="0">
                  <c:v>10/150</c:v>
                </c:pt>
                <c:pt idx="1">
                  <c:v>20/300</c:v>
                </c:pt>
                <c:pt idx="2">
                  <c:v>30/450</c:v>
                </c:pt>
                <c:pt idx="3">
                  <c:v>40/600</c:v>
                </c:pt>
              </c:strCache>
            </c:strRef>
          </c:cat>
          <c:val>
            <c:numRef>
              <c:f>'Calculation SW'!$R$126:$U$126</c:f>
              <c:numCache>
                <c:formatCode>General</c:formatCode>
                <c:ptCount val="4"/>
                <c:pt idx="0">
                  <c:v>3312.5</c:v>
                </c:pt>
                <c:pt idx="1">
                  <c:v>3555</c:v>
                </c:pt>
                <c:pt idx="2">
                  <c:v>3797.5</c:v>
                </c:pt>
                <c:pt idx="3">
                  <c:v>3312.5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4-4F8C-8B52-1C895E840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01048"/>
        <c:axId val="599099736"/>
      </c:lineChart>
      <c:catAx>
        <c:axId val="59910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099736"/>
        <c:crosses val="autoZero"/>
        <c:auto val="1"/>
        <c:lblAlgn val="ctr"/>
        <c:lblOffset val="100"/>
        <c:noMultiLvlLbl val="0"/>
      </c:catAx>
      <c:valAx>
        <c:axId val="5990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10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der Methoden nach EFFC</a:t>
            </a:r>
          </a:p>
        </c:rich>
      </c:tx>
      <c:layout>
        <c:manualLayout>
          <c:xMode val="edge"/>
          <c:yMode val="edge"/>
          <c:x val="0.43494314454245103"/>
          <c:y val="1.2194946299025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'Calculations MIP-VW'!$B$232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'Calculations MIP-VW'!$A$233:$A$237</c:f>
            </c:multiLvlStrRef>
          </c:cat>
          <c:val>
            <c:numRef>
              <c:f>'Calculations MIP-VW'!$B$233:$B$237</c:f>
            </c:numRef>
          </c:val>
          <c:extLst>
            <c:ext xmlns:c16="http://schemas.microsoft.com/office/drawing/2014/chart" uri="{C3380CC4-5D6E-409C-BE32-E72D297353CC}">
              <c16:uniqueId val="{00000000-FFBC-41B1-A971-A68840F61DBF}"/>
            </c:ext>
          </c:extLst>
        </c:ser>
        <c:ser>
          <c:idx val="1"/>
          <c:order val="1"/>
          <c:tx>
            <c:strRef>
              <c:f>'Calculations MIP-VW'!$E$232</c:f>
              <c:strCache>
                <c:ptCount val="1"/>
                <c:pt idx="0">
                  <c:v>Freight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'Calculations MIP-VW'!$A$233:$A$237</c:f>
            </c:multiLvlStrRef>
          </c:cat>
          <c:val>
            <c:numRef>
              <c:f>'Calculations MIP-VW'!$E$233:$E$237</c:f>
            </c:numRef>
          </c:val>
          <c:extLst>
            <c:ext xmlns:c16="http://schemas.microsoft.com/office/drawing/2014/chart" uri="{C3380CC4-5D6E-409C-BE32-E72D297353CC}">
              <c16:uniqueId val="{00000001-FFBC-41B1-A971-A68840F61DBF}"/>
            </c:ext>
          </c:extLst>
        </c:ser>
        <c:ser>
          <c:idx val="3"/>
          <c:order val="2"/>
          <c:tx>
            <c:strRef>
              <c:f>'Calculations MIP-VW'!$I$232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'Calculations MIP-VW'!$A$233:$A$237</c:f>
            </c:multiLvlStrRef>
          </c:cat>
          <c:val>
            <c:numRef>
              <c:f>'Calculations MIP-VW'!$I$233:$I$237</c:f>
            </c:numRef>
          </c:val>
          <c:extLst>
            <c:ext xmlns:c16="http://schemas.microsoft.com/office/drawing/2014/chart" uri="{C3380CC4-5D6E-409C-BE32-E72D297353CC}">
              <c16:uniqueId val="{00000002-FFBC-41B1-A971-A68840F61DBF}"/>
            </c:ext>
          </c:extLst>
        </c:ser>
        <c:ser>
          <c:idx val="4"/>
          <c:order val="3"/>
          <c:tx>
            <c:strRef>
              <c:f>'Calculations MIP-VW'!$H$232</c:f>
              <c:strCache>
                <c:ptCount val="1"/>
                <c:pt idx="0">
                  <c:v>Assets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'Calculations MIP-VW'!$A$233:$A$237</c:f>
            </c:multiLvlStrRef>
          </c:cat>
          <c:val>
            <c:numRef>
              <c:f>'Calculations MIP-VW'!$H$233:$H$237</c:f>
            </c:numRef>
          </c:val>
          <c:extLst>
            <c:ext xmlns:c16="http://schemas.microsoft.com/office/drawing/2014/chart" uri="{C3380CC4-5D6E-409C-BE32-E72D297353CC}">
              <c16:uniqueId val="{00000003-FFBC-41B1-A971-A68840F61DBF}"/>
            </c:ext>
          </c:extLst>
        </c:ser>
        <c:ser>
          <c:idx val="6"/>
          <c:order val="4"/>
          <c:tx>
            <c:strRef>
              <c:f>'Calculations MIP-VW'!$C$232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'Calculations MIP-VW'!$A$233:$A$237</c:f>
            </c:multiLvlStrRef>
          </c:cat>
          <c:val>
            <c:numRef>
              <c:f>'Calculations MIP-VW'!$C$233:$C$237</c:f>
            </c:numRef>
          </c:val>
          <c:extLst>
            <c:ext xmlns:c16="http://schemas.microsoft.com/office/drawing/2014/chart" uri="{C3380CC4-5D6E-409C-BE32-E72D297353CC}">
              <c16:uniqueId val="{00000004-FFBC-41B1-A971-A68840F61DBF}"/>
            </c:ext>
          </c:extLst>
        </c:ser>
        <c:ser>
          <c:idx val="8"/>
          <c:order val="5"/>
          <c:tx>
            <c:strRef>
              <c:f>'Calculations MIP-VW'!$F$232</c:f>
              <c:strCache>
                <c:ptCount val="1"/>
                <c:pt idx="0">
                  <c:v>Mob/Demob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'Calculations MIP-VW'!$A$233:$A$237</c:f>
            </c:multiLvlStrRef>
          </c:cat>
          <c:val>
            <c:numRef>
              <c:f>'Calculations MIP-VW'!$F$233:$F$237</c:f>
            </c:numRef>
          </c:val>
          <c:extLst>
            <c:ext xmlns:c16="http://schemas.microsoft.com/office/drawing/2014/chart" uri="{C3380CC4-5D6E-409C-BE32-E72D297353CC}">
              <c16:uniqueId val="{00000005-FFBC-41B1-A971-A68840F61DBF}"/>
            </c:ext>
          </c:extLst>
        </c:ser>
        <c:ser>
          <c:idx val="9"/>
          <c:order val="6"/>
          <c:tx>
            <c:strRef>
              <c:f>'Calculations MIP-VW'!$G$232</c:f>
              <c:strCache>
                <c:ptCount val="1"/>
                <c:pt idx="0">
                  <c:v>People's Transport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'Calculations MIP-VW'!$A$233:$A$237</c:f>
            </c:multiLvlStrRef>
          </c:cat>
          <c:val>
            <c:numRef>
              <c:f>'Calculations MIP-VW'!$G$233:$G$237</c:f>
            </c:numRef>
          </c:val>
          <c:extLst>
            <c:ext xmlns:c16="http://schemas.microsoft.com/office/drawing/2014/chart" uri="{C3380CC4-5D6E-409C-BE32-E72D297353CC}">
              <c16:uniqueId val="{00000006-FFBC-41B1-A971-A68840F61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459144"/>
        <c:axId val="448459472"/>
        <c:extLst/>
      </c:barChart>
      <c:catAx>
        <c:axId val="4484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59472"/>
        <c:crosses val="autoZero"/>
        <c:auto val="1"/>
        <c:lblAlgn val="ctr"/>
        <c:lblOffset val="100"/>
        <c:noMultiLvlLbl val="0"/>
      </c:catAx>
      <c:valAx>
        <c:axId val="4484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5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BPW+UWS</a:t>
            </a:r>
          </a:p>
        </c:rich>
      </c:tx>
      <c:layout>
        <c:manualLayout>
          <c:xMode val="edge"/>
          <c:yMode val="edge"/>
          <c:x val="0.4460701935327307"/>
          <c:y val="2.41841833489475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'Calculation SW'!$A$254</c:f>
              <c:strCache>
                <c:ptCount val="1"/>
                <c:pt idx="0">
                  <c:v>PfW88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3F-4626-823A-BCB671D39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3F-4626-823A-BCB671D399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3F-4626-823A-BCB671D399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3F-4626-823A-BCB671D399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E3F-4626-823A-BCB671D399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E3F-4626-823A-BCB671D399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E3F-4626-823A-BCB671D399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E3F-4626-823A-BCB671D39999}"/>
              </c:ext>
            </c:extLst>
          </c:dPt>
          <c:dLbls>
            <c:dLbl>
              <c:idx val="0"/>
              <c:layout>
                <c:manualLayout>
                  <c:x val="8.1548160731258465E-2"/>
                  <c:y val="-7.9607111320758206E-2"/>
                </c:manualLayout>
              </c:layout>
              <c:tx>
                <c:rich>
                  <a:bodyPr/>
                  <a:lstStyle/>
                  <a:p>
                    <a:fld id="{5D0918E7-E569-4D70-B7E7-C03118BE2699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3DA05B1A-6D17-4B3A-97FD-8D5BCE3880EA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64A7501C-EFD9-4B08-92AC-CDD23EDD5762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E3F-4626-823A-BCB671D39999}"/>
                </c:ext>
              </c:extLst>
            </c:dLbl>
            <c:dLbl>
              <c:idx val="1"/>
              <c:layout>
                <c:manualLayout>
                  <c:x val="-2.4094521628344356E-2"/>
                  <c:y val="6.2977120746466287E-3"/>
                </c:manualLayout>
              </c:layout>
              <c:tx>
                <c:rich>
                  <a:bodyPr/>
                  <a:lstStyle/>
                  <a:p>
                    <a:fld id="{2F71BBF9-23BB-4EE0-A25A-C7E16423B806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72F37CB7-66C2-4590-9D89-473B60185B3A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2AB3519B-A75E-464B-B865-74D72D9F18A8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E3F-4626-823A-BCB671D39999}"/>
                </c:ext>
              </c:extLst>
            </c:dLbl>
            <c:dLbl>
              <c:idx val="2"/>
              <c:layout>
                <c:manualLayout>
                  <c:x val="-5.7127419159133649E-2"/>
                  <c:y val="5.4661200215800433E-2"/>
                </c:manualLayout>
              </c:layout>
              <c:tx>
                <c:rich>
                  <a:bodyPr/>
                  <a:lstStyle/>
                  <a:p>
                    <a:fld id="{0E9E9E44-8A17-4620-9F86-1D292EE12C40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0DF876C9-D485-49D3-80AD-95285CABD173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FE71ECFE-5582-487B-A3D7-B2AAC2D3427E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E3F-4626-823A-BCB671D39999}"/>
                </c:ext>
              </c:extLst>
            </c:dLbl>
            <c:dLbl>
              <c:idx val="3"/>
              <c:layout>
                <c:manualLayout>
                  <c:x val="-4.806922283564885E-2"/>
                  <c:y val="3.5126281441246784E-2"/>
                </c:manualLayout>
              </c:layout>
              <c:tx>
                <c:rich>
                  <a:bodyPr/>
                  <a:lstStyle/>
                  <a:p>
                    <a:fld id="{32640348-40A3-4DFF-AFDD-D43F2FBDE6BA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AC018A1F-F1D3-410C-96C9-18EB274756AF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4401B68E-CC21-468D-9B3C-16E0B3647E23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E3F-4626-823A-BCB671D39999}"/>
                </c:ext>
              </c:extLst>
            </c:dLbl>
            <c:dLbl>
              <c:idx val="4"/>
              <c:layout>
                <c:manualLayout>
                  <c:x val="-9.8113207547169817E-2"/>
                  <c:y val="-3.1182725333386268E-2"/>
                </c:manualLayout>
              </c:layout>
              <c:tx>
                <c:rich>
                  <a:bodyPr/>
                  <a:lstStyle/>
                  <a:p>
                    <a:fld id="{937B1A52-DBDF-43ED-918D-4E0C6757C649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302C7934-1301-4AAD-8DAD-7A2C52E38D8F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F27C6CCE-2780-4921-B728-B1C175502339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E3F-4626-823A-BCB671D39999}"/>
                </c:ext>
              </c:extLst>
            </c:dLbl>
            <c:dLbl>
              <c:idx val="6"/>
              <c:layout>
                <c:manualLayout>
                  <c:x val="1.1023984307063844E-2"/>
                  <c:y val="-2.5222138352168208E-3"/>
                </c:manualLayout>
              </c:layout>
              <c:tx>
                <c:rich>
                  <a:bodyPr/>
                  <a:lstStyle/>
                  <a:p>
                    <a:fld id="{33BB2271-69FC-4AA2-8745-E17F7FCE5F61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75AFC088-5617-46D1-B7B8-D1DED96A4810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0CF9AD47-F40E-440D-8416-2900592DEE0D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EE3F-4626-823A-BCB671D39999}"/>
                </c:ext>
              </c:extLst>
            </c:dLbl>
            <c:dLbl>
              <c:idx val="7"/>
              <c:layout>
                <c:manualLayout>
                  <c:x val="0.2630487761810002"/>
                  <c:y val="4.1053106997988871E-2"/>
                </c:manualLayout>
              </c:layout>
              <c:tx>
                <c:rich>
                  <a:bodyPr/>
                  <a:lstStyle/>
                  <a:p>
                    <a:fld id="{91311735-80D3-4DF6-AF31-A74E990FE99C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BF6A06AF-D344-49BC-8AA0-F78212E3FB22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9A2EBAFD-9F1C-496D-8BDB-27E440549359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EE3F-4626-823A-BCB671D39999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'Calculation SW'!$B$253:$H$253</c15:sqref>
                  </c15:fullRef>
                </c:ext>
              </c:extLst>
              <c:f>('Calculation SW'!$B$253:$C$253,'Calculation SW'!$E$253:$F$253,'Calculation SW'!$H$253)</c:f>
              <c:strCache>
                <c:ptCount val="5"/>
                <c:pt idx="0">
                  <c:v>Materials</c:v>
                </c:pt>
                <c:pt idx="1">
                  <c:v>Energy</c:v>
                </c:pt>
                <c:pt idx="2">
                  <c:v>Freight</c:v>
                </c:pt>
                <c:pt idx="3">
                  <c:v>Mob/Demob</c:v>
                </c:pt>
                <c:pt idx="4">
                  <c:v>Assets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'Calculation SW'!$B$254:$H$254</c15:sqref>
                  </c15:fullRef>
                </c:ext>
              </c:extLst>
              <c:f>('Calculation SW'!$B$254:$C$254,'Calculation SW'!$E$254:$F$254,'Calculation SW'!$H$254)</c:f>
              <c:numCache>
                <c:formatCode>0</c:formatCode>
                <c:ptCount val="5"/>
                <c:pt idx="0">
                  <c:v>1363.5327869599998</c:v>
                </c:pt>
                <c:pt idx="1">
                  <c:v>115.28187</c:v>
                </c:pt>
                <c:pt idx="2">
                  <c:v>76.742799999999988</c:v>
                </c:pt>
                <c:pt idx="3">
                  <c:v>7.8199999999999994</c:v>
                </c:pt>
                <c:pt idx="4">
                  <c:v>34.428974066666655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0-EE3F-4626-823A-BCB671D399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8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MIP+LWS</a:t>
            </a:r>
          </a:p>
        </c:rich>
      </c:tx>
      <c:layout>
        <c:manualLayout>
          <c:xMode val="edge"/>
          <c:yMode val="edge"/>
          <c:x val="0.4460701935327307"/>
          <c:y val="2.41841833489475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'Calculation SW'!$A$256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EE-40A0-AA74-D7C727EF3A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EE-40A0-AA74-D7C727EF3A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EE-40A0-AA74-D7C727EF3A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EE-40A0-AA74-D7C727EF3A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EE-40A0-AA74-D7C727EF3A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EE-40A0-AA74-D7C727EF3A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5EE-40A0-AA74-D7C727EF3A0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5EE-40A0-AA74-D7C727EF3A09}"/>
              </c:ext>
            </c:extLst>
          </c:dPt>
          <c:dLbls>
            <c:dLbl>
              <c:idx val="0"/>
              <c:layout>
                <c:manualLayout>
                  <c:x val="5.2163712903063701E-2"/>
                  <c:y val="-6.4543409346558958E-2"/>
                </c:manualLayout>
              </c:layout>
              <c:tx>
                <c:rich>
                  <a:bodyPr/>
                  <a:lstStyle/>
                  <a:p>
                    <a:fld id="{020B8644-20B9-4880-AA7E-6A494D55DAD1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8F3B518E-E568-4FA6-85B6-E56DDBDC5F43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F75019A1-5D74-40CA-8267-C40EA5E631FD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5EE-40A0-AA74-D7C727EF3A09}"/>
                </c:ext>
              </c:extLst>
            </c:dLbl>
            <c:dLbl>
              <c:idx val="1"/>
              <c:layout>
                <c:manualLayout>
                  <c:x val="-1.2469008488069906E-2"/>
                  <c:y val="1.1367897194668849E-4"/>
                </c:manualLayout>
              </c:layout>
              <c:tx>
                <c:rich>
                  <a:bodyPr/>
                  <a:lstStyle/>
                  <a:p>
                    <a:fld id="{7E1650BE-457E-4FA0-8E1A-EA73F8EB2807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F0AC9927-7F9F-4B93-9B33-E70B8C4D26E4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D16C65B2-D8BD-4FDC-A58F-B47274E1B79F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5EE-40A0-AA74-D7C727EF3A09}"/>
                </c:ext>
              </c:extLst>
            </c:dLbl>
            <c:dLbl>
              <c:idx val="2"/>
              <c:layout>
                <c:manualLayout>
                  <c:x val="-3.5363266025303076E-2"/>
                  <c:y val="1.0624978695844837E-2"/>
                </c:manualLayout>
              </c:layout>
              <c:tx>
                <c:rich>
                  <a:bodyPr/>
                  <a:lstStyle/>
                  <a:p>
                    <a:fld id="{4814E840-32E6-45FD-9165-6CE18F0411F3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1D2201E8-1D91-416C-8876-A2A63A44376F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05B3923D-98C2-4D8A-9A89-BECF49CB98C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5EE-40A0-AA74-D7C727EF3A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48A28A-9C9E-4D5B-A5EB-8A37598A0656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FC4C2D43-E40F-4C8C-A141-C5C22FD17DAE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90052285-F163-4603-92D1-89F1FF9F4AAF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5EE-40A0-AA74-D7C727EF3A09}"/>
                </c:ext>
              </c:extLst>
            </c:dLbl>
            <c:dLbl>
              <c:idx val="4"/>
              <c:layout>
                <c:manualLayout>
                  <c:x val="-4.4209430533381215E-2"/>
                  <c:y val="-3.3845996523161878E-2"/>
                </c:manualLayout>
              </c:layout>
              <c:tx>
                <c:rich>
                  <a:bodyPr/>
                  <a:lstStyle/>
                  <a:p>
                    <a:fld id="{B8D20890-989B-480E-83ED-8DDE55139D9B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E70EAE2E-CDB3-46A1-91F7-088FB58FD024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6A2658ED-EAF3-4DF3-ADA0-3EDE4E4A4E0D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85EE-40A0-AA74-D7C727EF3A09}"/>
                </c:ext>
              </c:extLst>
            </c:dLbl>
            <c:dLbl>
              <c:idx val="6"/>
              <c:layout>
                <c:manualLayout>
                  <c:x val="-7.7930195476109496E-3"/>
                  <c:y val="1.0952040085898355E-3"/>
                </c:manualLayout>
              </c:layout>
              <c:tx>
                <c:rich>
                  <a:bodyPr/>
                  <a:lstStyle/>
                  <a:p>
                    <a:fld id="{28DE8A90-5437-43B6-A188-BAE9B80819BF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A8C60A0F-8785-41C8-BE6E-BF15524DBCB2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62144B89-12D7-4CA9-B3DB-0663A8322B97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85EE-40A0-AA74-D7C727EF3A09}"/>
                </c:ext>
              </c:extLst>
            </c:dLbl>
            <c:dLbl>
              <c:idx val="7"/>
              <c:layout>
                <c:manualLayout>
                  <c:x val="0.1827344478526792"/>
                  <c:y val="8.341854995398303E-3"/>
                </c:manualLayout>
              </c:layout>
              <c:tx>
                <c:rich>
                  <a:bodyPr/>
                  <a:lstStyle/>
                  <a:p>
                    <a:fld id="{814E21C9-9BF5-4CAF-B668-A565B46CDF75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8D107784-A738-4C54-B9C1-A9B7C214DC07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84F59B12-B0F3-495E-AB43-6F12085301AF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85EE-40A0-AA74-D7C727EF3A09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'Calculation SW'!$B$253:$H$253</c15:sqref>
                  </c15:fullRef>
                </c:ext>
              </c:extLst>
              <c:f>('Calculation SW'!$B$253:$C$253,'Calculation SW'!$E$253:$F$253,'Calculation SW'!$H$253)</c:f>
              <c:strCache>
                <c:ptCount val="5"/>
                <c:pt idx="0">
                  <c:v>Materials</c:v>
                </c:pt>
                <c:pt idx="1">
                  <c:v>Energy</c:v>
                </c:pt>
                <c:pt idx="2">
                  <c:v>Freight</c:v>
                </c:pt>
                <c:pt idx="3">
                  <c:v>Mob/Demob</c:v>
                </c:pt>
                <c:pt idx="4">
                  <c:v>Assets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'Calculation SW'!$B$256:$H$256</c15:sqref>
                  </c15:fullRef>
                </c:ext>
              </c:extLst>
              <c:f>('Calculation SW'!$B$256:$C$256,'Calculation SW'!$E$256:$F$256,'Calculation SW'!$H$256)</c:f>
              <c:numCache>
                <c:formatCode>0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'Calculation SW'!$D$256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85EE-40A0-AA74-D7C727EF3A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8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084951477524675"/>
          <c:y val="0.14578653476304579"/>
          <c:w val="0.37992508223037325"/>
          <c:h val="0.72285909888005306"/>
        </c:manualLayout>
      </c:layout>
      <c:barChart>
        <c:barDir val="col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'Calculation SW'!$C$269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3-41FB-98FD-A1B2AA311FB1}"/>
            </c:ext>
          </c:extLst>
        </c:ser>
        <c:ser>
          <c:idx val="0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4.01159889065076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53-41FB-98FD-A1B2AA311F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'Calculation SW'!$B$269:$B$273</c:f>
              <c:numCache>
                <c:formatCode>General</c:formatCode>
                <c:ptCount val="5"/>
              </c:numCache>
            </c:numRef>
          </c:cat>
          <c:val>
            <c:numRef>
              <c:f>'Calculation SW'!$C$270</c:f>
              <c:numCache>
                <c:formatCode>0</c:formatCode>
                <c:ptCount val="1"/>
                <c:pt idx="0">
                  <c:v>1637.4587110266664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53-41FB-98FD-A1B2AA311FB1}"/>
            </c:ext>
          </c:extLst>
        </c:ser>
        <c:ser>
          <c:idx val="1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87500983268404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53-41FB-98FD-A1B2AA311F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'Calculation SW'!$C$271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53-41FB-98FD-A1B2AA311FB1}"/>
            </c:ext>
          </c:extLst>
        </c:ser>
        <c:ser>
          <c:idx val="2"/>
          <c:order val="3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114276417745657E-2"/>
                  <c:y val="1.1950023424371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53-41FB-98FD-A1B2AA311F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'Calculation SW'!$C$272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53-41FB-98FD-A1B2AA311FB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'Calculation SW'!$C$273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53-41FB-98FD-A1B2AA311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68180224"/>
        <c:axId val="468174648"/>
      </c:barChart>
      <c:catAx>
        <c:axId val="46818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>
                    <a:solidFill>
                      <a:srgbClr val="002060"/>
                    </a:solidFill>
                  </a:rPr>
                  <a:t>Total</a:t>
                </a:r>
              </a:p>
            </c:rich>
          </c:tx>
          <c:layout>
            <c:manualLayout>
              <c:xMode val="edge"/>
              <c:yMode val="edge"/>
              <c:x val="0.4971657481793037"/>
              <c:y val="0.885049806998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174648"/>
        <c:crosses val="autoZero"/>
        <c:auto val="1"/>
        <c:lblAlgn val="ctr"/>
        <c:lblOffset val="100"/>
        <c:noMultiLvlLbl val="0"/>
      </c:catAx>
      <c:valAx>
        <c:axId val="4681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>
                    <a:solidFill>
                      <a:srgbClr val="002060"/>
                    </a:solidFill>
                  </a:rPr>
                  <a:t>tCO</a:t>
                </a:r>
                <a:r>
                  <a:rPr lang="de-DE" sz="1000" baseline="-25000">
                    <a:solidFill>
                      <a:srgbClr val="002060"/>
                    </a:solidFill>
                  </a:rPr>
                  <a:t>2e</a:t>
                </a:r>
                <a:endParaRPr lang="de-DE" sz="1000">
                  <a:solidFill>
                    <a:srgbClr val="002060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58690289546819"/>
              <c:y val="0.44437291129593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18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41762669678407E-2"/>
          <c:y val="0.14578653476304579"/>
          <c:w val="0.87784652249668116"/>
          <c:h val="0.72285909888005306"/>
        </c:manualLayout>
      </c:layout>
      <c:barChart>
        <c:barDir val="col"/>
        <c:grouping val="clustered"/>
        <c:varyColors val="0"/>
        <c:ser>
          <c:idx val="0"/>
          <c:order val="0"/>
          <c:tx>
            <c:v>BPW+UWS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4.3744607271593737E-3"/>
                  <c:y val="7.78392558076818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4C-4D52-AA26-C41F035C0CEF}"/>
                </c:ext>
              </c:extLst>
            </c:dLbl>
            <c:dLbl>
              <c:idx val="6"/>
              <c:layout>
                <c:manualLayout>
                  <c:x val="-6.5616910907392205E-3"/>
                  <c:y val="7.78392558076818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4C-4D52-AA26-C41F035C0C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'Calculation SW'!$B$253:$I$253</c15:sqref>
                  </c15:fullRef>
                </c:ext>
              </c:extLst>
              <c:f>('Calculation SW'!$B$253:$C$253,'Calculation SW'!$E$253:$I$253)</c:f>
              <c:strCache>
                <c:ptCount val="7"/>
                <c:pt idx="0">
                  <c:v>Materials</c:v>
                </c:pt>
                <c:pt idx="1">
                  <c:v>Energy</c:v>
                </c:pt>
                <c:pt idx="2">
                  <c:v>Freight</c:v>
                </c:pt>
                <c:pt idx="3">
                  <c:v>Mob/Demob</c:v>
                </c:pt>
                <c:pt idx="4">
                  <c:v>People's Transport</c:v>
                </c:pt>
                <c:pt idx="5">
                  <c:v>Assets</c:v>
                </c:pt>
                <c:pt idx="6">
                  <c:v>Waste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'Calculation SW'!$B$254:$I$254</c15:sqref>
                  </c15:fullRef>
                </c:ext>
              </c:extLst>
              <c:f>('Calculation SW'!$B$254:$C$254,'Calculation SW'!$E$254:$I$254)</c:f>
              <c:numCache>
                <c:formatCode>0</c:formatCode>
                <c:ptCount val="7"/>
                <c:pt idx="0">
                  <c:v>1363.5327869599998</c:v>
                </c:pt>
                <c:pt idx="1">
                  <c:v>115.28187</c:v>
                </c:pt>
                <c:pt idx="2">
                  <c:v>76.742799999999988</c:v>
                </c:pt>
                <c:pt idx="3">
                  <c:v>7.8199999999999994</c:v>
                </c:pt>
                <c:pt idx="4">
                  <c:v>4.6090800000000005</c:v>
                </c:pt>
                <c:pt idx="5">
                  <c:v>34.428974066666655</c:v>
                </c:pt>
                <c:pt idx="6">
                  <c:v>35.043199999999999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C-4D52-AA26-C41F035C0CEF}"/>
            </c:ext>
          </c:extLst>
        </c:ser>
        <c:ser>
          <c:idx val="1"/>
          <c:order val="1"/>
          <c:tx>
            <c:v>MIP+JG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936151817898433E-2"/>
                  <c:y val="-3.89196279038409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4C-4D52-AA26-C41F035C0CEF}"/>
                </c:ext>
              </c:extLst>
            </c:dLbl>
            <c:dLbl>
              <c:idx val="6"/>
              <c:layout>
                <c:manualLayout>
                  <c:x val="0"/>
                  <c:y val="7.78392558076818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4C-4D52-AA26-C41F035C0C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'Calculation SW'!$B$253:$I$253</c15:sqref>
                  </c15:fullRef>
                </c:ext>
              </c:extLst>
              <c:f>('Calculation SW'!$B$253:$C$253,'Calculation SW'!$E$253:$I$253)</c:f>
              <c:strCache>
                <c:ptCount val="7"/>
                <c:pt idx="0">
                  <c:v>Materials</c:v>
                </c:pt>
                <c:pt idx="1">
                  <c:v>Energy</c:v>
                </c:pt>
                <c:pt idx="2">
                  <c:v>Freight</c:v>
                </c:pt>
                <c:pt idx="3">
                  <c:v>Mob/Demob</c:v>
                </c:pt>
                <c:pt idx="4">
                  <c:v>People's Transport</c:v>
                </c:pt>
                <c:pt idx="5">
                  <c:v>Assets</c:v>
                </c:pt>
                <c:pt idx="6">
                  <c:v>Waste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'Calculation SW'!$B$255:$I$255</c15:sqref>
                  </c15:fullRef>
                </c:ext>
              </c:extLst>
              <c:f>('Calculation SW'!$B$255:$C$255,'Calculation SW'!$E$255:$I$255)</c:f>
              <c:numCache>
                <c:formatCode>0</c:formatCode>
                <c:ptCount val="7"/>
                <c:pt idx="0">
                  <c:v>0</c:v>
                </c:pt>
                <c:pt idx="1">
                  <c:v>53.247320000000002</c:v>
                </c:pt>
                <c:pt idx="2">
                  <c:v>0</c:v>
                </c:pt>
                <c:pt idx="3">
                  <c:v>4.2160000000000002</c:v>
                </c:pt>
                <c:pt idx="4">
                  <c:v>1.5091999999999999</c:v>
                </c:pt>
                <c:pt idx="5">
                  <c:v>13.542108766666667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4C-4D52-AA26-C41F035C0CEF}"/>
            </c:ext>
          </c:extLst>
        </c:ser>
        <c:ser>
          <c:idx val="2"/>
          <c:order val="2"/>
          <c:tx>
            <c:v>MIP+GEL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5616910907390401E-3"/>
                  <c:y val="-3.89196279038409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4C-4D52-AA26-C41F035C0CEF}"/>
                </c:ext>
              </c:extLst>
            </c:dLbl>
            <c:dLbl>
              <c:idx val="1"/>
              <c:layout>
                <c:manualLayout>
                  <c:x val="4.3744607271593329E-3"/>
                  <c:y val="1.16758883711521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4C-4D52-AA26-C41F035C0CEF}"/>
                </c:ext>
              </c:extLst>
            </c:dLbl>
            <c:dLbl>
              <c:idx val="6"/>
              <c:layout>
                <c:manualLayout>
                  <c:x val="2.1872303635796868E-3"/>
                  <c:y val="7.78392558076818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4C-4D52-AA26-C41F035C0C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'Calculation SW'!$B$253:$I$253</c15:sqref>
                  </c15:fullRef>
                </c:ext>
              </c:extLst>
              <c:f>('Calculation SW'!$B$253:$C$253,'Calculation SW'!$E$253:$I$253)</c:f>
              <c:strCache>
                <c:ptCount val="7"/>
                <c:pt idx="0">
                  <c:v>Materials</c:v>
                </c:pt>
                <c:pt idx="1">
                  <c:v>Energy</c:v>
                </c:pt>
                <c:pt idx="2">
                  <c:v>Freight</c:v>
                </c:pt>
                <c:pt idx="3">
                  <c:v>Mob/Demob</c:v>
                </c:pt>
                <c:pt idx="4">
                  <c:v>People's Transport</c:v>
                </c:pt>
                <c:pt idx="5">
                  <c:v>Assets</c:v>
                </c:pt>
                <c:pt idx="6">
                  <c:v>Waste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'Calculation SW'!$B$256:$I$256</c15:sqref>
                  </c15:fullRef>
                </c:ext>
              </c:extLst>
              <c:f>('Calculation SW'!$B$256:$C$256,'Calculation SW'!$E$256:$I$256)</c:f>
              <c:numCache>
                <c:formatCode>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9-124C-4D52-AA26-C41F035C0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468180224"/>
        <c:axId val="468174648"/>
      </c:barChart>
      <c:catAx>
        <c:axId val="4681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174648"/>
        <c:crosses val="autoZero"/>
        <c:auto val="1"/>
        <c:lblAlgn val="ctr"/>
        <c:lblOffset val="100"/>
        <c:noMultiLvlLbl val="0"/>
      </c:catAx>
      <c:valAx>
        <c:axId val="468174648"/>
        <c:scaling>
          <c:orientation val="minMax"/>
          <c:max val="7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681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269690201363523E-2"/>
          <c:y val="3.4864783281929254E-2"/>
          <c:w val="0.66914062936744179"/>
          <c:h val="9.2698200621956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</a:t>
            </a:r>
            <a:r>
              <a:rPr lang="de-DE" baseline="-25000"/>
              <a:t>2</a:t>
            </a:r>
            <a:r>
              <a:rPr lang="de-DE" baseline="0"/>
              <a:t>-Fußabdruck der betrachteten Verfahren</a:t>
            </a:r>
            <a:endParaRPr lang="de-DE"/>
          </a:p>
        </c:rich>
      </c:tx>
      <c:layout>
        <c:manualLayout>
          <c:xMode val="edge"/>
          <c:yMode val="edge"/>
          <c:x val="0.35710177280198202"/>
          <c:y val="1.5743913574114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EFFC!$B$243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1AA2D83-4A86-41C7-935A-6E30760CB7D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1F7-4380-97EE-3FA3252938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5792C8-D142-46F7-A646-EFE2683F409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1F7-4380-97EE-3FA32529380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1F7-4380-97EE-3FA3252938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EFFC!$A$244:$A$246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f>EFFC!$B$244:$B$246</c:f>
              <c:numCache>
                <c:formatCode>0</c:formatCode>
                <c:ptCount val="3"/>
                <c:pt idx="0">
                  <c:v>801.74895200000026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EFFC!$B$248:$B$250</c15:f>
                <c15:dlblRangeCache>
                  <c:ptCount val="3"/>
                  <c:pt idx="0">
                    <c:v>83,2%</c:v>
                  </c:pt>
                  <c:pt idx="1">
                    <c:v>#BEZUG!</c:v>
                  </c:pt>
                  <c:pt idx="2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41F7-4380-97EE-3FA32529380E}"/>
            </c:ext>
          </c:extLst>
        </c:ser>
        <c:ser>
          <c:idx val="1"/>
          <c:order val="1"/>
          <c:tx>
            <c:strRef>
              <c:f>EFFC!$E$243</c:f>
              <c:strCache>
                <c:ptCount val="1"/>
                <c:pt idx="0">
                  <c:v>Freight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541C13E-5B89-4572-BB3C-EC354186260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1F7-4380-97EE-3FA32529380E}"/>
                </c:ext>
              </c:extLst>
            </c:dLbl>
            <c:dLbl>
              <c:idx val="1"/>
              <c:layout>
                <c:manualLayout>
                  <c:x val="-7.6230604581670997E-2"/>
                  <c:y val="-1.7421351855751207E-3"/>
                </c:manualLayout>
              </c:layout>
              <c:tx>
                <c:rich>
                  <a:bodyPr/>
                  <a:lstStyle/>
                  <a:p>
                    <a:fld id="{FA68A08A-8B71-4456-A4B7-DEA8F01412C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1F7-4380-97EE-3FA32529380E}"/>
                </c:ext>
              </c:extLst>
            </c:dLbl>
            <c:dLbl>
              <c:idx val="2"/>
              <c:layout>
                <c:manualLayout>
                  <c:x val="-7.6230604581671094E-2"/>
                  <c:y val="0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1F7-4380-97EE-3FA3252938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EFFC!$A$244:$A$246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f>EFFC!$E$244:$E$246</c:f>
              <c:numCache>
                <c:formatCode>0</c:formatCode>
                <c:ptCount val="3"/>
                <c:pt idx="0">
                  <c:v>71.118799999999993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EFFC!$E$248:$E$250</c15:f>
                <c15:dlblRangeCache>
                  <c:ptCount val="3"/>
                  <c:pt idx="0">
                    <c:v>7,4%</c:v>
                  </c:pt>
                  <c:pt idx="1">
                    <c:v>#BEZUG!</c:v>
                  </c:pt>
                  <c:pt idx="2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41F7-4380-97EE-3FA32529380E}"/>
            </c:ext>
          </c:extLst>
        </c:ser>
        <c:ser>
          <c:idx val="3"/>
          <c:order val="2"/>
          <c:tx>
            <c:strRef>
              <c:f>EFFC!$I$243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1DC6D1F-5423-48F1-AA3E-A122FCB2D9A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1F7-4380-97EE-3FA3252938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22734B1-0451-44E5-A6B9-3F59FE14A2C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1F7-4380-97EE-3FA32529380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41F7-4380-97EE-3FA3252938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EFFC!$A$244:$A$246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f>EFFC!$I$244:$I$246</c:f>
              <c:numCache>
                <c:formatCode>0</c:formatCode>
                <c:ptCount val="3"/>
                <c:pt idx="0">
                  <c:v>28.655999999999999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EFFC!$I$248:$I$250</c15:f>
                <c15:dlblRangeCache>
                  <c:ptCount val="3"/>
                  <c:pt idx="0">
                    <c:v>3,0%</c:v>
                  </c:pt>
                  <c:pt idx="1">
                    <c:v>#BEZUG!</c:v>
                  </c:pt>
                  <c:pt idx="2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41F7-4380-97EE-3FA32529380E}"/>
            </c:ext>
          </c:extLst>
        </c:ser>
        <c:ser>
          <c:idx val="4"/>
          <c:order val="3"/>
          <c:tx>
            <c:strRef>
              <c:f>EFFC!$H$243</c:f>
              <c:strCache>
                <c:ptCount val="1"/>
                <c:pt idx="0">
                  <c:v>Assets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8905362637168228E-2"/>
                  <c:y val="0"/>
                </c:manualLayout>
              </c:layout>
              <c:tx>
                <c:rich>
                  <a:bodyPr/>
                  <a:lstStyle/>
                  <a:p>
                    <a:fld id="{35C06728-AD7A-4C1C-91B6-139DEDEC181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1F7-4380-97EE-3FA32529380E}"/>
                </c:ext>
              </c:extLst>
            </c:dLbl>
            <c:dLbl>
              <c:idx val="1"/>
              <c:layout>
                <c:manualLayout>
                  <c:x val="7.7567983609419619E-2"/>
                  <c:y val="0"/>
                </c:manualLayout>
              </c:layout>
              <c:tx>
                <c:rich>
                  <a:bodyPr/>
                  <a:lstStyle/>
                  <a:p>
                    <a:fld id="{F1F72E24-CA0C-4DA5-8CB3-68935EA6C62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1F7-4380-97EE-3FA32529380E}"/>
                </c:ext>
              </c:extLst>
            </c:dLbl>
            <c:dLbl>
              <c:idx val="2"/>
              <c:layout>
                <c:manualLayout>
                  <c:x val="7.7567983609419619E-2"/>
                  <c:y val="-1.2775510443764061E-16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41F7-4380-97EE-3FA3252938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EFFC!$A$244:$A$246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f>EFFC!$H$244:$H$246</c:f>
              <c:numCache>
                <c:formatCode>0</c:formatCode>
                <c:ptCount val="3"/>
                <c:pt idx="0">
                  <c:v>22.553700150000001</c:v>
                </c:pt>
                <c:pt idx="1">
                  <c:v>13.542108766666667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EFFC!$H$248:$H$250</c15:f>
                <c15:dlblRangeCache>
                  <c:ptCount val="3"/>
                  <c:pt idx="0">
                    <c:v>2,3%</c:v>
                  </c:pt>
                  <c:pt idx="1">
                    <c:v>#BEZUG!</c:v>
                  </c:pt>
                  <c:pt idx="2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41F7-4380-97EE-3FA32529380E}"/>
            </c:ext>
          </c:extLst>
        </c:ser>
        <c:ser>
          <c:idx val="6"/>
          <c:order val="4"/>
          <c:tx>
            <c:strRef>
              <c:f>EFFC!$C$243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8F5FE07-5022-43EC-B1FF-30490CCC26A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1F7-4380-97EE-3FA3252938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42C4308-80CB-48E1-B056-B0560A5C35C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1F7-4380-97EE-3FA32529380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41F7-4380-97EE-3FA3252938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EFFC!$A$244:$A$246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f>EFFC!$C$244:$C$246</c:f>
              <c:numCache>
                <c:formatCode>0</c:formatCode>
                <c:ptCount val="3"/>
                <c:pt idx="0">
                  <c:v>57.959775000000008</c:v>
                </c:pt>
                <c:pt idx="1">
                  <c:v>53.247320000000002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EFFC!$C$248:$C$250</c15:f>
                <c15:dlblRangeCache>
                  <c:ptCount val="3"/>
                  <c:pt idx="0">
                    <c:v>6,0%</c:v>
                  </c:pt>
                  <c:pt idx="1">
                    <c:v>#BEZUG!</c:v>
                  </c:pt>
                  <c:pt idx="2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41F7-4380-97EE-3FA32529380E}"/>
            </c:ext>
          </c:extLst>
        </c:ser>
        <c:ser>
          <c:idx val="8"/>
          <c:order val="5"/>
          <c:tx>
            <c:strRef>
              <c:f>EFFC!$F$243</c:f>
              <c:strCache>
                <c:ptCount val="1"/>
                <c:pt idx="0">
                  <c:v>Mob/Demob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1815031031732641E-2"/>
                  <c:y val="0"/>
                </c:manualLayout>
              </c:layout>
              <c:tx>
                <c:rich>
                  <a:bodyPr/>
                  <a:lstStyle/>
                  <a:p>
                    <a:fld id="{79C58D6D-BB3E-42FB-B916-D564174A35D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1F7-4380-97EE-3FA32529380E}"/>
                </c:ext>
              </c:extLst>
            </c:dLbl>
            <c:dLbl>
              <c:idx val="1"/>
              <c:layout>
                <c:manualLayout>
                  <c:x val="8.0451447181203756E-2"/>
                  <c:y val="1.7885998868252858E-3"/>
                </c:manualLayout>
              </c:layout>
              <c:tx>
                <c:rich>
                  <a:bodyPr/>
                  <a:lstStyle/>
                  <a:p>
                    <a:fld id="{D214AE51-03F1-4AE0-8B8E-DB0FBA87D28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1F7-4380-97EE-3FA32529380E}"/>
                </c:ext>
              </c:extLst>
            </c:dLbl>
            <c:dLbl>
              <c:idx val="2"/>
              <c:layout>
                <c:manualLayout>
                  <c:x val="9.1360117985434572E-2"/>
                  <c:y val="1.788599886825220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41F7-4380-97EE-3FA3252938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EFFC!$A$244:$A$246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f>EFFC!$F$244:$F$246</c:f>
              <c:numCache>
                <c:formatCode>0</c:formatCode>
                <c:ptCount val="3"/>
                <c:pt idx="0">
                  <c:v>7.7</c:v>
                </c:pt>
                <c:pt idx="1">
                  <c:v>4.2160000000000002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EFFC!$F$248:$F$250</c15:f>
                <c15:dlblRangeCache>
                  <c:ptCount val="3"/>
                  <c:pt idx="0">
                    <c:v>0,8%</c:v>
                  </c:pt>
                  <c:pt idx="1">
                    <c:v>#BEZUG!</c:v>
                  </c:pt>
                  <c:pt idx="2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41F7-4380-97EE-3FA32529380E}"/>
            </c:ext>
          </c:extLst>
        </c:ser>
        <c:ser>
          <c:idx val="9"/>
          <c:order val="6"/>
          <c:tx>
            <c:strRef>
              <c:f>EFFC!$G$243</c:f>
              <c:strCache>
                <c:ptCount val="1"/>
                <c:pt idx="0">
                  <c:v>People's Transport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515816498953065E-6"/>
                  <c:y val="-2.1463198641903432E-2"/>
                </c:manualLayout>
              </c:layout>
              <c:tx>
                <c:rich>
                  <a:bodyPr/>
                  <a:lstStyle/>
                  <a:p>
                    <a:fld id="{C447A9AB-0471-420E-8D05-2894C70A051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41F7-4380-97EE-3FA32529380E}"/>
                </c:ext>
              </c:extLst>
            </c:dLbl>
            <c:dLbl>
              <c:idx val="1"/>
              <c:layout>
                <c:manualLayout>
                  <c:x val="7.1937100774932945E-6"/>
                  <c:y val="-2.6815337342613772E-2"/>
                </c:manualLayout>
              </c:layout>
              <c:tx>
                <c:rich>
                  <a:bodyPr/>
                  <a:lstStyle/>
                  <a:p>
                    <a:fld id="{562472EA-C7CC-4C5F-A4C1-3F533184521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41F7-4380-97EE-3FA32529380E}"/>
                </c:ext>
              </c:extLst>
            </c:dLbl>
            <c:dLbl>
              <c:idx val="2"/>
              <c:layout>
                <c:manualLayout>
                  <c:x val="1.5006616065895243E-2"/>
                  <c:y val="-2.318377539917465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41F7-4380-97EE-3FA3252938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EFFC!$A$244:$A$246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f>EFFC!$G$244:$G$246</c:f>
              <c:numCache>
                <c:formatCode>0</c:formatCode>
                <c:ptCount val="3"/>
                <c:pt idx="0">
                  <c:v>2.0657999999999999</c:v>
                </c:pt>
                <c:pt idx="1">
                  <c:v>1.5091999999999999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EFFC!$G$248:$G$250</c15:f>
                <c15:dlblRangeCache>
                  <c:ptCount val="3"/>
                  <c:pt idx="0">
                    <c:v>0,2%</c:v>
                  </c:pt>
                  <c:pt idx="1">
                    <c:v>#BEZUG!</c:v>
                  </c:pt>
                  <c:pt idx="2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41F7-4380-97EE-3FA325293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459144"/>
        <c:axId val="448459472"/>
        <c:extLst/>
      </c:barChart>
      <c:catAx>
        <c:axId val="4484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59472"/>
        <c:crosses val="autoZero"/>
        <c:auto val="1"/>
        <c:lblAlgn val="ctr"/>
        <c:lblOffset val="100"/>
        <c:noMultiLvlLbl val="0"/>
      </c:catAx>
      <c:valAx>
        <c:axId val="4484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</a:t>
                </a:r>
                <a:r>
                  <a:rPr lang="de-DE" baseline="0"/>
                  <a:t> CO</a:t>
                </a:r>
                <a:r>
                  <a:rPr lang="de-DE" baseline="-25000"/>
                  <a:t>2eq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5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8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EFFC!$P$117</c:f>
              <c:strCache>
                <c:ptCount val="1"/>
                <c:pt idx="0">
                  <c:v>BPW+UWS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EFFC!$Q$116:$T$116</c:f>
              <c:strCache>
                <c:ptCount val="4"/>
                <c:pt idx="0">
                  <c:v>10/150</c:v>
                </c:pt>
                <c:pt idx="1">
                  <c:v>20/300</c:v>
                </c:pt>
                <c:pt idx="2">
                  <c:v>30/450</c:v>
                </c:pt>
                <c:pt idx="3">
                  <c:v>40/600</c:v>
                </c:pt>
              </c:strCache>
            </c:strRef>
          </c:cat>
          <c:val>
            <c:numRef>
              <c:f>EFFC!$Q$117:$T$117</c:f>
              <c:numCache>
                <c:formatCode>General</c:formatCode>
                <c:ptCount val="4"/>
                <c:pt idx="0">
                  <c:v>5826.5</c:v>
                </c:pt>
                <c:pt idx="1">
                  <c:v>6258</c:v>
                </c:pt>
                <c:pt idx="2">
                  <c:v>6689.5</c:v>
                </c:pt>
                <c:pt idx="3">
                  <c:v>7121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C-467B-82DB-74E5D18E0CAC}"/>
            </c:ext>
          </c:extLst>
        </c:ser>
        <c:ser>
          <c:idx val="1"/>
          <c:order val="1"/>
          <c:tx>
            <c:strRef>
              <c:f>EFFC!$P$118</c:f>
              <c:strCache>
                <c:ptCount val="1"/>
                <c:pt idx="0">
                  <c:v>MIP+HDI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EFFC!$Q$116:$T$116</c:f>
              <c:strCache>
                <c:ptCount val="4"/>
                <c:pt idx="0">
                  <c:v>10/150</c:v>
                </c:pt>
                <c:pt idx="1">
                  <c:v>20/300</c:v>
                </c:pt>
                <c:pt idx="2">
                  <c:v>30/450</c:v>
                </c:pt>
                <c:pt idx="3">
                  <c:v>40/600</c:v>
                </c:pt>
              </c:strCache>
            </c:strRef>
          </c:cat>
          <c:val>
            <c:numRef>
              <c:f>EFFC!$Q$118:$T$118</c:f>
              <c:numCache>
                <c:formatCode>General</c:formatCode>
                <c:ptCount val="4"/>
                <c:pt idx="0">
                  <c:v>4184</c:v>
                </c:pt>
                <c:pt idx="1">
                  <c:v>4452</c:v>
                </c:pt>
                <c:pt idx="2">
                  <c:v>4720</c:v>
                </c:pt>
                <c:pt idx="3">
                  <c:v>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C-467B-82DB-74E5D18E0CAC}"/>
            </c:ext>
          </c:extLst>
        </c:ser>
        <c:ser>
          <c:idx val="2"/>
          <c:order val="2"/>
          <c:tx>
            <c:strRef>
              <c:f>EFFC!$P$119</c:f>
              <c:strCache>
                <c:ptCount val="1"/>
                <c:pt idx="0">
                  <c:v>MIP+LWS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EFFC!$Q$116:$T$116</c:f>
              <c:strCache>
                <c:ptCount val="4"/>
                <c:pt idx="0">
                  <c:v>10/150</c:v>
                </c:pt>
                <c:pt idx="1">
                  <c:v>20/300</c:v>
                </c:pt>
                <c:pt idx="2">
                  <c:v>30/450</c:v>
                </c:pt>
                <c:pt idx="3">
                  <c:v>40/600</c:v>
                </c:pt>
              </c:strCache>
            </c:strRef>
          </c:cat>
          <c:val>
            <c:numRef>
              <c:f>EFFC!$Q$119:$T$119</c:f>
              <c:numCache>
                <c:formatCode>General</c:formatCode>
                <c:ptCount val="4"/>
                <c:pt idx="0">
                  <c:v>3312.5</c:v>
                </c:pt>
                <c:pt idx="1">
                  <c:v>3555</c:v>
                </c:pt>
                <c:pt idx="2">
                  <c:v>3797.5</c:v>
                </c:pt>
                <c:pt idx="3">
                  <c:v>3312.5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C-467B-82DB-74E5D18E0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01048"/>
        <c:axId val="599099736"/>
      </c:lineChart>
      <c:catAx>
        <c:axId val="59910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099736"/>
        <c:crosses val="autoZero"/>
        <c:auto val="1"/>
        <c:lblAlgn val="ctr"/>
        <c:lblOffset val="100"/>
        <c:noMultiLvlLbl val="0"/>
      </c:catAx>
      <c:valAx>
        <c:axId val="5990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10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der Methoden nach EFFC</a:t>
            </a:r>
          </a:p>
        </c:rich>
      </c:tx>
      <c:layout>
        <c:manualLayout>
          <c:xMode val="edge"/>
          <c:yMode val="edge"/>
          <c:x val="0.43494314454245103"/>
          <c:y val="1.2194946299025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EFFC!$B$236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EFFC!$A$237:$A$241</c15:sqref>
                  </c15:fullRef>
                </c:ext>
              </c:extLst>
              <c:f>(EFFC!$A$237,EFFC!$A$239)</c:f>
              <c:strCache>
                <c:ptCount val="2"/>
                <c:pt idx="0">
                  <c:v>BPW</c:v>
                </c:pt>
                <c:pt idx="1">
                  <c:v>MIP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EFFC!$B$237:$B$241</c15:sqref>
                  </c15:fullRef>
                </c:ext>
              </c:extLst>
              <c:f>(EFFC!$B$237,EFFC!$B$239)</c:f>
              <c:numCache>
                <c:formatCode>0</c:formatCode>
                <c:ptCount val="2"/>
                <c:pt idx="0">
                  <c:v>801.74895200000026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C-4BBD-AD57-E0B26462FF38}"/>
            </c:ext>
          </c:extLst>
        </c:ser>
        <c:ser>
          <c:idx val="1"/>
          <c:order val="1"/>
          <c:tx>
            <c:strRef>
              <c:f>EFFC!$E$236</c:f>
              <c:strCache>
                <c:ptCount val="1"/>
                <c:pt idx="0">
                  <c:v>Freight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EFFC!$A$237:$A$241</c15:sqref>
                  </c15:fullRef>
                </c:ext>
              </c:extLst>
              <c:f>(EFFC!$A$237,EFFC!$A$239)</c:f>
              <c:strCache>
                <c:ptCount val="2"/>
                <c:pt idx="0">
                  <c:v>BPW</c:v>
                </c:pt>
                <c:pt idx="1">
                  <c:v>MIP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EFFC!$E$237:$E$241</c15:sqref>
                  </c15:fullRef>
                </c:ext>
              </c:extLst>
              <c:f>(EFFC!$E$237,EFFC!$E$239)</c:f>
              <c:numCache>
                <c:formatCode>0</c:formatCode>
                <c:ptCount val="2"/>
                <c:pt idx="0">
                  <c:v>71.118799999999993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C-4BBD-AD57-E0B26462FF38}"/>
            </c:ext>
          </c:extLst>
        </c:ser>
        <c:ser>
          <c:idx val="3"/>
          <c:order val="2"/>
          <c:tx>
            <c:strRef>
              <c:f>EFFC!$I$236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EFFC!$A$237:$A$241</c15:sqref>
                  </c15:fullRef>
                </c:ext>
              </c:extLst>
              <c:f>(EFFC!$A$237,EFFC!$A$239)</c:f>
              <c:strCache>
                <c:ptCount val="2"/>
                <c:pt idx="0">
                  <c:v>BPW</c:v>
                </c:pt>
                <c:pt idx="1">
                  <c:v>MIP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EFFC!$I$237:$I$241</c15:sqref>
                  </c15:fullRef>
                </c:ext>
              </c:extLst>
              <c:f>(EFFC!$I$237,EFFC!$I$239)</c:f>
              <c:numCache>
                <c:formatCode>0</c:formatCode>
                <c:ptCount val="2"/>
                <c:pt idx="0">
                  <c:v>28.655999999999999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C-4BBD-AD57-E0B26462FF38}"/>
            </c:ext>
          </c:extLst>
        </c:ser>
        <c:ser>
          <c:idx val="4"/>
          <c:order val="3"/>
          <c:tx>
            <c:strRef>
              <c:f>EFFC!$H$236</c:f>
              <c:strCache>
                <c:ptCount val="1"/>
                <c:pt idx="0">
                  <c:v>Assets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EFFC!$A$237:$A$241</c15:sqref>
                  </c15:fullRef>
                </c:ext>
              </c:extLst>
              <c:f>(EFFC!$A$237,EFFC!$A$239)</c:f>
              <c:strCache>
                <c:ptCount val="2"/>
                <c:pt idx="0">
                  <c:v>BPW</c:v>
                </c:pt>
                <c:pt idx="1">
                  <c:v>MIP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EFFC!$H$237:$H$241</c15:sqref>
                  </c15:fullRef>
                </c:ext>
              </c:extLst>
              <c:f>(EFFC!$H$237,EFFC!$H$239)</c:f>
              <c:numCache>
                <c:formatCode>0</c:formatCode>
                <c:ptCount val="2"/>
                <c:pt idx="0">
                  <c:v>22.553700150000001</c:v>
                </c:pt>
                <c:pt idx="1">
                  <c:v>13.542108766666667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7C-4BBD-AD57-E0B26462FF38}"/>
            </c:ext>
          </c:extLst>
        </c:ser>
        <c:ser>
          <c:idx val="6"/>
          <c:order val="4"/>
          <c:tx>
            <c:strRef>
              <c:f>EFFC!$C$236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EFFC!$A$237:$A$241</c15:sqref>
                  </c15:fullRef>
                </c:ext>
              </c:extLst>
              <c:f>(EFFC!$A$237,EFFC!$A$239)</c:f>
              <c:strCache>
                <c:ptCount val="2"/>
                <c:pt idx="0">
                  <c:v>BPW</c:v>
                </c:pt>
                <c:pt idx="1">
                  <c:v>MIP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EFFC!$C$237:$C$241</c15:sqref>
                  </c15:fullRef>
                </c:ext>
              </c:extLst>
              <c:f>(EFFC!$C$237,EFFC!$C$239)</c:f>
              <c:numCache>
                <c:formatCode>0</c:formatCode>
                <c:ptCount val="2"/>
                <c:pt idx="0">
                  <c:v>57.959775000000008</c:v>
                </c:pt>
                <c:pt idx="1">
                  <c:v>53.247320000000002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7C-4BBD-AD57-E0B26462FF38}"/>
            </c:ext>
          </c:extLst>
        </c:ser>
        <c:ser>
          <c:idx val="8"/>
          <c:order val="5"/>
          <c:tx>
            <c:strRef>
              <c:f>EFFC!$F$236</c:f>
              <c:strCache>
                <c:ptCount val="1"/>
                <c:pt idx="0">
                  <c:v>Mob/Demob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EFFC!$A$237:$A$241</c15:sqref>
                  </c15:fullRef>
                </c:ext>
              </c:extLst>
              <c:f>(EFFC!$A$237,EFFC!$A$239)</c:f>
              <c:strCache>
                <c:ptCount val="2"/>
                <c:pt idx="0">
                  <c:v>BPW</c:v>
                </c:pt>
                <c:pt idx="1">
                  <c:v>MIP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EFFC!$F$237:$F$241</c15:sqref>
                  </c15:fullRef>
                </c:ext>
              </c:extLst>
              <c:f>(EFFC!$F$237,EFFC!$F$239)</c:f>
              <c:numCache>
                <c:formatCode>General</c:formatCode>
                <c:ptCount val="2"/>
                <c:pt idx="0">
                  <c:v>7.7</c:v>
                </c:pt>
                <c:pt idx="1" formatCode="0.0">
                  <c:v>4.2160000000000002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7C-4BBD-AD57-E0B26462FF38}"/>
            </c:ext>
          </c:extLst>
        </c:ser>
        <c:ser>
          <c:idx val="9"/>
          <c:order val="6"/>
          <c:tx>
            <c:strRef>
              <c:f>EFFC!$G$236</c:f>
              <c:strCache>
                <c:ptCount val="1"/>
                <c:pt idx="0">
                  <c:v>People's Transport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EFFC!$A$237:$A$241</c15:sqref>
                  </c15:fullRef>
                </c:ext>
              </c:extLst>
              <c:f>(EFFC!$A$237,EFFC!$A$239)</c:f>
              <c:strCache>
                <c:ptCount val="2"/>
                <c:pt idx="0">
                  <c:v>BPW</c:v>
                </c:pt>
                <c:pt idx="1">
                  <c:v>MIP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EFFC!$G$237:$G$241</c15:sqref>
                  </c15:fullRef>
                </c:ext>
              </c:extLst>
              <c:f>(EFFC!$G$237,EFFC!$G$239)</c:f>
              <c:numCache>
                <c:formatCode>0.0</c:formatCode>
                <c:ptCount val="2"/>
                <c:pt idx="0">
                  <c:v>2.0657999999999999</c:v>
                </c:pt>
                <c:pt idx="1">
                  <c:v>1.5091999999999999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7C-4BBD-AD57-E0B26462F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459144"/>
        <c:axId val="448459472"/>
        <c:extLst/>
      </c:barChart>
      <c:catAx>
        <c:axId val="4484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59472"/>
        <c:crosses val="autoZero"/>
        <c:auto val="1"/>
        <c:lblAlgn val="ctr"/>
        <c:lblOffset val="100"/>
        <c:noMultiLvlLbl val="0"/>
      </c:catAx>
      <c:valAx>
        <c:axId val="4484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5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BPW+UWS</a:t>
            </a:r>
          </a:p>
        </c:rich>
      </c:tx>
      <c:layout>
        <c:manualLayout>
          <c:xMode val="edge"/>
          <c:yMode val="edge"/>
          <c:x val="0.4460701935327307"/>
          <c:y val="2.41841833489475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EFFC!$A$244</c:f>
              <c:strCache>
                <c:ptCount val="1"/>
                <c:pt idx="0">
                  <c:v>PfW88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54-4E04-BB84-F9AEDB8790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54-4E04-BB84-F9AEDB8790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54-4E04-BB84-F9AEDB8790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54-4E04-BB84-F9AEDB8790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54-4E04-BB84-F9AEDB8790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54-4E04-BB84-F9AEDB87905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B54-4E04-BB84-F9AEDB87905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B54-4E04-BB84-F9AEDB879051}"/>
              </c:ext>
            </c:extLst>
          </c:dPt>
          <c:dLbls>
            <c:dLbl>
              <c:idx val="0"/>
              <c:layout>
                <c:manualLayout>
                  <c:x val="8.1548160731258465E-2"/>
                  <c:y val="-7.9607111320758206E-2"/>
                </c:manualLayout>
              </c:layout>
              <c:tx>
                <c:rich>
                  <a:bodyPr/>
                  <a:lstStyle/>
                  <a:p>
                    <a:fld id="{5D0918E7-E569-4D70-B7E7-C03118BE2699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3DA05B1A-6D17-4B3A-97FD-8D5BCE3880EA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64A7501C-EFD9-4B08-92AC-CDD23EDD5762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B54-4E04-BB84-F9AEDB879051}"/>
                </c:ext>
              </c:extLst>
            </c:dLbl>
            <c:dLbl>
              <c:idx val="1"/>
              <c:layout>
                <c:manualLayout>
                  <c:x val="-2.4094521628344356E-2"/>
                  <c:y val="6.2977120746466287E-3"/>
                </c:manualLayout>
              </c:layout>
              <c:tx>
                <c:rich>
                  <a:bodyPr/>
                  <a:lstStyle/>
                  <a:p>
                    <a:fld id="{2F71BBF9-23BB-4EE0-A25A-C7E16423B806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72F37CB7-66C2-4590-9D89-473B60185B3A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2AB3519B-A75E-464B-B865-74D72D9F18A8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B54-4E04-BB84-F9AEDB879051}"/>
                </c:ext>
              </c:extLst>
            </c:dLbl>
            <c:dLbl>
              <c:idx val="2"/>
              <c:layout>
                <c:manualLayout>
                  <c:x val="-5.7127419159133649E-2"/>
                  <c:y val="5.4661200215800433E-2"/>
                </c:manualLayout>
              </c:layout>
              <c:tx>
                <c:rich>
                  <a:bodyPr/>
                  <a:lstStyle/>
                  <a:p>
                    <a:fld id="{0E9E9E44-8A17-4620-9F86-1D292EE12C40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0DF876C9-D485-49D3-80AD-95285CABD173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FE71ECFE-5582-487B-A3D7-B2AAC2D3427E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B54-4E04-BB84-F9AEDB879051}"/>
                </c:ext>
              </c:extLst>
            </c:dLbl>
            <c:dLbl>
              <c:idx val="3"/>
              <c:layout>
                <c:manualLayout>
                  <c:x val="-4.806922283564885E-2"/>
                  <c:y val="3.5126281441246784E-2"/>
                </c:manualLayout>
              </c:layout>
              <c:tx>
                <c:rich>
                  <a:bodyPr/>
                  <a:lstStyle/>
                  <a:p>
                    <a:fld id="{32640348-40A3-4DFF-AFDD-D43F2FBDE6BA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AC018A1F-F1D3-410C-96C9-18EB274756AF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4401B68E-CC21-468D-9B3C-16E0B3647E23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B54-4E04-BB84-F9AEDB879051}"/>
                </c:ext>
              </c:extLst>
            </c:dLbl>
            <c:dLbl>
              <c:idx val="4"/>
              <c:layout>
                <c:manualLayout>
                  <c:x val="-9.8113207547169817E-2"/>
                  <c:y val="-3.1182725333386268E-2"/>
                </c:manualLayout>
              </c:layout>
              <c:tx>
                <c:rich>
                  <a:bodyPr/>
                  <a:lstStyle/>
                  <a:p>
                    <a:fld id="{937B1A52-DBDF-43ED-918D-4E0C6757C649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302C7934-1301-4AAD-8DAD-7A2C52E38D8F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F27C6CCE-2780-4921-B728-B1C175502339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B54-4E04-BB84-F9AEDB879051}"/>
                </c:ext>
              </c:extLst>
            </c:dLbl>
            <c:dLbl>
              <c:idx val="6"/>
              <c:layout>
                <c:manualLayout>
                  <c:x val="1.1023984307063844E-2"/>
                  <c:y val="-2.5222138352168208E-3"/>
                </c:manualLayout>
              </c:layout>
              <c:tx>
                <c:rich>
                  <a:bodyPr/>
                  <a:lstStyle/>
                  <a:p>
                    <a:fld id="{33BB2271-69FC-4AA2-8745-E17F7FCE5F61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75AFC088-5617-46D1-B7B8-D1DED96A4810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0CF9AD47-F40E-440D-8416-2900592DEE0D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1B54-4E04-BB84-F9AEDB879051}"/>
                </c:ext>
              </c:extLst>
            </c:dLbl>
            <c:dLbl>
              <c:idx val="7"/>
              <c:layout>
                <c:manualLayout>
                  <c:x val="0.2630487761810002"/>
                  <c:y val="4.1053106997988871E-2"/>
                </c:manualLayout>
              </c:layout>
              <c:tx>
                <c:rich>
                  <a:bodyPr/>
                  <a:lstStyle/>
                  <a:p>
                    <a:fld id="{91311735-80D3-4DF6-AF31-A74E990FE99C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BF6A06AF-D344-49BC-8AA0-F78212E3FB22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9A2EBAFD-9F1C-496D-8BDB-27E440549359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1B54-4E04-BB84-F9AEDB879051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EFFC!$B$243:$H$243</c15:sqref>
                  </c15:fullRef>
                </c:ext>
              </c:extLst>
              <c:f>(EFFC!$B$243:$C$243,EFFC!$E$243:$F$243,EFFC!$H$243)</c:f>
              <c:strCache>
                <c:ptCount val="5"/>
                <c:pt idx="0">
                  <c:v>Materials</c:v>
                </c:pt>
                <c:pt idx="1">
                  <c:v>Energy</c:v>
                </c:pt>
                <c:pt idx="2">
                  <c:v>Freight</c:v>
                </c:pt>
                <c:pt idx="3">
                  <c:v>Mob/Demob</c:v>
                </c:pt>
                <c:pt idx="4">
                  <c:v>Assets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EFFC!$B$244:$H$244</c15:sqref>
                  </c15:fullRef>
                </c:ext>
              </c:extLst>
              <c:f>(EFFC!$B$244:$C$244,EFFC!$E$244:$F$244,EFFC!$H$244)</c:f>
              <c:numCache>
                <c:formatCode>0</c:formatCode>
                <c:ptCount val="5"/>
                <c:pt idx="0">
                  <c:v>801.74895200000026</c:v>
                </c:pt>
                <c:pt idx="1">
                  <c:v>57.959775000000008</c:v>
                </c:pt>
                <c:pt idx="2">
                  <c:v>71.118799999999993</c:v>
                </c:pt>
                <c:pt idx="3">
                  <c:v>7.7</c:v>
                </c:pt>
                <c:pt idx="4">
                  <c:v>22.553700150000001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0-1B54-4E04-BB84-F9AEDB8790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8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MIP+LWS</a:t>
            </a:r>
          </a:p>
        </c:rich>
      </c:tx>
      <c:layout>
        <c:manualLayout>
          <c:xMode val="edge"/>
          <c:yMode val="edge"/>
          <c:x val="0.4460701935327307"/>
          <c:y val="2.41841833489475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EFFC!$A$246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91-482A-A1E4-7D2D5A598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91-482A-A1E4-7D2D5A598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91-482A-A1E4-7D2D5A598E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91-482A-A1E4-7D2D5A598E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91-482A-A1E4-7D2D5A598E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91-482A-A1E4-7D2D5A598E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91-482A-A1E4-7D2D5A598E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91-482A-A1E4-7D2D5A598EB6}"/>
              </c:ext>
            </c:extLst>
          </c:dPt>
          <c:dLbls>
            <c:dLbl>
              <c:idx val="0"/>
              <c:layout>
                <c:manualLayout>
                  <c:x val="5.2163712903063701E-2"/>
                  <c:y val="-6.4543409346558958E-2"/>
                </c:manualLayout>
              </c:layout>
              <c:tx>
                <c:rich>
                  <a:bodyPr/>
                  <a:lstStyle/>
                  <a:p>
                    <a:fld id="{020B8644-20B9-4880-AA7E-6A494D55DAD1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8F3B518E-E568-4FA6-85B6-E56DDBDC5F43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F75019A1-5D74-40CA-8267-C40EA5E631FD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B91-482A-A1E4-7D2D5A598EB6}"/>
                </c:ext>
              </c:extLst>
            </c:dLbl>
            <c:dLbl>
              <c:idx val="1"/>
              <c:layout>
                <c:manualLayout>
                  <c:x val="-1.2469008488069906E-2"/>
                  <c:y val="1.1367897194668849E-4"/>
                </c:manualLayout>
              </c:layout>
              <c:tx>
                <c:rich>
                  <a:bodyPr/>
                  <a:lstStyle/>
                  <a:p>
                    <a:fld id="{7E1650BE-457E-4FA0-8E1A-EA73F8EB2807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F0AC9927-7F9F-4B93-9B33-E70B8C4D26E4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D16C65B2-D8BD-4FDC-A58F-B47274E1B79F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B91-482A-A1E4-7D2D5A598EB6}"/>
                </c:ext>
              </c:extLst>
            </c:dLbl>
            <c:dLbl>
              <c:idx val="2"/>
              <c:layout>
                <c:manualLayout>
                  <c:x val="-3.5363266025303076E-2"/>
                  <c:y val="1.0624978695844837E-2"/>
                </c:manualLayout>
              </c:layout>
              <c:tx>
                <c:rich>
                  <a:bodyPr/>
                  <a:lstStyle/>
                  <a:p>
                    <a:fld id="{4814E840-32E6-45FD-9165-6CE18F0411F3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1D2201E8-1D91-416C-8876-A2A63A44376F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05B3923D-98C2-4D8A-9A89-BECF49CB98C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91-482A-A1E4-7D2D5A598EB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48A28A-9C9E-4D5B-A5EB-8A37598A0656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FC4C2D43-E40F-4C8C-A141-C5C22FD17DAE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90052285-F163-4603-92D1-89F1FF9F4AAF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B91-482A-A1E4-7D2D5A598EB6}"/>
                </c:ext>
              </c:extLst>
            </c:dLbl>
            <c:dLbl>
              <c:idx val="4"/>
              <c:layout>
                <c:manualLayout>
                  <c:x val="-4.4209430533381215E-2"/>
                  <c:y val="-3.3845996523161878E-2"/>
                </c:manualLayout>
              </c:layout>
              <c:tx>
                <c:rich>
                  <a:bodyPr/>
                  <a:lstStyle/>
                  <a:p>
                    <a:fld id="{B8D20890-989B-480E-83ED-8DDE55139D9B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E70EAE2E-CDB3-46A1-91F7-088FB58FD024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6A2658ED-EAF3-4DF3-ADA0-3EDE4E4A4E0D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B91-482A-A1E4-7D2D5A598EB6}"/>
                </c:ext>
              </c:extLst>
            </c:dLbl>
            <c:dLbl>
              <c:idx val="6"/>
              <c:layout>
                <c:manualLayout>
                  <c:x val="-7.7930195476109496E-3"/>
                  <c:y val="1.0952040085898355E-3"/>
                </c:manualLayout>
              </c:layout>
              <c:tx>
                <c:rich>
                  <a:bodyPr/>
                  <a:lstStyle/>
                  <a:p>
                    <a:fld id="{28DE8A90-5437-43B6-A188-BAE9B80819BF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A8C60A0F-8785-41C8-BE6E-BF15524DBCB2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62144B89-12D7-4CA9-B3DB-0663A8322B97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2B91-482A-A1E4-7D2D5A598EB6}"/>
                </c:ext>
              </c:extLst>
            </c:dLbl>
            <c:dLbl>
              <c:idx val="7"/>
              <c:layout>
                <c:manualLayout>
                  <c:x val="0.1827344478526792"/>
                  <c:y val="8.341854995398303E-3"/>
                </c:manualLayout>
              </c:layout>
              <c:tx>
                <c:rich>
                  <a:bodyPr/>
                  <a:lstStyle/>
                  <a:p>
                    <a:fld id="{814E21C9-9BF5-4CAF-B668-A565B46CDF75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8D107784-A738-4C54-B9C1-A9B7C214DC07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84F59B12-B0F3-495E-AB43-6F12085301AF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2B91-482A-A1E4-7D2D5A598EB6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EFFC!$B$243:$H$243</c15:sqref>
                  </c15:fullRef>
                </c:ext>
              </c:extLst>
              <c:f>(EFFC!$B$243:$C$243,EFFC!$E$243:$F$243,EFFC!$H$243)</c:f>
              <c:strCache>
                <c:ptCount val="5"/>
                <c:pt idx="0">
                  <c:v>Materials</c:v>
                </c:pt>
                <c:pt idx="1">
                  <c:v>Energy</c:v>
                </c:pt>
                <c:pt idx="2">
                  <c:v>Freight</c:v>
                </c:pt>
                <c:pt idx="3">
                  <c:v>Mob/Demob</c:v>
                </c:pt>
                <c:pt idx="4">
                  <c:v>Assets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EFFC!$B$246:$H$246</c15:sqref>
                  </c15:fullRef>
                </c:ext>
              </c:extLst>
              <c:f>(EFFC!$B$246:$C$246,EFFC!$E$246:$F$246,EFFC!$H$246)</c:f>
              <c:numCache>
                <c:formatCode>0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EFFC!$D$246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2B91-482A-A1E4-7D2D5A598E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8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084951477524675"/>
          <c:y val="0.14578653476304579"/>
          <c:w val="0.37992508223037325"/>
          <c:h val="0.72285909888005306"/>
        </c:manualLayout>
      </c:layout>
      <c:barChart>
        <c:barDir val="col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EFFC!$C$259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D-4F82-9683-56D8AEFEAA70}"/>
            </c:ext>
          </c:extLst>
        </c:ser>
        <c:ser>
          <c:idx val="0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4.01159889065076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AD-4F82-9683-56D8AEFEAA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EFFC!$B$259:$B$263</c:f>
              <c:numCache>
                <c:formatCode>General</c:formatCode>
                <c:ptCount val="5"/>
              </c:numCache>
            </c:numRef>
          </c:cat>
          <c:val>
            <c:numRef>
              <c:f>EFFC!$C$260</c:f>
              <c:numCache>
                <c:formatCode>0</c:formatCode>
                <c:ptCount val="1"/>
                <c:pt idx="0">
                  <c:v>991.80302715000028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D-4F82-9683-56D8AEFEAA70}"/>
            </c:ext>
          </c:extLst>
        </c:ser>
        <c:ser>
          <c:idx val="1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87500983268404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AD-4F82-9683-56D8AEFEAA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EFFC!$C$261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AD-4F82-9683-56D8AEFEAA70}"/>
            </c:ext>
          </c:extLst>
        </c:ser>
        <c:ser>
          <c:idx val="2"/>
          <c:order val="3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114276417745657E-2"/>
                  <c:y val="1.1950023424371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AD-4F82-9683-56D8AEFEAA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EFFC!$C$262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AD-4F82-9683-56D8AEFEAA7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EFFC!$C$263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AD-4F82-9683-56D8AEFEA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68180224"/>
        <c:axId val="468174648"/>
      </c:barChart>
      <c:catAx>
        <c:axId val="46818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>
                    <a:solidFill>
                      <a:srgbClr val="002060"/>
                    </a:solidFill>
                  </a:rPr>
                  <a:t>Total</a:t>
                </a:r>
              </a:p>
            </c:rich>
          </c:tx>
          <c:layout>
            <c:manualLayout>
              <c:xMode val="edge"/>
              <c:yMode val="edge"/>
              <c:x val="0.4971657481793037"/>
              <c:y val="0.885049806998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174648"/>
        <c:crosses val="autoZero"/>
        <c:auto val="1"/>
        <c:lblAlgn val="ctr"/>
        <c:lblOffset val="100"/>
        <c:noMultiLvlLbl val="0"/>
      </c:catAx>
      <c:valAx>
        <c:axId val="4681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>
                    <a:solidFill>
                      <a:srgbClr val="002060"/>
                    </a:solidFill>
                  </a:rPr>
                  <a:t>tCO</a:t>
                </a:r>
                <a:r>
                  <a:rPr lang="de-DE" sz="1000" baseline="-25000">
                    <a:solidFill>
                      <a:srgbClr val="002060"/>
                    </a:solidFill>
                  </a:rPr>
                  <a:t>2e</a:t>
                </a:r>
                <a:endParaRPr lang="de-DE" sz="1000">
                  <a:solidFill>
                    <a:srgbClr val="002060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58690289546819"/>
              <c:y val="0.44437291129593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18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BPW+UWS</a:t>
            </a:r>
          </a:p>
        </c:rich>
      </c:tx>
      <c:layout>
        <c:manualLayout>
          <c:xMode val="edge"/>
          <c:yMode val="edge"/>
          <c:x val="0.4460701935327307"/>
          <c:y val="2.41841833489475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'Calculations MIP-VW'!$A$240</c:f>
              <c:strCache>
                <c:ptCount val="1"/>
                <c:pt idx="0">
                  <c:v>PfW88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B7-4E6F-B581-2215E49239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B7-4E6F-B581-2215E49239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B7-4E6F-B581-2215E49239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B7-4E6F-B581-2215E49239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B7-4E6F-B581-2215E49239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B7-4E6F-B581-2215E49239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6B7-4E6F-B581-2215E49239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6B7-4E6F-B581-2215E49239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6B7-4E6F-B581-2215E492398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6B7-4E6F-B581-2215E492398F}"/>
              </c:ext>
            </c:extLst>
          </c:dPt>
          <c:dLbls>
            <c:dLbl>
              <c:idx val="8"/>
              <c:layout>
                <c:manualLayout>
                  <c:x val="1.1023984307063844E-2"/>
                  <c:y val="-2.5222138352168208E-3"/>
                </c:manualLayout>
              </c:layout>
              <c:tx>
                <c:rich>
                  <a:bodyPr/>
                  <a:lstStyle/>
                  <a:p>
                    <a:fld id="{33BB2271-69FC-4AA2-8745-E17F7FCE5F61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75AFC088-5617-46D1-B7B8-D1DED96A4810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0CF9AD47-F40E-440D-8416-2900592DEE0D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E6B7-4E6F-B581-2215E492398F}"/>
                </c:ext>
              </c:extLst>
            </c:dLbl>
            <c:dLbl>
              <c:idx val="9"/>
              <c:layout>
                <c:manualLayout>
                  <c:x val="0.2630487761810002"/>
                  <c:y val="4.1053106997988871E-2"/>
                </c:manualLayout>
              </c:layout>
              <c:tx>
                <c:rich>
                  <a:bodyPr/>
                  <a:lstStyle/>
                  <a:p>
                    <a:fld id="{91311735-80D3-4DF6-AF31-A74E990FE99C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BF6A06AF-D344-49BC-8AA0-F78212E3FB22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9A2EBAFD-9F1C-496D-8BDB-27E440549359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E6B7-4E6F-B581-2215E492398F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'Calculations MIP-VW'!$B$240:$H$240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'Calculations MIP-VW'!$B$239:$H$239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E6B7-4E6F-B581-2215E49239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8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41762669678407E-2"/>
          <c:y val="0.14578653476304579"/>
          <c:w val="0.87784652249668116"/>
          <c:h val="0.72285909888005306"/>
        </c:manualLayout>
      </c:layout>
      <c:barChart>
        <c:barDir val="col"/>
        <c:grouping val="clustered"/>
        <c:varyColors val="0"/>
        <c:ser>
          <c:idx val="0"/>
          <c:order val="0"/>
          <c:tx>
            <c:v>BPW+UWS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4.3744607271593737E-3"/>
                  <c:y val="7.78392558076818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7C-4FB1-A664-303E5A532978}"/>
                </c:ext>
              </c:extLst>
            </c:dLbl>
            <c:dLbl>
              <c:idx val="6"/>
              <c:layout>
                <c:manualLayout>
                  <c:x val="-6.5616910907392205E-3"/>
                  <c:y val="7.78392558076818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7C-4FB1-A664-303E5A532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EFFC!$B$243:$I$243</c15:sqref>
                  </c15:fullRef>
                </c:ext>
              </c:extLst>
              <c:f>(EFFC!$B$243:$C$243,EFFC!$E$243:$I$243)</c:f>
              <c:strCache>
                <c:ptCount val="7"/>
                <c:pt idx="0">
                  <c:v>Materials</c:v>
                </c:pt>
                <c:pt idx="1">
                  <c:v>Energy</c:v>
                </c:pt>
                <c:pt idx="2">
                  <c:v>Freight</c:v>
                </c:pt>
                <c:pt idx="3">
                  <c:v>Mob/Demob</c:v>
                </c:pt>
                <c:pt idx="4">
                  <c:v>People's Transport</c:v>
                </c:pt>
                <c:pt idx="5">
                  <c:v>Assets</c:v>
                </c:pt>
                <c:pt idx="6">
                  <c:v>Waste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EFFC!$B$244:$I$244</c15:sqref>
                  </c15:fullRef>
                </c:ext>
              </c:extLst>
              <c:f>(EFFC!$B$244:$C$244,EFFC!$E$244:$I$244)</c:f>
              <c:numCache>
                <c:formatCode>0</c:formatCode>
                <c:ptCount val="7"/>
                <c:pt idx="0">
                  <c:v>801.74895200000026</c:v>
                </c:pt>
                <c:pt idx="1">
                  <c:v>57.959775000000008</c:v>
                </c:pt>
                <c:pt idx="2">
                  <c:v>71.118799999999993</c:v>
                </c:pt>
                <c:pt idx="3">
                  <c:v>7.7</c:v>
                </c:pt>
                <c:pt idx="4">
                  <c:v>2.0657999999999999</c:v>
                </c:pt>
                <c:pt idx="5">
                  <c:v>22.553700150000001</c:v>
                </c:pt>
                <c:pt idx="6">
                  <c:v>28.655999999999999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7C-4FB1-A664-303E5A532978}"/>
            </c:ext>
          </c:extLst>
        </c:ser>
        <c:ser>
          <c:idx val="1"/>
          <c:order val="1"/>
          <c:tx>
            <c:v>MIP+JG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936151817898433E-2"/>
                  <c:y val="-3.89196279038409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7C-4FB1-A664-303E5A532978}"/>
                </c:ext>
              </c:extLst>
            </c:dLbl>
            <c:dLbl>
              <c:idx val="6"/>
              <c:layout>
                <c:manualLayout>
                  <c:x val="0"/>
                  <c:y val="7.78392558076818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7C-4FB1-A664-303E5A532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EFFC!$B$243:$I$243</c15:sqref>
                  </c15:fullRef>
                </c:ext>
              </c:extLst>
              <c:f>(EFFC!$B$243:$C$243,EFFC!$E$243:$I$243)</c:f>
              <c:strCache>
                <c:ptCount val="7"/>
                <c:pt idx="0">
                  <c:v>Materials</c:v>
                </c:pt>
                <c:pt idx="1">
                  <c:v>Energy</c:v>
                </c:pt>
                <c:pt idx="2">
                  <c:v>Freight</c:v>
                </c:pt>
                <c:pt idx="3">
                  <c:v>Mob/Demob</c:v>
                </c:pt>
                <c:pt idx="4">
                  <c:v>People's Transport</c:v>
                </c:pt>
                <c:pt idx="5">
                  <c:v>Assets</c:v>
                </c:pt>
                <c:pt idx="6">
                  <c:v>Waste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EFFC!$B$245:$I$245</c15:sqref>
                  </c15:fullRef>
                </c:ext>
              </c:extLst>
              <c:f>(EFFC!$B$245:$C$245,EFFC!$E$245:$I$245)</c:f>
              <c:numCache>
                <c:formatCode>0</c:formatCode>
                <c:ptCount val="7"/>
                <c:pt idx="0">
                  <c:v>0</c:v>
                </c:pt>
                <c:pt idx="1">
                  <c:v>53.247320000000002</c:v>
                </c:pt>
                <c:pt idx="2">
                  <c:v>0</c:v>
                </c:pt>
                <c:pt idx="3">
                  <c:v>4.2160000000000002</c:v>
                </c:pt>
                <c:pt idx="4">
                  <c:v>1.5091999999999999</c:v>
                </c:pt>
                <c:pt idx="5">
                  <c:v>13.542108766666667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7C-4FB1-A664-303E5A532978}"/>
            </c:ext>
          </c:extLst>
        </c:ser>
        <c:ser>
          <c:idx val="2"/>
          <c:order val="2"/>
          <c:tx>
            <c:v>MIP+GEL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5616910907390401E-3"/>
                  <c:y val="-3.89196279038409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57C-4FB1-A664-303E5A532978}"/>
                </c:ext>
              </c:extLst>
            </c:dLbl>
            <c:dLbl>
              <c:idx val="1"/>
              <c:layout>
                <c:manualLayout>
                  <c:x val="4.3744607271593329E-3"/>
                  <c:y val="1.16758883711521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7C-4FB1-A664-303E5A532978}"/>
                </c:ext>
              </c:extLst>
            </c:dLbl>
            <c:dLbl>
              <c:idx val="6"/>
              <c:layout>
                <c:manualLayout>
                  <c:x val="2.1872303635796868E-3"/>
                  <c:y val="7.78392558076818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57C-4FB1-A664-303E5A532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EFFC!$B$243:$I$243</c15:sqref>
                  </c15:fullRef>
                </c:ext>
              </c:extLst>
              <c:f>(EFFC!$B$243:$C$243,EFFC!$E$243:$I$243)</c:f>
              <c:strCache>
                <c:ptCount val="7"/>
                <c:pt idx="0">
                  <c:v>Materials</c:v>
                </c:pt>
                <c:pt idx="1">
                  <c:v>Energy</c:v>
                </c:pt>
                <c:pt idx="2">
                  <c:v>Freight</c:v>
                </c:pt>
                <c:pt idx="3">
                  <c:v>Mob/Demob</c:v>
                </c:pt>
                <c:pt idx="4">
                  <c:v>People's Transport</c:v>
                </c:pt>
                <c:pt idx="5">
                  <c:v>Assets</c:v>
                </c:pt>
                <c:pt idx="6">
                  <c:v>Waste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EFFC!$B$246:$I$246</c15:sqref>
                  </c15:fullRef>
                </c:ext>
              </c:extLst>
              <c:f>(EFFC!$B$246:$C$246,EFFC!$E$246:$I$246)</c:f>
              <c:numCache>
                <c:formatCode>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9-557C-4FB1-A664-303E5A53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468180224"/>
        <c:axId val="468174648"/>
      </c:barChart>
      <c:catAx>
        <c:axId val="4681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174648"/>
        <c:crosses val="autoZero"/>
        <c:auto val="1"/>
        <c:lblAlgn val="ctr"/>
        <c:lblOffset val="100"/>
        <c:noMultiLvlLbl val="0"/>
      </c:catAx>
      <c:valAx>
        <c:axId val="468174648"/>
        <c:scaling>
          <c:orientation val="minMax"/>
          <c:max val="7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681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269690201363523E-2"/>
          <c:y val="3.4864783281929254E-2"/>
          <c:w val="0.66914062936744179"/>
          <c:h val="9.2698200621956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CO2-Äquivalent Fußabdruck Brechnung - BV München Kistlerhofstr. 140</a:t>
            </a:r>
          </a:p>
        </c:rich>
      </c:tx>
      <c:layout>
        <c:manualLayout>
          <c:xMode val="edge"/>
          <c:yMode val="edge"/>
          <c:x val="0.25337684760429652"/>
          <c:y val="1.5743929001158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'EFFC (2)'!$B$235</c:f>
              <c:strCache>
                <c:ptCount val="1"/>
                <c:pt idx="0">
                  <c:v>Baumaterialien - Herstellung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97C0B10-8D6A-4F34-A78F-E59CA1D5F1D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BD3-4CFF-B1D4-A9DECA8E0A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B00216-98CB-41FE-8999-EAC2590FA0B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BD3-4CFF-B1D4-A9DECA8E0A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'EFFC (2)'!$A$236:$A$238</c15:sqref>
                  </c15:fullRef>
                </c:ext>
              </c:extLst>
              <c:f>'EFFC (2)'!$A$236:$A$237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'EFFC (2)'!$B$236:$B$238</c15:sqref>
                  </c15:fullRef>
                </c:ext>
              </c:extLst>
              <c:f>'EFFC (2)'!$B$236:$B$237</c:f>
              <c:numCache>
                <c:formatCode>0</c:formatCode>
                <c:ptCount val="2"/>
                <c:pt idx="0">
                  <c:v>919.18316847999995</c:v>
                </c:pt>
                <c:pt idx="1">
                  <c:v>566.82168000000001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'EFFC (2)'!$B$240:$B$242</c15:f>
                <c15:dlblRangeCache>
                  <c:ptCount val="3"/>
                  <c:pt idx="0">
                    <c:v>85,1%</c:v>
                  </c:pt>
                  <c:pt idx="1">
                    <c:v>86,1%</c:v>
                  </c:pt>
                  <c:pt idx="2">
                    <c:v>#DIV/0!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'EFFC (2)'!$B$238</c15:sqref>
                  <c15:dLbl>
                    <c:idx val="1"/>
                    <c:tx>
                      <c:rich>
                        <a:bodyPr/>
                        <a:lstStyle/>
                        <a:p>
                          <a:endParaRPr lang="de-DE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0-E851-4D34-B0B5-A76245BC32B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3-4BD3-4CFF-B1D4-A9DECA8E0AC3}"/>
            </c:ext>
          </c:extLst>
        </c:ser>
        <c:ser>
          <c:idx val="6"/>
          <c:order val="1"/>
          <c:tx>
            <c:strRef>
              <c:f>'EFFC (2)'!$C$235</c:f>
              <c:strCache>
                <c:ptCount val="1"/>
                <c:pt idx="0">
                  <c:v>Energie (Kraftstoff und Strom)</c:v>
                </c:pt>
              </c:strCache>
              <c:extLst xmlns:c15="http://schemas.microsoft.com/office/drawing/2012/chart"/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23D705F-53A4-4D0D-92AB-C83A2602B03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BD3-4CFF-B1D4-A9DECA8E0AC3}"/>
                </c:ext>
              </c:extLst>
            </c:dLbl>
            <c:dLbl>
              <c:idx val="1"/>
              <c:layout>
                <c:manualLayout>
                  <c:x val="-2.2047838806299985E-2"/>
                  <c:y val="-3.3914585000308507E-2"/>
                </c:manualLayout>
              </c:layout>
              <c:tx>
                <c:rich>
                  <a:bodyPr/>
                  <a:lstStyle/>
                  <a:p>
                    <a:fld id="{2695204D-D405-47F1-AEE4-026DB48A12C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BD3-4CFF-B1D4-A9DECA8E0A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'EFFC (2)'!$A$236:$A$238</c15:sqref>
                  </c15:fullRef>
                </c:ext>
              </c:extLst>
              <c:f>'EFFC (2)'!$A$236:$A$237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'EFFC (2)'!$C$236:$C$238</c15:sqref>
                  </c15:fullRef>
                </c:ext>
              </c:extLst>
              <c:f>'EFFC (2)'!$C$236:$C$237</c:f>
              <c:numCache>
                <c:formatCode>0</c:formatCode>
                <c:ptCount val="2"/>
                <c:pt idx="0">
                  <c:v>57.959775000000008</c:v>
                </c:pt>
                <c:pt idx="1">
                  <c:v>56.510258823529412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datalabelsRange>
                <c15:f>'EFFC (2)'!$C$240:$C$242</c15:f>
                <c15:dlblRangeCache>
                  <c:ptCount val="3"/>
                  <c:pt idx="0">
                    <c:v>5,4%</c:v>
                  </c:pt>
                  <c:pt idx="1">
                    <c:v>8,6%</c:v>
                  </c:pt>
                  <c:pt idx="2">
                    <c:v>#DIV/0!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'EFFC (2)'!$C$238</c15:sqref>
                  <c15:dLbl>
                    <c:idx val="1"/>
                    <c:tx>
                      <c:rich>
                        <a:bodyPr/>
                        <a:lstStyle/>
                        <a:p>
                          <a:endParaRPr lang="de-DE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1-E851-4D34-B0B5-A76245BC32B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3-4BD3-4CFF-B1D4-A9DECA8E0AC3}"/>
            </c:ext>
          </c:extLst>
        </c:ser>
        <c:ser>
          <c:idx val="1"/>
          <c:order val="2"/>
          <c:tx>
            <c:strRef>
              <c:f>'EFFC (2)'!$E$235</c:f>
              <c:strCache>
                <c:ptCount val="1"/>
                <c:pt idx="0">
                  <c:v>Transport von Baumaterial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125AA86-36D7-4BF7-B16D-65162BB3436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BD3-4CFF-B1D4-A9DECA8E0AC3}"/>
                </c:ext>
              </c:extLst>
            </c:dLbl>
            <c:dLbl>
              <c:idx val="1"/>
              <c:layout>
                <c:manualLayout>
                  <c:x val="-7.6230604581670997E-2"/>
                  <c:y val="-1.7421351855751207E-3"/>
                </c:manualLayout>
              </c:layout>
              <c:tx>
                <c:rich>
                  <a:bodyPr/>
                  <a:lstStyle/>
                  <a:p>
                    <a:fld id="{D4723980-4D5E-496C-B104-CC15C56D606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BD3-4CFF-B1D4-A9DECA8E0A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'EFFC (2)'!$A$236:$A$238</c15:sqref>
                  </c15:fullRef>
                </c:ext>
              </c:extLst>
              <c:f>'EFFC (2)'!$A$236:$A$237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'EFFC (2)'!$E$236:$E$238</c15:sqref>
                  </c15:fullRef>
                </c:ext>
              </c:extLst>
              <c:f>'EFFC (2)'!$E$236:$E$237</c:f>
              <c:numCache>
                <c:formatCode>0</c:formatCode>
                <c:ptCount val="2"/>
                <c:pt idx="0">
                  <c:v>71.118799999999993</c:v>
                </c:pt>
                <c:pt idx="1">
                  <c:v>13.7204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'EFFC (2)'!$E$240:$E$242</c15:f>
                <c15:dlblRangeCache>
                  <c:ptCount val="3"/>
                  <c:pt idx="0">
                    <c:v>6,6%</c:v>
                  </c:pt>
                  <c:pt idx="1">
                    <c:v>2,1%</c:v>
                  </c:pt>
                  <c:pt idx="2">
                    <c:v>#DIV/0!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'EFFC (2)'!$E$238</c15:sqref>
                  <c15:dLbl>
                    <c:idx val="1"/>
                    <c:layout>
                      <c:manualLayout>
                        <c:x val="-7.6230604581671094E-2"/>
                        <c:y val="0"/>
                      </c:manualLayout>
                    </c:layout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2-E851-4D34-B0B5-A76245BC32B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7-4BD3-4CFF-B1D4-A9DECA8E0AC3}"/>
            </c:ext>
          </c:extLst>
        </c:ser>
        <c:ser>
          <c:idx val="8"/>
          <c:order val="3"/>
          <c:tx>
            <c:strRef>
              <c:f>'EFFC (2)'!$F$235</c:f>
              <c:strCache>
                <c:ptCount val="1"/>
                <c:pt idx="0">
                  <c:v>Mobilisierung/Demobilisierung Baustelle</c:v>
                </c:pt>
              </c:strCache>
              <c:extLst xmlns:c15="http://schemas.microsoft.com/office/drawing/2012/chart"/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2072298522192439"/>
                  <c:y val="-1.7849781579109741E-2"/>
                </c:manualLayout>
              </c:layout>
              <c:tx>
                <c:rich>
                  <a:bodyPr/>
                  <a:lstStyle/>
                  <a:p>
                    <a:fld id="{8ADA2C78-EC70-4A76-A8A2-2E2C946D9BB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BD3-4CFF-B1D4-A9DECA8E0AC3}"/>
                </c:ext>
              </c:extLst>
            </c:dLbl>
            <c:dLbl>
              <c:idx val="1"/>
              <c:layout>
                <c:manualLayout>
                  <c:x val="0.12714095828332808"/>
                  <c:y val="-2.4986039924761061E-2"/>
                </c:manualLayout>
              </c:layout>
              <c:tx>
                <c:rich>
                  <a:bodyPr/>
                  <a:lstStyle/>
                  <a:p>
                    <a:fld id="{277A8E54-20EE-4A58-ACA5-E1CDF89ED3C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BD3-4CFF-B1D4-A9DECA8E0A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'EFFC (2)'!$A$236:$A$238</c15:sqref>
                  </c15:fullRef>
                </c:ext>
              </c:extLst>
              <c:f>'EFFC (2)'!$A$236:$A$237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'EFFC (2)'!$F$236:$F$238</c15:sqref>
                  </c15:fullRef>
                </c:ext>
              </c:extLst>
              <c:f>'EFFC (2)'!$F$236:$F$237</c:f>
              <c:numCache>
                <c:formatCode>0.0</c:formatCode>
                <c:ptCount val="2"/>
                <c:pt idx="0">
                  <c:v>7.7</c:v>
                </c:pt>
                <c:pt idx="1">
                  <c:v>5.9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datalabelsRange>
                <c15:f>'EFFC (2)'!$F$240:$F$242</c15:f>
                <c15:dlblRangeCache>
                  <c:ptCount val="3"/>
                  <c:pt idx="0">
                    <c:v>0,7%</c:v>
                  </c:pt>
                  <c:pt idx="1">
                    <c:v>0,9%</c:v>
                  </c:pt>
                  <c:pt idx="2">
                    <c:v>#DIV/0!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'EFFC (2)'!$F$238</c15:sqref>
                  <c15:dLbl>
                    <c:idx val="1"/>
                    <c:layout>
                      <c:manualLayout>
                        <c:x val="9.1360117985434572E-2"/>
                        <c:y val="1.7885998868252203E-3"/>
                      </c:manualLayout>
                    </c:layout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3-E851-4D34-B0B5-A76245BC32B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7-4BD3-4CFF-B1D4-A9DECA8E0AC3}"/>
            </c:ext>
          </c:extLst>
        </c:ser>
        <c:ser>
          <c:idx val="9"/>
          <c:order val="4"/>
          <c:tx>
            <c:strRef>
              <c:f>'EFFC (2)'!$G$235</c:f>
              <c:strCache>
                <c:ptCount val="1"/>
                <c:pt idx="0">
                  <c:v>Transport von Personen</c:v>
                </c:pt>
              </c:strCache>
              <c:extLst xmlns:c15="http://schemas.microsoft.com/office/drawing/2012/chart"/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'EFFC (2)'!$A$236:$A$238</c15:sqref>
                  </c15:fullRef>
                </c:ext>
              </c:extLst>
              <c:f>'EFFC (2)'!$A$236:$A$237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'EFFC (2)'!$G$236:$G$238</c15:sqref>
                  </c15:fullRef>
                </c:ext>
              </c:extLst>
              <c:f>'EFFC (2)'!$G$236:$G$237</c:f>
              <c:numCache>
                <c:formatCode>0.000</c:formatCode>
                <c:ptCount val="2"/>
                <c:pt idx="0">
                  <c:v>2.0657999999999999</c:v>
                </c:pt>
                <c:pt idx="1">
                  <c:v>1.6948235294117646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4BD3-4CFF-B1D4-A9DECA8E0AC3}"/>
            </c:ext>
          </c:extLst>
        </c:ser>
        <c:ser>
          <c:idx val="4"/>
          <c:order val="5"/>
          <c:tx>
            <c:strRef>
              <c:f>'EFFC (2)'!$H$235</c:f>
              <c:strCache>
                <c:ptCount val="1"/>
                <c:pt idx="0">
                  <c:v>Produktion von Ausrüstung (Assets)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8905362637168228E-2"/>
                  <c:y val="0"/>
                </c:manualLayout>
              </c:layout>
              <c:tx>
                <c:rich>
                  <a:bodyPr/>
                  <a:lstStyle/>
                  <a:p>
                    <a:fld id="{2A66CDA1-612F-475D-A2E2-71E4E64DE98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BD3-4CFF-B1D4-A9DECA8E0AC3}"/>
                </c:ext>
              </c:extLst>
            </c:dLbl>
            <c:dLbl>
              <c:idx val="1"/>
              <c:layout>
                <c:manualLayout>
                  <c:x val="7.7567983609419619E-2"/>
                  <c:y val="0"/>
                </c:manualLayout>
              </c:layout>
              <c:tx>
                <c:rich>
                  <a:bodyPr/>
                  <a:lstStyle/>
                  <a:p>
                    <a:fld id="{7F606EEC-2699-4C2C-94F2-A9A1536179E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BD3-4CFF-B1D4-A9DECA8E0A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'EFFC (2)'!$A$236:$A$238</c15:sqref>
                  </c15:fullRef>
                </c:ext>
              </c:extLst>
              <c:f>'EFFC (2)'!$A$236:$A$237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'EFFC (2)'!$H$236:$H$238</c15:sqref>
                  </c15:fullRef>
                </c:ext>
              </c:extLst>
              <c:f>'EFFC (2)'!$H$236:$H$237</c:f>
              <c:numCache>
                <c:formatCode>0</c:formatCode>
                <c:ptCount val="2"/>
                <c:pt idx="0">
                  <c:v>22.553700150000001</c:v>
                </c:pt>
                <c:pt idx="1">
                  <c:v>13.317681176470586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datalabelsRange>
                <c15:f>'EFFC (2)'!$H$240:$H$242</c15:f>
                <c15:dlblRangeCache>
                  <c:ptCount val="3"/>
                  <c:pt idx="0">
                    <c:v>2,1%</c:v>
                  </c:pt>
                  <c:pt idx="1">
                    <c:v>2,0%</c:v>
                  </c:pt>
                  <c:pt idx="2">
                    <c:v>#DIV/0!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'EFFC (2)'!$H$238</c15:sqref>
                  <c15:dLbl>
                    <c:idx val="1"/>
                    <c:layout>
                      <c:manualLayout>
                        <c:x val="7.7567983609419619E-2"/>
                        <c:y val="-1.2775510443764061E-16"/>
                      </c:manualLayout>
                    </c:layout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4-E851-4D34-B0B5-A76245BC32B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F-4BD3-4CFF-B1D4-A9DECA8E0AC3}"/>
            </c:ext>
          </c:extLst>
        </c:ser>
        <c:ser>
          <c:idx val="3"/>
          <c:order val="6"/>
          <c:tx>
            <c:strRef>
              <c:f>'EFFC (2)'!$I$235</c:f>
              <c:strCache>
                <c:ptCount val="1"/>
                <c:pt idx="0">
                  <c:v>Transport von Erdreich/Abfall (Entsorgung)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2592F29-7FF2-4E4F-ABDD-160C4D9DC99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BD3-4CFF-B1D4-A9DECA8E0AC3}"/>
                </c:ext>
              </c:extLst>
            </c:dLbl>
            <c:dLbl>
              <c:idx val="1"/>
              <c:layout>
                <c:manualLayout>
                  <c:x val="-3.1126357489075236E-2"/>
                  <c:y val="-1.9634759737020713E-2"/>
                </c:manualLayout>
              </c:layout>
              <c:tx>
                <c:rich>
                  <a:bodyPr/>
                  <a:lstStyle/>
                  <a:p>
                    <a:fld id="{C73E7F5A-68B8-402D-A2E5-D382A081E33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BD3-4CFF-B1D4-A9DECA8E0A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'EFFC (2)'!$A$236:$A$238</c15:sqref>
                  </c15:fullRef>
                </c:ext>
              </c:extLst>
              <c:f>'EFFC (2)'!$A$236:$A$237</c:f>
              <c:strCache>
                <c:ptCount val="2"/>
                <c:pt idx="0">
                  <c:v>PfW88</c:v>
                </c:pt>
                <c:pt idx="1">
                  <c:v>MIP55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'EFFC (2)'!$I$236:$I$238</c15:sqref>
                  </c15:fullRef>
                </c:ext>
              </c:extLst>
              <c:f>'EFFC (2)'!$I$236:$I$237</c:f>
              <c:numCache>
                <c:formatCode>0</c:formatCode>
                <c:ptCount val="2"/>
                <c:pt idx="0">
                  <c:v>28.655999999999999</c:v>
                </c:pt>
                <c:pt idx="1">
                  <c:v>5.76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'EFFC (2)'!$I$240:$I$242</c15:f>
                <c15:dlblRangeCache>
                  <c:ptCount val="3"/>
                  <c:pt idx="0">
                    <c:v>2,7%</c:v>
                  </c:pt>
                  <c:pt idx="1">
                    <c:v>0,9%</c:v>
                  </c:pt>
                  <c:pt idx="2">
                    <c:v>#DIV/0!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'EFFC (2)'!$I$238</c15:sqref>
                  <c15:dLbl>
                    <c:idx val="1"/>
                    <c:tx>
                      <c:rich>
                        <a:bodyPr/>
                        <a:lstStyle/>
                        <a:p>
                          <a:endParaRPr lang="de-DE"/>
                        </a:p>
                      </c:rich>
                    </c:tx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5-E851-4D34-B0B5-A76245BC32B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B-4BD3-4CFF-B1D4-A9DECA8E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459144"/>
        <c:axId val="448459472"/>
        <c:extLst/>
      </c:barChart>
      <c:catAx>
        <c:axId val="4484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48459472"/>
        <c:crosses val="autoZero"/>
        <c:auto val="1"/>
        <c:lblAlgn val="ctr"/>
        <c:lblOffset val="100"/>
        <c:noMultiLvlLbl val="0"/>
      </c:catAx>
      <c:valAx>
        <c:axId val="4484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t CO2eq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4845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131342608061973E-2"/>
          <c:y val="0.89755560593472916"/>
          <c:w val="0.96962810947001021"/>
          <c:h val="8.816456880198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8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'EFFC (2)'!$O$117</c:f>
              <c:strCache>
                <c:ptCount val="1"/>
                <c:pt idx="0">
                  <c:v>BPW+UWS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'EFFC (2)'!$P$116:$S$116</c:f>
              <c:strCache>
                <c:ptCount val="4"/>
                <c:pt idx="0">
                  <c:v>10/150</c:v>
                </c:pt>
                <c:pt idx="1">
                  <c:v>20/300</c:v>
                </c:pt>
                <c:pt idx="2">
                  <c:v>30/450</c:v>
                </c:pt>
                <c:pt idx="3">
                  <c:v>40/600</c:v>
                </c:pt>
              </c:strCache>
            </c:strRef>
          </c:cat>
          <c:val>
            <c:numRef>
              <c:f>'EFFC (2)'!$P$117:$S$117</c:f>
              <c:numCache>
                <c:formatCode>General</c:formatCode>
                <c:ptCount val="4"/>
                <c:pt idx="0">
                  <c:v>5826.5</c:v>
                </c:pt>
                <c:pt idx="1">
                  <c:v>6258</c:v>
                </c:pt>
                <c:pt idx="2">
                  <c:v>6689.5</c:v>
                </c:pt>
                <c:pt idx="3">
                  <c:v>7121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6-4D8C-9877-228CB0087A79}"/>
            </c:ext>
          </c:extLst>
        </c:ser>
        <c:ser>
          <c:idx val="1"/>
          <c:order val="1"/>
          <c:tx>
            <c:strRef>
              <c:f>'EFFC (2)'!$O$118</c:f>
              <c:strCache>
                <c:ptCount val="1"/>
                <c:pt idx="0">
                  <c:v>MIP+HDI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'EFFC (2)'!$P$116:$S$116</c:f>
              <c:strCache>
                <c:ptCount val="4"/>
                <c:pt idx="0">
                  <c:v>10/150</c:v>
                </c:pt>
                <c:pt idx="1">
                  <c:v>20/300</c:v>
                </c:pt>
                <c:pt idx="2">
                  <c:v>30/450</c:v>
                </c:pt>
                <c:pt idx="3">
                  <c:v>40/600</c:v>
                </c:pt>
              </c:strCache>
            </c:strRef>
          </c:cat>
          <c:val>
            <c:numRef>
              <c:f>'EFFC (2)'!$P$118:$S$118</c:f>
              <c:numCache>
                <c:formatCode>General</c:formatCode>
                <c:ptCount val="4"/>
                <c:pt idx="0">
                  <c:v>4184</c:v>
                </c:pt>
                <c:pt idx="1">
                  <c:v>4452</c:v>
                </c:pt>
                <c:pt idx="2">
                  <c:v>4720</c:v>
                </c:pt>
                <c:pt idx="3">
                  <c:v>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6-4D8C-9877-228CB0087A79}"/>
            </c:ext>
          </c:extLst>
        </c:ser>
        <c:ser>
          <c:idx val="2"/>
          <c:order val="2"/>
          <c:tx>
            <c:strRef>
              <c:f>'EFFC (2)'!$O$119</c:f>
              <c:strCache>
                <c:ptCount val="1"/>
                <c:pt idx="0">
                  <c:v>MIP+LWS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'EFFC (2)'!$P$116:$S$116</c:f>
              <c:strCache>
                <c:ptCount val="4"/>
                <c:pt idx="0">
                  <c:v>10/150</c:v>
                </c:pt>
                <c:pt idx="1">
                  <c:v>20/300</c:v>
                </c:pt>
                <c:pt idx="2">
                  <c:v>30/450</c:v>
                </c:pt>
                <c:pt idx="3">
                  <c:v>40/600</c:v>
                </c:pt>
              </c:strCache>
            </c:strRef>
          </c:cat>
          <c:val>
            <c:numRef>
              <c:f>'EFFC (2)'!$P$119:$S$119</c:f>
              <c:numCache>
                <c:formatCode>General</c:formatCode>
                <c:ptCount val="4"/>
                <c:pt idx="0">
                  <c:v>3312.5</c:v>
                </c:pt>
                <c:pt idx="1">
                  <c:v>3555</c:v>
                </c:pt>
                <c:pt idx="2">
                  <c:v>3797.5</c:v>
                </c:pt>
                <c:pt idx="3">
                  <c:v>3312.5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6-4D8C-9877-228CB0087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01048"/>
        <c:axId val="599099736"/>
      </c:lineChart>
      <c:catAx>
        <c:axId val="59910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099736"/>
        <c:crosses val="autoZero"/>
        <c:auto val="1"/>
        <c:lblAlgn val="ctr"/>
        <c:lblOffset val="100"/>
        <c:noMultiLvlLbl val="0"/>
      </c:catAx>
      <c:valAx>
        <c:axId val="5990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10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der Methoden nach EFFC</a:t>
            </a:r>
          </a:p>
        </c:rich>
      </c:tx>
      <c:layout>
        <c:manualLayout>
          <c:xMode val="edge"/>
          <c:yMode val="edge"/>
          <c:x val="0.43494314454245103"/>
          <c:y val="1.2194946299025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'EFFC (2)'!$B$228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'EFFC (2)'!$A$229:$A$233</c15:sqref>
                  </c15:fullRef>
                </c:ext>
              </c:extLst>
              <c:f>('EFFC (2)'!$A$229,'EFFC (2)'!$A$231)</c:f>
              <c:strCache>
                <c:ptCount val="2"/>
                <c:pt idx="0">
                  <c:v>BPW</c:v>
                </c:pt>
                <c:pt idx="1">
                  <c:v>MIP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'EFFC (2)'!$B$229:$B$233</c15:sqref>
                  </c15:fullRef>
                </c:ext>
              </c:extLst>
              <c:f>('EFFC (2)'!$B$229,'EFFC (2)'!$B$231)</c:f>
              <c:numCache>
                <c:formatCode>0</c:formatCode>
                <c:ptCount val="2"/>
                <c:pt idx="0">
                  <c:v>919.18316847999995</c:v>
                </c:pt>
                <c:pt idx="1">
                  <c:v>566.82168000000001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4-422E-9F57-8341C52C73F4}"/>
            </c:ext>
          </c:extLst>
        </c:ser>
        <c:ser>
          <c:idx val="1"/>
          <c:order val="1"/>
          <c:tx>
            <c:strRef>
              <c:f>'EFFC (2)'!$E$228</c:f>
              <c:strCache>
                <c:ptCount val="1"/>
                <c:pt idx="0">
                  <c:v>Freight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'EFFC (2)'!$A$229:$A$233</c15:sqref>
                  </c15:fullRef>
                </c:ext>
              </c:extLst>
              <c:f>('EFFC (2)'!$A$229,'EFFC (2)'!$A$231)</c:f>
              <c:strCache>
                <c:ptCount val="2"/>
                <c:pt idx="0">
                  <c:v>BPW</c:v>
                </c:pt>
                <c:pt idx="1">
                  <c:v>MIP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'EFFC (2)'!$E$229:$E$233</c15:sqref>
                  </c15:fullRef>
                </c:ext>
              </c:extLst>
              <c:f>('EFFC (2)'!$E$229,'EFFC (2)'!$E$231)</c:f>
              <c:numCache>
                <c:formatCode>0</c:formatCode>
                <c:ptCount val="2"/>
                <c:pt idx="0">
                  <c:v>71.118799999999993</c:v>
                </c:pt>
                <c:pt idx="1">
                  <c:v>13.7204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4-422E-9F57-8341C52C73F4}"/>
            </c:ext>
          </c:extLst>
        </c:ser>
        <c:ser>
          <c:idx val="3"/>
          <c:order val="2"/>
          <c:tx>
            <c:strRef>
              <c:f>'EFFC (2)'!$I$228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'EFFC (2)'!$A$229:$A$233</c15:sqref>
                  </c15:fullRef>
                </c:ext>
              </c:extLst>
              <c:f>('EFFC (2)'!$A$229,'EFFC (2)'!$A$231)</c:f>
              <c:strCache>
                <c:ptCount val="2"/>
                <c:pt idx="0">
                  <c:v>BPW</c:v>
                </c:pt>
                <c:pt idx="1">
                  <c:v>MIP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'EFFC (2)'!$I$229:$I$233</c15:sqref>
                  </c15:fullRef>
                </c:ext>
              </c:extLst>
              <c:f>('EFFC (2)'!$I$229,'EFFC (2)'!$I$231)</c:f>
              <c:numCache>
                <c:formatCode>0</c:formatCode>
                <c:ptCount val="2"/>
                <c:pt idx="0">
                  <c:v>28.655999999999999</c:v>
                </c:pt>
                <c:pt idx="1">
                  <c:v>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4-422E-9F57-8341C52C73F4}"/>
            </c:ext>
          </c:extLst>
        </c:ser>
        <c:ser>
          <c:idx val="4"/>
          <c:order val="3"/>
          <c:tx>
            <c:strRef>
              <c:f>'EFFC (2)'!$H$228</c:f>
              <c:strCache>
                <c:ptCount val="1"/>
                <c:pt idx="0">
                  <c:v>Assets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'EFFC (2)'!$A$229:$A$233</c15:sqref>
                  </c15:fullRef>
                </c:ext>
              </c:extLst>
              <c:f>('EFFC (2)'!$A$229,'EFFC (2)'!$A$231)</c:f>
              <c:strCache>
                <c:ptCount val="2"/>
                <c:pt idx="0">
                  <c:v>BPW</c:v>
                </c:pt>
                <c:pt idx="1">
                  <c:v>MIP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'EFFC (2)'!$H$229:$H$233</c15:sqref>
                  </c15:fullRef>
                </c:ext>
              </c:extLst>
              <c:f>('EFFC (2)'!$H$229,'EFFC (2)'!$H$231)</c:f>
              <c:numCache>
                <c:formatCode>0</c:formatCode>
                <c:ptCount val="2"/>
                <c:pt idx="0">
                  <c:v>22.553700150000001</c:v>
                </c:pt>
                <c:pt idx="1">
                  <c:v>13.317681176470586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94-422E-9F57-8341C52C73F4}"/>
            </c:ext>
          </c:extLst>
        </c:ser>
        <c:ser>
          <c:idx val="6"/>
          <c:order val="4"/>
          <c:tx>
            <c:strRef>
              <c:f>'EFFC (2)'!$C$228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'EFFC (2)'!$A$229:$A$233</c15:sqref>
                  </c15:fullRef>
                </c:ext>
              </c:extLst>
              <c:f>('EFFC (2)'!$A$229,'EFFC (2)'!$A$231)</c:f>
              <c:strCache>
                <c:ptCount val="2"/>
                <c:pt idx="0">
                  <c:v>BPW</c:v>
                </c:pt>
                <c:pt idx="1">
                  <c:v>MIP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'EFFC (2)'!$C$229:$C$233</c15:sqref>
                  </c15:fullRef>
                </c:ext>
              </c:extLst>
              <c:f>('EFFC (2)'!$C$229,'EFFC (2)'!$C$231)</c:f>
              <c:numCache>
                <c:formatCode>0</c:formatCode>
                <c:ptCount val="2"/>
                <c:pt idx="0">
                  <c:v>57.959775000000008</c:v>
                </c:pt>
                <c:pt idx="1">
                  <c:v>56.510258823529412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94-422E-9F57-8341C52C73F4}"/>
            </c:ext>
          </c:extLst>
        </c:ser>
        <c:ser>
          <c:idx val="8"/>
          <c:order val="5"/>
          <c:tx>
            <c:strRef>
              <c:f>'EFFC (2)'!$F$228</c:f>
              <c:strCache>
                <c:ptCount val="1"/>
                <c:pt idx="0">
                  <c:v>Mob/Demob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'EFFC (2)'!$A$229:$A$233</c15:sqref>
                  </c15:fullRef>
                </c:ext>
              </c:extLst>
              <c:f>('EFFC (2)'!$A$229,'EFFC (2)'!$A$231)</c:f>
              <c:strCache>
                <c:ptCount val="2"/>
                <c:pt idx="0">
                  <c:v>BPW</c:v>
                </c:pt>
                <c:pt idx="1">
                  <c:v>MIP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'EFFC (2)'!$F$229:$F$233</c15:sqref>
                  </c15:fullRef>
                </c:ext>
              </c:extLst>
              <c:f>('EFFC (2)'!$F$229,'EFFC (2)'!$F$231)</c:f>
              <c:numCache>
                <c:formatCode>General</c:formatCode>
                <c:ptCount val="2"/>
                <c:pt idx="0">
                  <c:v>7.7</c:v>
                </c:pt>
                <c:pt idx="1" formatCode="0.0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94-422E-9F57-8341C52C73F4}"/>
            </c:ext>
          </c:extLst>
        </c:ser>
        <c:ser>
          <c:idx val="9"/>
          <c:order val="6"/>
          <c:tx>
            <c:strRef>
              <c:f>'EFFC (2)'!$G$228</c:f>
              <c:strCache>
                <c:ptCount val="1"/>
                <c:pt idx="0">
                  <c:v>People's Transport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'EFFC (2)'!$A$229:$A$233</c15:sqref>
                  </c15:fullRef>
                </c:ext>
              </c:extLst>
              <c:f>('EFFC (2)'!$A$229,'EFFC (2)'!$A$231)</c:f>
              <c:strCache>
                <c:ptCount val="2"/>
                <c:pt idx="0">
                  <c:v>BPW</c:v>
                </c:pt>
                <c:pt idx="1">
                  <c:v>MIP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'EFFC (2)'!$G$229:$G$233</c15:sqref>
                  </c15:fullRef>
                </c:ext>
              </c:extLst>
              <c:f>('EFFC (2)'!$G$229,'EFFC (2)'!$G$231)</c:f>
              <c:numCache>
                <c:formatCode>0.0</c:formatCode>
                <c:ptCount val="2"/>
                <c:pt idx="0">
                  <c:v>2.0657999999999999</c:v>
                </c:pt>
                <c:pt idx="1">
                  <c:v>1.6948235294117646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94-422E-9F57-8341C52C7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459144"/>
        <c:axId val="448459472"/>
        <c:extLst/>
      </c:barChart>
      <c:catAx>
        <c:axId val="4484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59472"/>
        <c:crosses val="autoZero"/>
        <c:auto val="1"/>
        <c:lblAlgn val="ctr"/>
        <c:lblOffset val="100"/>
        <c:noMultiLvlLbl val="0"/>
      </c:catAx>
      <c:valAx>
        <c:axId val="4484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5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BPW+UWS</a:t>
            </a:r>
          </a:p>
        </c:rich>
      </c:tx>
      <c:layout>
        <c:manualLayout>
          <c:xMode val="edge"/>
          <c:yMode val="edge"/>
          <c:x val="0.4460701935327307"/>
          <c:y val="2.41841833489475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'EFFC (2)'!$A$236</c:f>
              <c:strCache>
                <c:ptCount val="1"/>
                <c:pt idx="0">
                  <c:v>PfW88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3B-4A1F-85D5-633120AD38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3B-4A1F-85D5-633120AD38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3B-4A1F-85D5-633120AD38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3B-4A1F-85D5-633120AD38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3B-4A1F-85D5-633120AD38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3B-4A1F-85D5-633120AD386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3B-4A1F-85D5-633120AD38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3B-4A1F-85D5-633120AD386B}"/>
              </c:ext>
            </c:extLst>
          </c:dPt>
          <c:dLbls>
            <c:dLbl>
              <c:idx val="0"/>
              <c:layout>
                <c:manualLayout>
                  <c:x val="8.1548160731258465E-2"/>
                  <c:y val="-7.9607111320758206E-2"/>
                </c:manualLayout>
              </c:layout>
              <c:tx>
                <c:rich>
                  <a:bodyPr/>
                  <a:lstStyle/>
                  <a:p>
                    <a:fld id="{5D0918E7-E569-4D70-B7E7-C03118BE2699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3DA05B1A-6D17-4B3A-97FD-8D5BCE3880EA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64A7501C-EFD9-4B08-92AC-CDD23EDD5762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B3B-4A1F-85D5-633120AD386B}"/>
                </c:ext>
              </c:extLst>
            </c:dLbl>
            <c:dLbl>
              <c:idx val="1"/>
              <c:layout>
                <c:manualLayout>
                  <c:x val="-2.4094521628344356E-2"/>
                  <c:y val="6.2977120746466287E-3"/>
                </c:manualLayout>
              </c:layout>
              <c:tx>
                <c:rich>
                  <a:bodyPr/>
                  <a:lstStyle/>
                  <a:p>
                    <a:fld id="{2F71BBF9-23BB-4EE0-A25A-C7E16423B806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72F37CB7-66C2-4590-9D89-473B60185B3A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2AB3519B-A75E-464B-B865-74D72D9F18A8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B3B-4A1F-85D5-633120AD386B}"/>
                </c:ext>
              </c:extLst>
            </c:dLbl>
            <c:dLbl>
              <c:idx val="2"/>
              <c:layout>
                <c:manualLayout>
                  <c:x val="-5.7127419159133649E-2"/>
                  <c:y val="5.4661200215800433E-2"/>
                </c:manualLayout>
              </c:layout>
              <c:tx>
                <c:rich>
                  <a:bodyPr/>
                  <a:lstStyle/>
                  <a:p>
                    <a:fld id="{0E9E9E44-8A17-4620-9F86-1D292EE12C40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0DF876C9-D485-49D3-80AD-95285CABD173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FE71ECFE-5582-487B-A3D7-B2AAC2D3427E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B3B-4A1F-85D5-633120AD386B}"/>
                </c:ext>
              </c:extLst>
            </c:dLbl>
            <c:dLbl>
              <c:idx val="3"/>
              <c:layout>
                <c:manualLayout>
                  <c:x val="-4.806922283564885E-2"/>
                  <c:y val="3.5126281441246784E-2"/>
                </c:manualLayout>
              </c:layout>
              <c:tx>
                <c:rich>
                  <a:bodyPr/>
                  <a:lstStyle/>
                  <a:p>
                    <a:fld id="{32640348-40A3-4DFF-AFDD-D43F2FBDE6BA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AC018A1F-F1D3-410C-96C9-18EB274756AF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4401B68E-CC21-468D-9B3C-16E0B3647E23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CB3B-4A1F-85D5-633120AD38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3B-4A1F-85D5-633120AD386B}"/>
                </c:ext>
              </c:extLst>
            </c:dLbl>
            <c:dLbl>
              <c:idx val="6"/>
              <c:layout>
                <c:manualLayout>
                  <c:x val="1.1023984307063844E-2"/>
                  <c:y val="-2.5222138352168208E-3"/>
                </c:manualLayout>
              </c:layout>
              <c:tx>
                <c:rich>
                  <a:bodyPr/>
                  <a:lstStyle/>
                  <a:p>
                    <a:fld id="{33BB2271-69FC-4AA2-8745-E17F7FCE5F61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75AFC088-5617-46D1-B7B8-D1DED96A4810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0CF9AD47-F40E-440D-8416-2900592DEE0D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CB3B-4A1F-85D5-633120AD386B}"/>
                </c:ext>
              </c:extLst>
            </c:dLbl>
            <c:dLbl>
              <c:idx val="7"/>
              <c:layout>
                <c:manualLayout>
                  <c:x val="0.2630487761810002"/>
                  <c:y val="4.1053106997988871E-2"/>
                </c:manualLayout>
              </c:layout>
              <c:tx>
                <c:rich>
                  <a:bodyPr/>
                  <a:lstStyle/>
                  <a:p>
                    <a:fld id="{91311735-80D3-4DF6-AF31-A74E990FE99C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BF6A06AF-D344-49BC-8AA0-F78212E3FB22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9A2EBAFD-9F1C-496D-8BDB-27E440549359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CB3B-4A1F-85D5-633120AD386B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'EFFC (2)'!$B$235:$H$235</c15:sqref>
                  </c15:fullRef>
                </c:ext>
              </c:extLst>
              <c:f>('EFFC (2)'!$B$235:$C$235,'EFFC (2)'!$E$235:$F$235,'EFFC (2)'!$H$235)</c:f>
              <c:strCache>
                <c:ptCount val="5"/>
                <c:pt idx="0">
                  <c:v>Baumaterialien - Herstellung</c:v>
                </c:pt>
                <c:pt idx="1">
                  <c:v>Energie (Kraftstoff und Strom)</c:v>
                </c:pt>
                <c:pt idx="2">
                  <c:v>Transport von Baumaterial</c:v>
                </c:pt>
                <c:pt idx="3">
                  <c:v>Mobilisierung/Demobilisierung Baustelle</c:v>
                </c:pt>
                <c:pt idx="4">
                  <c:v>Produktion von Ausrüstung (Assets)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'EFFC (2)'!$B$236:$H$236</c15:sqref>
                  </c15:fullRef>
                </c:ext>
              </c:extLst>
              <c:f>('EFFC (2)'!$B$236:$C$236,'EFFC (2)'!$E$236:$F$236,'EFFC (2)'!$H$236)</c:f>
              <c:numCache>
                <c:formatCode>0</c:formatCode>
                <c:ptCount val="5"/>
                <c:pt idx="0">
                  <c:v>919.18316847999995</c:v>
                </c:pt>
                <c:pt idx="1">
                  <c:v>57.959775000000008</c:v>
                </c:pt>
                <c:pt idx="2">
                  <c:v>71.118799999999993</c:v>
                </c:pt>
                <c:pt idx="3" formatCode="0.0">
                  <c:v>7.7</c:v>
                </c:pt>
                <c:pt idx="4">
                  <c:v>22.553700150000001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0-CB3B-4A1F-85D5-633120AD38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8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MIP+LWS</a:t>
            </a:r>
          </a:p>
        </c:rich>
      </c:tx>
      <c:layout>
        <c:manualLayout>
          <c:xMode val="edge"/>
          <c:yMode val="edge"/>
          <c:x val="0.4460701935327307"/>
          <c:y val="2.41841833489475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'EFFC (2)'!$A$238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01-429A-B065-F3C7AE00BD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01-429A-B065-F3C7AE00BD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01-429A-B065-F3C7AE00BD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01-429A-B065-F3C7AE00BD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01-429A-B065-F3C7AE00BD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01-429A-B065-F3C7AE00BD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01-429A-B065-F3C7AE00BD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01-429A-B065-F3C7AE00BD9B}"/>
              </c:ext>
            </c:extLst>
          </c:dPt>
          <c:dLbls>
            <c:dLbl>
              <c:idx val="0"/>
              <c:layout>
                <c:manualLayout>
                  <c:x val="5.2163712903063701E-2"/>
                  <c:y val="-6.4543409346558958E-2"/>
                </c:manualLayout>
              </c:layout>
              <c:tx>
                <c:rich>
                  <a:bodyPr/>
                  <a:lstStyle/>
                  <a:p>
                    <a:fld id="{020B8644-20B9-4880-AA7E-6A494D55DAD1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8F3B518E-E568-4FA6-85B6-E56DDBDC5F43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F75019A1-5D74-40CA-8267-C40EA5E631FD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B01-429A-B065-F3C7AE00BD9B}"/>
                </c:ext>
              </c:extLst>
            </c:dLbl>
            <c:dLbl>
              <c:idx val="1"/>
              <c:layout>
                <c:manualLayout>
                  <c:x val="-1.2469008488069906E-2"/>
                  <c:y val="1.1367897194668849E-4"/>
                </c:manualLayout>
              </c:layout>
              <c:tx>
                <c:rich>
                  <a:bodyPr/>
                  <a:lstStyle/>
                  <a:p>
                    <a:fld id="{7E1650BE-457E-4FA0-8E1A-EA73F8EB2807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F0AC9927-7F9F-4B93-9B33-E70B8C4D26E4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D16C65B2-D8BD-4FDC-A58F-B47274E1B79F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B01-429A-B065-F3C7AE00BD9B}"/>
                </c:ext>
              </c:extLst>
            </c:dLbl>
            <c:dLbl>
              <c:idx val="2"/>
              <c:layout>
                <c:manualLayout>
                  <c:x val="-3.5363266025303076E-2"/>
                  <c:y val="1.0624978695844837E-2"/>
                </c:manualLayout>
              </c:layout>
              <c:tx>
                <c:rich>
                  <a:bodyPr/>
                  <a:lstStyle/>
                  <a:p>
                    <a:fld id="{4814E840-32E6-45FD-9165-6CE18F0411F3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1D2201E8-1D91-416C-8876-A2A63A44376F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05B3923D-98C2-4D8A-9A89-BECF49CB98C2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01-429A-B065-F3C7AE00BD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48A28A-9C9E-4D5B-A5EB-8A37598A0656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FC4C2D43-E40F-4C8C-A141-C5C22FD17DAE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90052285-F163-4603-92D1-89F1FF9F4AAF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B01-429A-B065-F3C7AE00BD9B}"/>
                </c:ext>
              </c:extLst>
            </c:dLbl>
            <c:dLbl>
              <c:idx val="4"/>
              <c:layout>
                <c:manualLayout>
                  <c:x val="-4.4209430533381215E-2"/>
                  <c:y val="-3.3845996523161878E-2"/>
                </c:manualLayout>
              </c:layout>
              <c:tx>
                <c:rich>
                  <a:bodyPr/>
                  <a:lstStyle/>
                  <a:p>
                    <a:fld id="{B8D20890-989B-480E-83ED-8DDE55139D9B}" type="CATEGORYNAME">
                      <a:rPr lang="en-US"/>
                      <a:pPr/>
                      <a:t>[RUBRIKENNAME]</a:t>
                    </a:fld>
                    <a:endParaRPr lang="en-US" baseline="0"/>
                  </a:p>
                  <a:p>
                    <a:fld id="{E70EAE2E-CDB3-46A1-91F7-088FB58FD024}" type="VALUE">
                      <a:rPr lang="en-US"/>
                      <a:pPr/>
                      <a:t>[WERT]</a:t>
                    </a:fld>
                    <a:r>
                      <a:rPr lang="en-US"/>
                      <a:t>t</a:t>
                    </a:r>
                    <a:endParaRPr lang="en-US" baseline="0"/>
                  </a:p>
                  <a:p>
                    <a:fld id="{6A2658ED-EAF3-4DF3-ADA0-3EDE4E4A4E0D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B01-429A-B065-F3C7AE00BD9B}"/>
                </c:ext>
              </c:extLst>
            </c:dLbl>
            <c:dLbl>
              <c:idx val="6"/>
              <c:layout>
                <c:manualLayout>
                  <c:x val="-7.7930195476109496E-3"/>
                  <c:y val="1.0952040085898355E-3"/>
                </c:manualLayout>
              </c:layout>
              <c:tx>
                <c:rich>
                  <a:bodyPr/>
                  <a:lstStyle/>
                  <a:p>
                    <a:fld id="{28DE8A90-5437-43B6-A188-BAE9B80819BF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A8C60A0F-8785-41C8-BE6E-BF15524DBCB2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62144B89-12D7-4CA9-B3DB-0663A8322B97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2B01-429A-B065-F3C7AE00BD9B}"/>
                </c:ext>
              </c:extLst>
            </c:dLbl>
            <c:dLbl>
              <c:idx val="7"/>
              <c:layout>
                <c:manualLayout>
                  <c:x val="0.1827344478526792"/>
                  <c:y val="8.341854995398303E-3"/>
                </c:manualLayout>
              </c:layout>
              <c:tx>
                <c:rich>
                  <a:bodyPr/>
                  <a:lstStyle/>
                  <a:p>
                    <a:fld id="{814E21C9-9BF5-4CAF-B668-A565B46CDF75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8D107784-A738-4C54-B9C1-A9B7C214DC07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84F59B12-B0F3-495E-AB43-6F12085301AF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2B01-429A-B065-F3C7AE00BD9B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'EFFC (2)'!$B$235:$H$235</c15:sqref>
                  </c15:fullRef>
                </c:ext>
              </c:extLst>
              <c:f>('EFFC (2)'!$B$235:$C$235,'EFFC (2)'!$E$235:$F$235,'EFFC (2)'!$H$235)</c:f>
              <c:strCache>
                <c:ptCount val="5"/>
                <c:pt idx="0">
                  <c:v>Baumaterialien - Herstellung</c:v>
                </c:pt>
                <c:pt idx="1">
                  <c:v>Energie (Kraftstoff und Strom)</c:v>
                </c:pt>
                <c:pt idx="2">
                  <c:v>Transport von Baumaterial</c:v>
                </c:pt>
                <c:pt idx="3">
                  <c:v>Mobilisierung/Demobilisierung Baustelle</c:v>
                </c:pt>
                <c:pt idx="4">
                  <c:v>Produktion von Ausrüstung (Assets)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'EFFC (2)'!$B$238:$H$238</c15:sqref>
                  </c15:fullRef>
                </c:ext>
              </c:extLst>
              <c:f>('EFFC (2)'!$B$238:$C$238,'EFFC (2)'!$E$238:$F$238,'EFFC (2)'!$H$238)</c:f>
              <c:numCache>
                <c:formatCode>0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'EFFC (2)'!$D$238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2B01-429A-B065-F3C7AE00BD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8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084951477524675"/>
          <c:y val="0.14578653476304579"/>
          <c:w val="0.37992508223037325"/>
          <c:h val="0.72285909888005306"/>
        </c:manualLayout>
      </c:layout>
      <c:barChart>
        <c:barDir val="col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'EFFC (2)'!$C$251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F-4E2A-A86A-A8A4217A5B6B}"/>
            </c:ext>
          </c:extLst>
        </c:ser>
        <c:ser>
          <c:idx val="0"/>
          <c:order val="1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4.01159889065076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9F-4E2A-A86A-A8A4217A5B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'EFFC (2)'!$B$251:$B$255</c:f>
              <c:numCache>
                <c:formatCode>General</c:formatCode>
                <c:ptCount val="5"/>
              </c:numCache>
            </c:numRef>
          </c:cat>
          <c:val>
            <c:numRef>
              <c:f>'EFFC (2)'!$C$252</c:f>
              <c:numCache>
                <c:formatCode>0</c:formatCode>
                <c:ptCount val="1"/>
                <c:pt idx="0">
                  <c:v>1109.23724363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9F-4E2A-A86A-A8A4217A5B6B}"/>
            </c:ext>
          </c:extLst>
        </c:ser>
        <c:ser>
          <c:idx val="1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87500983268404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9F-4E2A-A86A-A8A4217A5B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'EFFC (2)'!$C$253</c:f>
              <c:numCache>
                <c:formatCode>0</c:formatCode>
                <c:ptCount val="1"/>
                <c:pt idx="0">
                  <c:v>663.72484352941183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9F-4E2A-A86A-A8A4217A5B6B}"/>
            </c:ext>
          </c:extLst>
        </c:ser>
        <c:ser>
          <c:idx val="2"/>
          <c:order val="3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114276417745657E-2"/>
                  <c:y val="1.1950023424371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9F-4E2A-A86A-A8A4217A5B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'EFFC (2)'!$C$254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9F-4E2A-A86A-A8A4217A5B6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'EFFC (2)'!$C$255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9F-4E2A-A86A-A8A4217A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68180224"/>
        <c:axId val="468174648"/>
      </c:barChart>
      <c:catAx>
        <c:axId val="46818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>
                    <a:solidFill>
                      <a:srgbClr val="002060"/>
                    </a:solidFill>
                  </a:rPr>
                  <a:t>Total</a:t>
                </a:r>
              </a:p>
            </c:rich>
          </c:tx>
          <c:layout>
            <c:manualLayout>
              <c:xMode val="edge"/>
              <c:yMode val="edge"/>
              <c:x val="0.4971657481793037"/>
              <c:y val="0.885049806998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174648"/>
        <c:crosses val="autoZero"/>
        <c:auto val="1"/>
        <c:lblAlgn val="ctr"/>
        <c:lblOffset val="100"/>
        <c:noMultiLvlLbl val="0"/>
      </c:catAx>
      <c:valAx>
        <c:axId val="4681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>
                    <a:solidFill>
                      <a:srgbClr val="002060"/>
                    </a:solidFill>
                  </a:rPr>
                  <a:t>tCO</a:t>
                </a:r>
                <a:r>
                  <a:rPr lang="de-DE" sz="1000" baseline="-25000">
                    <a:solidFill>
                      <a:srgbClr val="002060"/>
                    </a:solidFill>
                  </a:rPr>
                  <a:t>2e</a:t>
                </a:r>
                <a:endParaRPr lang="de-DE" sz="1000">
                  <a:solidFill>
                    <a:srgbClr val="002060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58690289546819"/>
              <c:y val="0.44437291129593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18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41762669678407E-2"/>
          <c:y val="0.14578653476304579"/>
          <c:w val="0.87784652249668116"/>
          <c:h val="0.72285909888005306"/>
        </c:manualLayout>
      </c:layout>
      <c:barChart>
        <c:barDir val="col"/>
        <c:grouping val="clustered"/>
        <c:varyColors val="0"/>
        <c:ser>
          <c:idx val="0"/>
          <c:order val="0"/>
          <c:tx>
            <c:v>BPW+UWS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4.3744607271593737E-3"/>
                  <c:y val="7.78392558076818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E9-4E64-ADC8-8C26008A8B0F}"/>
                </c:ext>
              </c:extLst>
            </c:dLbl>
            <c:dLbl>
              <c:idx val="6"/>
              <c:layout>
                <c:manualLayout>
                  <c:x val="-6.5616910907392205E-3"/>
                  <c:y val="7.78392558076818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E9-4E64-ADC8-8C26008A8B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'EFFC (2)'!$B$235:$I$235</c15:sqref>
                  </c15:fullRef>
                </c:ext>
              </c:extLst>
              <c:f>('EFFC (2)'!$B$235:$C$235,'EFFC (2)'!$E$235:$I$235)</c:f>
              <c:strCache>
                <c:ptCount val="7"/>
                <c:pt idx="0">
                  <c:v>Baumaterialien - Herstellung</c:v>
                </c:pt>
                <c:pt idx="1">
                  <c:v>Energie (Kraftstoff und Strom)</c:v>
                </c:pt>
                <c:pt idx="2">
                  <c:v>Transport von Baumaterial</c:v>
                </c:pt>
                <c:pt idx="3">
                  <c:v>Mobilisierung/Demobilisierung Baustelle</c:v>
                </c:pt>
                <c:pt idx="4">
                  <c:v>Transport von Personen</c:v>
                </c:pt>
                <c:pt idx="5">
                  <c:v>Produktion von Ausrüstung (Assets)</c:v>
                </c:pt>
                <c:pt idx="6">
                  <c:v>Transport von Erdreich/Abfall (Entsorgung)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'EFFC (2)'!$B$236:$I$236</c15:sqref>
                  </c15:fullRef>
                </c:ext>
              </c:extLst>
              <c:f>('EFFC (2)'!$B$236:$C$236,'EFFC (2)'!$E$236:$I$236)</c:f>
              <c:numCache>
                <c:formatCode>0</c:formatCode>
                <c:ptCount val="7"/>
                <c:pt idx="0">
                  <c:v>919.18316847999995</c:v>
                </c:pt>
                <c:pt idx="1">
                  <c:v>57.959775000000008</c:v>
                </c:pt>
                <c:pt idx="2">
                  <c:v>71.118799999999993</c:v>
                </c:pt>
                <c:pt idx="3" formatCode="0.0">
                  <c:v>7.7</c:v>
                </c:pt>
                <c:pt idx="4" formatCode="0.000">
                  <c:v>2.0657999999999999</c:v>
                </c:pt>
                <c:pt idx="5">
                  <c:v>22.553700150000001</c:v>
                </c:pt>
                <c:pt idx="6">
                  <c:v>28.655999999999999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9-4E64-ADC8-8C26008A8B0F}"/>
            </c:ext>
          </c:extLst>
        </c:ser>
        <c:ser>
          <c:idx val="1"/>
          <c:order val="1"/>
          <c:tx>
            <c:v>MIP+JG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936151817898433E-2"/>
                  <c:y val="-3.89196279038409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E9-4E64-ADC8-8C26008A8B0F}"/>
                </c:ext>
              </c:extLst>
            </c:dLbl>
            <c:dLbl>
              <c:idx val="6"/>
              <c:layout>
                <c:manualLayout>
                  <c:x val="0"/>
                  <c:y val="7.78392558076818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E9-4E64-ADC8-8C26008A8B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'EFFC (2)'!$B$235:$I$235</c15:sqref>
                  </c15:fullRef>
                </c:ext>
              </c:extLst>
              <c:f>('EFFC (2)'!$B$235:$C$235,'EFFC (2)'!$E$235:$I$235)</c:f>
              <c:strCache>
                <c:ptCount val="7"/>
                <c:pt idx="0">
                  <c:v>Baumaterialien - Herstellung</c:v>
                </c:pt>
                <c:pt idx="1">
                  <c:v>Energie (Kraftstoff und Strom)</c:v>
                </c:pt>
                <c:pt idx="2">
                  <c:v>Transport von Baumaterial</c:v>
                </c:pt>
                <c:pt idx="3">
                  <c:v>Mobilisierung/Demobilisierung Baustelle</c:v>
                </c:pt>
                <c:pt idx="4">
                  <c:v>Transport von Personen</c:v>
                </c:pt>
                <c:pt idx="5">
                  <c:v>Produktion von Ausrüstung (Assets)</c:v>
                </c:pt>
                <c:pt idx="6">
                  <c:v>Transport von Erdreich/Abfall (Entsorgung)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'EFFC (2)'!$B$237:$I$237</c15:sqref>
                  </c15:fullRef>
                </c:ext>
              </c:extLst>
              <c:f>('EFFC (2)'!$B$237:$C$237,'EFFC (2)'!$E$237:$I$237)</c:f>
              <c:numCache>
                <c:formatCode>0</c:formatCode>
                <c:ptCount val="7"/>
                <c:pt idx="0">
                  <c:v>566.82168000000001</c:v>
                </c:pt>
                <c:pt idx="1">
                  <c:v>56.510258823529412</c:v>
                </c:pt>
                <c:pt idx="2">
                  <c:v>13.7204</c:v>
                </c:pt>
                <c:pt idx="3" formatCode="0.0">
                  <c:v>5.9</c:v>
                </c:pt>
                <c:pt idx="4" formatCode="0.000">
                  <c:v>1.6948235294117646</c:v>
                </c:pt>
                <c:pt idx="5">
                  <c:v>13.317681176470586</c:v>
                </c:pt>
                <c:pt idx="6">
                  <c:v>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E9-4E64-ADC8-8C26008A8B0F}"/>
            </c:ext>
          </c:extLst>
        </c:ser>
        <c:ser>
          <c:idx val="2"/>
          <c:order val="2"/>
          <c:tx>
            <c:v>MIP+GEL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5616910907390401E-3"/>
                  <c:y val="-3.89196279038409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E9-4E64-ADC8-8C26008A8B0F}"/>
                </c:ext>
              </c:extLst>
            </c:dLbl>
            <c:dLbl>
              <c:idx val="1"/>
              <c:layout>
                <c:manualLayout>
                  <c:x val="4.3744607271593329E-3"/>
                  <c:y val="1.16758883711521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E9-4E64-ADC8-8C26008A8B0F}"/>
                </c:ext>
              </c:extLst>
            </c:dLbl>
            <c:dLbl>
              <c:idx val="6"/>
              <c:layout>
                <c:manualLayout>
                  <c:x val="2.1872303635796868E-3"/>
                  <c:y val="7.78392558076818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E9-4E64-ADC8-8C26008A8B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'EFFC (2)'!$B$235:$I$235</c15:sqref>
                  </c15:fullRef>
                </c:ext>
              </c:extLst>
              <c:f>('EFFC (2)'!$B$235:$C$235,'EFFC (2)'!$E$235:$I$235)</c:f>
              <c:strCache>
                <c:ptCount val="7"/>
                <c:pt idx="0">
                  <c:v>Baumaterialien - Herstellung</c:v>
                </c:pt>
                <c:pt idx="1">
                  <c:v>Energie (Kraftstoff und Strom)</c:v>
                </c:pt>
                <c:pt idx="2">
                  <c:v>Transport von Baumaterial</c:v>
                </c:pt>
                <c:pt idx="3">
                  <c:v>Mobilisierung/Demobilisierung Baustelle</c:v>
                </c:pt>
                <c:pt idx="4">
                  <c:v>Transport von Personen</c:v>
                </c:pt>
                <c:pt idx="5">
                  <c:v>Produktion von Ausrüstung (Assets)</c:v>
                </c:pt>
                <c:pt idx="6">
                  <c:v>Transport von Erdreich/Abfall (Entsorgung)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'EFFC (2)'!$B$238:$I$238</c15:sqref>
                  </c15:fullRef>
                </c:ext>
              </c:extLst>
              <c:f>('EFFC (2)'!$B$238:$C$238,'EFFC (2)'!$E$238:$I$238)</c:f>
              <c:numCache>
                <c:formatCode>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9-26E9-4E64-ADC8-8C26008A8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468180224"/>
        <c:axId val="468174648"/>
      </c:barChart>
      <c:catAx>
        <c:axId val="4681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174648"/>
        <c:crosses val="autoZero"/>
        <c:auto val="1"/>
        <c:lblAlgn val="ctr"/>
        <c:lblOffset val="100"/>
        <c:noMultiLvlLbl val="0"/>
      </c:catAx>
      <c:valAx>
        <c:axId val="468174648"/>
        <c:scaling>
          <c:orientation val="minMax"/>
          <c:max val="7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681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269690201363523E-2"/>
          <c:y val="3.4864783281929254E-2"/>
          <c:w val="0.66914062936744179"/>
          <c:h val="9.2698200621956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MIP+LWS</a:t>
            </a:r>
          </a:p>
        </c:rich>
      </c:tx>
      <c:layout>
        <c:manualLayout>
          <c:xMode val="edge"/>
          <c:yMode val="edge"/>
          <c:x val="0.4460701935327307"/>
          <c:y val="2.41841833489475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'Calculations MIP-VW'!$A$242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39-43D1-9915-1DF89AFA01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39-43D1-9915-1DF89AFA01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39-43D1-9915-1DF89AFA01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39-43D1-9915-1DF89AFA01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39-43D1-9915-1DF89AFA01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39-43D1-9915-1DF89AFA011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739-43D1-9915-1DF89AFA011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739-43D1-9915-1DF89AFA011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739-43D1-9915-1DF89AFA011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739-43D1-9915-1DF89AFA011F}"/>
              </c:ext>
            </c:extLst>
          </c:dPt>
          <c:dLbls>
            <c:dLbl>
              <c:idx val="8"/>
              <c:layout>
                <c:manualLayout>
                  <c:x val="-7.7930195476109496E-3"/>
                  <c:y val="1.0952040085898355E-3"/>
                </c:manualLayout>
              </c:layout>
              <c:tx>
                <c:rich>
                  <a:bodyPr/>
                  <a:lstStyle/>
                  <a:p>
                    <a:fld id="{28DE8A90-5437-43B6-A188-BAE9B80819BF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A8C60A0F-8785-41C8-BE6E-BF15524DBCB2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62144B89-12D7-4CA9-B3DB-0663A8322B97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D739-43D1-9915-1DF89AFA011F}"/>
                </c:ext>
              </c:extLst>
            </c:dLbl>
            <c:dLbl>
              <c:idx val="9"/>
              <c:layout>
                <c:manualLayout>
                  <c:x val="0.1827344478526792"/>
                  <c:y val="8.341854995398303E-3"/>
                </c:manualLayout>
              </c:layout>
              <c:tx>
                <c:rich>
                  <a:bodyPr/>
                  <a:lstStyle/>
                  <a:p>
                    <a:fld id="{814E21C9-9BF5-4CAF-B668-A565B46CDF75}" type="CATEGORYNAME">
                      <a:rPr lang="en-US"/>
                      <a:pPr/>
                      <a:t>[RUBRIKENNAME]</a:t>
                    </a:fld>
                    <a:r>
                      <a:rPr lang="en-US" baseline="0"/>
                      <a:t>
</a:t>
                    </a:r>
                    <a:fld id="{8D107784-A738-4C54-B9C1-A9B7C214DC07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t
</a:t>
                    </a:r>
                    <a:fld id="{84F59B12-B0F3-495E-AB43-6F12085301AF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D739-43D1-9915-1DF89AFA011F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'Calculations MIP-VW'!$B$242:$H$242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'Calculations MIP-VW'!$B$239:$H$239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D739-43D1-9915-1DF89AFA01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8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084951477524675"/>
          <c:y val="0.14578653476304579"/>
          <c:w val="0.37992508223037325"/>
          <c:h val="0.72285909888005306"/>
        </c:manualLayout>
      </c:layout>
      <c:barChart>
        <c:barDir val="col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'Calculations MIP-VW'!$C$255</c:f>
            </c:numRef>
          </c:val>
          <c:extLst>
            <c:ext xmlns:c16="http://schemas.microsoft.com/office/drawing/2014/chart" uri="{C3380CC4-5D6E-409C-BE32-E72D297353CC}">
              <c16:uniqueId val="{00000000-E167-4831-9BF7-957B3BFD92B3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'Calculations MIP-VW'!$B$255:$B$259</c:f>
            </c:multiLvlStrRef>
          </c:cat>
          <c:val>
            <c:numRef>
              <c:f>'Calculations MIP-VW'!$C$256</c:f>
            </c:numRef>
          </c:val>
          <c:extLst>
            <c:ext xmlns:c16="http://schemas.microsoft.com/office/drawing/2014/chart" uri="{C3380CC4-5D6E-409C-BE32-E72D297353CC}">
              <c16:uniqueId val="{00000001-E167-4831-9BF7-957B3BFD92B3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'Calculations MIP-VW'!$C$257</c:f>
            </c:numRef>
          </c:val>
          <c:extLst>
            <c:ext xmlns:c16="http://schemas.microsoft.com/office/drawing/2014/chart" uri="{C3380CC4-5D6E-409C-BE32-E72D297353CC}">
              <c16:uniqueId val="{00000002-E167-4831-9BF7-957B3BFD92B3}"/>
            </c:ext>
          </c:extLst>
        </c:ser>
        <c:ser>
          <c:idx val="2"/>
          <c:order val="3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'Calculations MIP-VW'!$C$258</c:f>
            </c:numRef>
          </c:val>
          <c:extLst>
            <c:ext xmlns:c16="http://schemas.microsoft.com/office/drawing/2014/chart" uri="{C3380CC4-5D6E-409C-BE32-E72D297353CC}">
              <c16:uniqueId val="{00000003-E167-4831-9BF7-957B3BFD92B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'Calculations MIP-VW'!$C$259</c:f>
            </c:numRef>
          </c:val>
          <c:extLst>
            <c:ext xmlns:c16="http://schemas.microsoft.com/office/drawing/2014/chart" uri="{C3380CC4-5D6E-409C-BE32-E72D297353CC}">
              <c16:uniqueId val="{00000004-E167-4831-9BF7-957B3BFD9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68180224"/>
        <c:axId val="468174648"/>
      </c:barChart>
      <c:catAx>
        <c:axId val="46818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>
                    <a:solidFill>
                      <a:srgbClr val="002060"/>
                    </a:solidFill>
                  </a:rPr>
                  <a:t>Total</a:t>
                </a:r>
              </a:p>
            </c:rich>
          </c:tx>
          <c:layout>
            <c:manualLayout>
              <c:xMode val="edge"/>
              <c:yMode val="edge"/>
              <c:x val="0.4971657481793037"/>
              <c:y val="0.885049806998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174648"/>
        <c:crosses val="autoZero"/>
        <c:auto val="1"/>
        <c:lblAlgn val="ctr"/>
        <c:lblOffset val="100"/>
        <c:noMultiLvlLbl val="0"/>
      </c:catAx>
      <c:valAx>
        <c:axId val="4681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>
                    <a:solidFill>
                      <a:srgbClr val="002060"/>
                    </a:solidFill>
                  </a:rPr>
                  <a:t>tCO</a:t>
                </a:r>
                <a:r>
                  <a:rPr lang="de-DE" sz="1000" baseline="-25000">
                    <a:solidFill>
                      <a:srgbClr val="002060"/>
                    </a:solidFill>
                  </a:rPr>
                  <a:t>2e</a:t>
                </a:r>
                <a:endParaRPr lang="de-DE" sz="1000">
                  <a:solidFill>
                    <a:srgbClr val="002060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258690289546819"/>
              <c:y val="0.44437291129593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18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41762669678407E-2"/>
          <c:y val="0.14578653476304579"/>
          <c:w val="0.87784652249668116"/>
          <c:h val="0.72285909888005306"/>
        </c:manualLayout>
      </c:layout>
      <c:barChart>
        <c:barDir val="col"/>
        <c:grouping val="clustered"/>
        <c:varyColors val="0"/>
        <c:ser>
          <c:idx val="0"/>
          <c:order val="0"/>
          <c:tx>
            <c:v>BPW+UWS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'Calculations MIP-VW'!$B$240:$I$240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'Calculations MIP-VW'!$B$239:$I$239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9F-405A-B8FD-5AEEC6FD82BD}"/>
            </c:ext>
          </c:extLst>
        </c:ser>
        <c:ser>
          <c:idx val="1"/>
          <c:order val="1"/>
          <c:tx>
            <c:v>MIP+JG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'Calculations MIP-VW'!$B$241:$I$241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'Calculations MIP-VW'!$B$239:$I$239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09F-405A-B8FD-5AEEC6FD82BD}"/>
            </c:ext>
          </c:extLst>
        </c:ser>
        <c:ser>
          <c:idx val="2"/>
          <c:order val="2"/>
          <c:tx>
            <c:v>MIP+GEL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'Calculations MIP-VW'!$B$242:$I$242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'Calculations MIP-VW'!$B$239:$I$239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09F-405A-B8FD-5AEEC6FD8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468180224"/>
        <c:axId val="468174648"/>
      </c:barChart>
      <c:catAx>
        <c:axId val="4681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174648"/>
        <c:crosses val="autoZero"/>
        <c:auto val="1"/>
        <c:lblAlgn val="ctr"/>
        <c:lblOffset val="100"/>
        <c:noMultiLvlLbl val="0"/>
      </c:catAx>
      <c:valAx>
        <c:axId val="468174648"/>
        <c:scaling>
          <c:orientation val="minMax"/>
          <c:max val="7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681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269690201363523E-2"/>
          <c:y val="3.4864783281929254E-2"/>
          <c:w val="0.66914062936744179"/>
          <c:h val="9.2698200621956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</a:t>
            </a:r>
            <a:r>
              <a:rPr lang="de-DE" baseline="-25000"/>
              <a:t>2</a:t>
            </a:r>
            <a:r>
              <a:rPr lang="de-DE" baseline="0"/>
              <a:t>-Fußabdruck der betrachteten Verfahren</a:t>
            </a:r>
            <a:endParaRPr lang="de-DE"/>
          </a:p>
        </c:rich>
      </c:tx>
      <c:layout>
        <c:manualLayout>
          <c:xMode val="edge"/>
          <c:yMode val="edge"/>
          <c:x val="0.35710177280198202"/>
          <c:y val="1.5743913574114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'Calculations MIP-VW'!$B$239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'Calculations MIP-VW'!$A$240:$A$242</c:f>
            </c:multiLvlStrRef>
          </c:cat>
          <c:val>
            <c:numRef>
              <c:f>'Calculations MIP-VW'!$B$240:$B$242</c:f>
            </c:numRef>
          </c:val>
          <c:extLst>
            <c:ext xmlns:c15="http://schemas.microsoft.com/office/drawing/2012/chart" uri="{02D57815-91ED-43cb-92C2-25804820EDAC}">
              <c15:datalabelsRange>
                <c15:f>'Calculations MIP-VW'!$B$244:$B$246</c15:f>
              </c15:datalabelsRange>
            </c:ext>
            <c:ext xmlns:c16="http://schemas.microsoft.com/office/drawing/2014/chart" uri="{C3380CC4-5D6E-409C-BE32-E72D297353CC}">
              <c16:uniqueId val="{00000000-8B3E-4D8C-BF63-7629A2116E46}"/>
            </c:ext>
          </c:extLst>
        </c:ser>
        <c:ser>
          <c:idx val="1"/>
          <c:order val="1"/>
          <c:tx>
            <c:strRef>
              <c:f>'Calculations MIP-VW'!$E$239</c:f>
              <c:strCache>
                <c:ptCount val="1"/>
                <c:pt idx="0">
                  <c:v>Freight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'Calculations MIP-VW'!$A$240:$A$242</c:f>
            </c:multiLvlStrRef>
          </c:cat>
          <c:val>
            <c:numRef>
              <c:f>'Calculations MIP-VW'!$E$240:$E$242</c:f>
            </c:numRef>
          </c:val>
          <c:extLst>
            <c:ext xmlns:c15="http://schemas.microsoft.com/office/drawing/2012/chart" uri="{02D57815-91ED-43cb-92C2-25804820EDAC}">
              <c15:datalabelsRange>
                <c15:f>'Calculations MIP-VW'!$E$244:$E$246</c15:f>
              </c15:datalabelsRange>
            </c:ext>
            <c:ext xmlns:c16="http://schemas.microsoft.com/office/drawing/2014/chart" uri="{C3380CC4-5D6E-409C-BE32-E72D297353CC}">
              <c16:uniqueId val="{00000001-8B3E-4D8C-BF63-7629A2116E46}"/>
            </c:ext>
          </c:extLst>
        </c:ser>
        <c:ser>
          <c:idx val="3"/>
          <c:order val="2"/>
          <c:tx>
            <c:strRef>
              <c:f>'Calculations MIP-VW'!$I$239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'Calculations MIP-VW'!$A$240:$A$242</c:f>
            </c:multiLvlStrRef>
          </c:cat>
          <c:val>
            <c:numRef>
              <c:f>'Calculations MIP-VW'!$I$240:$I$242</c:f>
            </c:numRef>
          </c:val>
          <c:extLst>
            <c:ext xmlns:c15="http://schemas.microsoft.com/office/drawing/2012/chart" uri="{02D57815-91ED-43cb-92C2-25804820EDAC}">
              <c15:datalabelsRange>
                <c15:f>'Calculations MIP-VW'!$I$244:$I$246</c15:f>
              </c15:datalabelsRange>
            </c:ext>
            <c:ext xmlns:c16="http://schemas.microsoft.com/office/drawing/2014/chart" uri="{C3380CC4-5D6E-409C-BE32-E72D297353CC}">
              <c16:uniqueId val="{00000003-8B3E-4D8C-BF63-7629A2116E46}"/>
            </c:ext>
          </c:extLst>
        </c:ser>
        <c:ser>
          <c:idx val="4"/>
          <c:order val="3"/>
          <c:tx>
            <c:strRef>
              <c:f>'Calculations MIP-VW'!$H$239</c:f>
              <c:strCache>
                <c:ptCount val="1"/>
                <c:pt idx="0">
                  <c:v>Assets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'Calculations MIP-VW'!$A$240:$A$242</c:f>
            </c:multiLvlStrRef>
          </c:cat>
          <c:val>
            <c:numRef>
              <c:f>'Calculations MIP-VW'!$H$240:$H$242</c:f>
            </c:numRef>
          </c:val>
          <c:extLst>
            <c:ext xmlns:c15="http://schemas.microsoft.com/office/drawing/2012/chart" uri="{02D57815-91ED-43cb-92C2-25804820EDAC}">
              <c15:datalabelsRange>
                <c15:f>'Calculations MIP-VW'!$H$244:$H$246</c15:f>
              </c15:datalabelsRange>
            </c:ext>
            <c:ext xmlns:c16="http://schemas.microsoft.com/office/drawing/2014/chart" uri="{C3380CC4-5D6E-409C-BE32-E72D297353CC}">
              <c16:uniqueId val="{00000004-8B3E-4D8C-BF63-7629A2116E46}"/>
            </c:ext>
          </c:extLst>
        </c:ser>
        <c:ser>
          <c:idx val="6"/>
          <c:order val="4"/>
          <c:tx>
            <c:strRef>
              <c:f>'Calculations MIP-VW'!$C$239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'Calculations MIP-VW'!$A$240:$A$242</c:f>
            </c:multiLvlStrRef>
          </c:cat>
          <c:val>
            <c:numRef>
              <c:f>'Calculations MIP-VW'!$C$240:$C$242</c:f>
            </c:numRef>
          </c:val>
          <c:extLst>
            <c:ext xmlns:c15="http://schemas.microsoft.com/office/drawing/2012/chart" uri="{02D57815-91ED-43cb-92C2-25804820EDAC}">
              <c15:datalabelsRange>
                <c15:f>'Calculations MIP-VW'!$C$244:$C$246</c15:f>
              </c15:datalabelsRange>
            </c:ext>
            <c:ext xmlns:c16="http://schemas.microsoft.com/office/drawing/2014/chart" uri="{C3380CC4-5D6E-409C-BE32-E72D297353CC}">
              <c16:uniqueId val="{00000006-8B3E-4D8C-BF63-7629A2116E46}"/>
            </c:ext>
          </c:extLst>
        </c:ser>
        <c:ser>
          <c:idx val="8"/>
          <c:order val="5"/>
          <c:tx>
            <c:strRef>
              <c:f>'Calculations MIP-VW'!$F$239</c:f>
              <c:strCache>
                <c:ptCount val="1"/>
                <c:pt idx="0">
                  <c:v>Mob/Demob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'Calculations MIP-VW'!$A$240:$A$242</c:f>
            </c:multiLvlStrRef>
          </c:cat>
          <c:val>
            <c:numRef>
              <c:f>'Calculations MIP-VW'!$F$240:$F$242</c:f>
            </c:numRef>
          </c:val>
          <c:extLst>
            <c:ext xmlns:c15="http://schemas.microsoft.com/office/drawing/2012/chart" uri="{02D57815-91ED-43cb-92C2-25804820EDAC}">
              <c15:datalabelsRange>
                <c15:f>'Calculations MIP-VW'!$F$244:$F$246</c15:f>
              </c15:datalabelsRange>
            </c:ext>
            <c:ext xmlns:c16="http://schemas.microsoft.com/office/drawing/2014/chart" uri="{C3380CC4-5D6E-409C-BE32-E72D297353CC}">
              <c16:uniqueId val="{00000000-3D34-417D-BD63-69656DB123DB}"/>
            </c:ext>
          </c:extLst>
        </c:ser>
        <c:ser>
          <c:idx val="9"/>
          <c:order val="6"/>
          <c:tx>
            <c:strRef>
              <c:f>'Calculations MIP-VW'!$G$239</c:f>
              <c:strCache>
                <c:ptCount val="1"/>
                <c:pt idx="0">
                  <c:v>People's Transport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multiLvlStrRef>
              <c:f>'Calculations MIP-VW'!$A$240:$A$242</c:f>
            </c:multiLvlStrRef>
          </c:cat>
          <c:val>
            <c:numRef>
              <c:f>'Calculations MIP-VW'!$G$240:$G$242</c:f>
            </c:numRef>
          </c:val>
          <c:extLst>
            <c:ext xmlns:c15="http://schemas.microsoft.com/office/drawing/2012/chart" uri="{02D57815-91ED-43cb-92C2-25804820EDAC}">
              <c15:datalabelsRange>
                <c15:f>'Calculations MIP-VW'!$G$244:$G$246</c15:f>
              </c15:datalabelsRange>
            </c:ext>
            <c:ext xmlns:c16="http://schemas.microsoft.com/office/drawing/2014/chart" uri="{C3380CC4-5D6E-409C-BE32-E72D297353CC}">
              <c16:uniqueId val="{00000001-3D34-417D-BD63-69656DB12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459144"/>
        <c:axId val="448459472"/>
        <c:extLst/>
      </c:barChart>
      <c:catAx>
        <c:axId val="44845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59472"/>
        <c:crosses val="autoZero"/>
        <c:auto val="1"/>
        <c:lblAlgn val="ctr"/>
        <c:lblOffset val="100"/>
        <c:noMultiLvlLbl val="0"/>
      </c:catAx>
      <c:valAx>
        <c:axId val="4484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</a:t>
                </a:r>
                <a:r>
                  <a:rPr lang="de-DE" baseline="0"/>
                  <a:t> CO</a:t>
                </a:r>
                <a:r>
                  <a:rPr lang="de-DE" baseline="-25000"/>
                  <a:t>2eq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5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8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'Calculations MIP-VW'!$P$113</c:f>
              <c:strCache>
                <c:ptCount val="1"/>
                <c:pt idx="0">
                  <c:v>BPW+UWS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'Calculations MIP-VW'!$Q$112:$T$112</c:f>
              <c:strCache>
                <c:ptCount val="4"/>
                <c:pt idx="0">
                  <c:v>10/150</c:v>
                </c:pt>
                <c:pt idx="1">
                  <c:v>20/300</c:v>
                </c:pt>
                <c:pt idx="2">
                  <c:v>30/450</c:v>
                </c:pt>
                <c:pt idx="3">
                  <c:v>40/600</c:v>
                </c:pt>
              </c:strCache>
            </c:strRef>
          </c:cat>
          <c:val>
            <c:numRef>
              <c:f>'Calculations MIP-VW'!$Q$113:$T$113</c:f>
            </c:numRef>
          </c:val>
          <c:smooth val="0"/>
          <c:extLst>
            <c:ext xmlns:c16="http://schemas.microsoft.com/office/drawing/2014/chart" uri="{C3380CC4-5D6E-409C-BE32-E72D297353CC}">
              <c16:uniqueId val="{00000000-8D9C-402E-BCEB-50BC7086DB94}"/>
            </c:ext>
          </c:extLst>
        </c:ser>
        <c:ser>
          <c:idx val="1"/>
          <c:order val="1"/>
          <c:tx>
            <c:strRef>
              <c:f>'Calculations MIP-VW'!$P$114</c:f>
              <c:strCache>
                <c:ptCount val="1"/>
                <c:pt idx="0">
                  <c:v>MIP+HDI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'Calculations MIP-VW'!$Q$112:$T$112</c:f>
              <c:strCache>
                <c:ptCount val="4"/>
                <c:pt idx="0">
                  <c:v>10/150</c:v>
                </c:pt>
                <c:pt idx="1">
                  <c:v>20/300</c:v>
                </c:pt>
                <c:pt idx="2">
                  <c:v>30/450</c:v>
                </c:pt>
                <c:pt idx="3">
                  <c:v>40/600</c:v>
                </c:pt>
              </c:strCache>
            </c:strRef>
          </c:cat>
          <c:val>
            <c:numRef>
              <c:f>'Calculations MIP-VW'!$Q$114:$T$114</c:f>
            </c:numRef>
          </c:val>
          <c:smooth val="0"/>
          <c:extLst>
            <c:ext xmlns:c16="http://schemas.microsoft.com/office/drawing/2014/chart" uri="{C3380CC4-5D6E-409C-BE32-E72D297353CC}">
              <c16:uniqueId val="{00000001-8D9C-402E-BCEB-50BC7086DB94}"/>
            </c:ext>
          </c:extLst>
        </c:ser>
        <c:ser>
          <c:idx val="2"/>
          <c:order val="2"/>
          <c:tx>
            <c:strRef>
              <c:f>'Calculations MIP-VW'!$P$115</c:f>
              <c:strCache>
                <c:ptCount val="1"/>
                <c:pt idx="0">
                  <c:v>MIP+LWS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'Calculations MIP-VW'!$Q$112:$T$112</c:f>
              <c:strCache>
                <c:ptCount val="4"/>
                <c:pt idx="0">
                  <c:v>10/150</c:v>
                </c:pt>
                <c:pt idx="1">
                  <c:v>20/300</c:v>
                </c:pt>
                <c:pt idx="2">
                  <c:v>30/450</c:v>
                </c:pt>
                <c:pt idx="3">
                  <c:v>40/600</c:v>
                </c:pt>
              </c:strCache>
            </c:strRef>
          </c:cat>
          <c:val>
            <c:numRef>
              <c:f>'Calculations MIP-VW'!$Q$115:$T$115</c:f>
            </c:numRef>
          </c:val>
          <c:smooth val="0"/>
          <c:extLst>
            <c:ext xmlns:c16="http://schemas.microsoft.com/office/drawing/2014/chart" uri="{C3380CC4-5D6E-409C-BE32-E72D297353CC}">
              <c16:uniqueId val="{00000002-8D9C-402E-BCEB-50BC7086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101048"/>
        <c:axId val="599099736"/>
      </c:lineChart>
      <c:catAx>
        <c:axId val="59910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099736"/>
        <c:crosses val="autoZero"/>
        <c:auto val="1"/>
        <c:lblAlgn val="ctr"/>
        <c:lblOffset val="100"/>
        <c:noMultiLvlLbl val="0"/>
      </c:catAx>
      <c:valAx>
        <c:axId val="5990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10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1650028</xdr:colOff>
      <xdr:row>205</xdr:row>
      <xdr:rowOff>103910</xdr:rowOff>
    </xdr:from>
    <xdr:to>
      <xdr:col>23</xdr:col>
      <xdr:colOff>935474</xdr:colOff>
      <xdr:row>246</xdr:row>
      <xdr:rowOff>362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7C2574-C23C-4B3C-BECB-40E4387F7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1432391</xdr:colOff>
      <xdr:row>123</xdr:row>
      <xdr:rowOff>92186</xdr:rowOff>
    </xdr:from>
    <xdr:to>
      <xdr:col>21</xdr:col>
      <xdr:colOff>1143874</xdr:colOff>
      <xdr:row>153</xdr:row>
      <xdr:rowOff>350003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9B87869-54D6-4B18-80DD-0D2B59130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466645</xdr:colOff>
      <xdr:row>251</xdr:row>
      <xdr:rowOff>128066</xdr:rowOff>
    </xdr:from>
    <xdr:to>
      <xdr:col>15</xdr:col>
      <xdr:colOff>513873</xdr:colOff>
      <xdr:row>291</xdr:row>
      <xdr:rowOff>56828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2E1236A-9550-45F8-9BDF-821ADE5F0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1493182</xdr:colOff>
      <xdr:row>218</xdr:row>
      <xdr:rowOff>140634</xdr:rowOff>
    </xdr:from>
    <xdr:to>
      <xdr:col>26</xdr:col>
      <xdr:colOff>1056152</xdr:colOff>
      <xdr:row>251</xdr:row>
      <xdr:rowOff>80123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B108EC-3118-47C7-A8E5-CD6B44C45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1575547</xdr:colOff>
      <xdr:row>219</xdr:row>
      <xdr:rowOff>85164</xdr:rowOff>
    </xdr:from>
    <xdr:to>
      <xdr:col>35</xdr:col>
      <xdr:colOff>320489</xdr:colOff>
      <xdr:row>252</xdr:row>
      <xdr:rowOff>58270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574C0EA-5BC0-47D6-AFB2-E271084F6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2076449</xdr:colOff>
      <xdr:row>219</xdr:row>
      <xdr:rowOff>0</xdr:rowOff>
    </xdr:from>
    <xdr:to>
      <xdr:col>2</xdr:col>
      <xdr:colOff>180974</xdr:colOff>
      <xdr:row>226</xdr:row>
      <xdr:rowOff>33618</xdr:rowOff>
    </xdr:to>
    <xdr:sp macro="" textlink="">
      <xdr:nvSpPr>
        <xdr:cNvPr id="7" name="Geschweifte Klammer rechts 6">
          <a:extLst>
            <a:ext uri="{FF2B5EF4-FFF2-40B4-BE49-F238E27FC236}">
              <a16:creationId xmlns:a16="http://schemas.microsoft.com/office/drawing/2014/main" id="{1980F651-F92D-4477-8A9B-07BE6EFCDD9F}"/>
            </a:ext>
          </a:extLst>
        </xdr:cNvPr>
        <xdr:cNvSpPr/>
      </xdr:nvSpPr>
      <xdr:spPr>
        <a:xfrm>
          <a:off x="3297890" y="17425147"/>
          <a:ext cx="300878" cy="41461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1134018</xdr:colOff>
      <xdr:row>251</xdr:row>
      <xdr:rowOff>85255</xdr:rowOff>
    </xdr:from>
    <xdr:to>
      <xdr:col>2</xdr:col>
      <xdr:colOff>472322</xdr:colOff>
      <xdr:row>269</xdr:row>
      <xdr:rowOff>36388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F276726-AC2E-4E9A-8539-176501C4B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2024062</xdr:colOff>
      <xdr:row>251</xdr:row>
      <xdr:rowOff>83343</xdr:rowOff>
    </xdr:from>
    <xdr:to>
      <xdr:col>6</xdr:col>
      <xdr:colOff>414130</xdr:colOff>
      <xdr:row>269</xdr:row>
      <xdr:rowOff>35720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D4C1460-13F6-478A-B118-E866E7F9D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1136431</xdr:colOff>
      <xdr:row>258</xdr:row>
      <xdr:rowOff>6569</xdr:rowOff>
    </xdr:from>
    <xdr:to>
      <xdr:col>1</xdr:col>
      <xdr:colOff>1353209</xdr:colOff>
      <xdr:row>264</xdr:row>
      <xdr:rowOff>170793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91AFC12-1273-4C2E-B2E7-D48C433140B3}"/>
            </a:ext>
          </a:extLst>
        </xdr:cNvPr>
        <xdr:cNvSpPr txBox="1"/>
      </xdr:nvSpPr>
      <xdr:spPr>
        <a:xfrm rot="16200000">
          <a:off x="2464020" y="18303436"/>
          <a:ext cx="0" cy="216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chemeClr val="bg1"/>
              </a:solidFill>
            </a:rPr>
            <a:t>BPW+UWS</a:t>
          </a:r>
        </a:p>
      </xdr:txBody>
    </xdr:sp>
    <xdr:clientData/>
  </xdr:twoCellAnchor>
  <xdr:twoCellAnchor>
    <xdr:from>
      <xdr:col>1</xdr:col>
      <xdr:colOff>1347952</xdr:colOff>
      <xdr:row>258</xdr:row>
      <xdr:rowOff>7882</xdr:rowOff>
    </xdr:from>
    <xdr:to>
      <xdr:col>1</xdr:col>
      <xdr:colOff>1564730</xdr:colOff>
      <xdr:row>264</xdr:row>
      <xdr:rowOff>172106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36BCABC8-212A-40F9-8F24-56FA53AF632D}"/>
            </a:ext>
          </a:extLst>
        </xdr:cNvPr>
        <xdr:cNvSpPr txBox="1"/>
      </xdr:nvSpPr>
      <xdr:spPr>
        <a:xfrm rot="16200000">
          <a:off x="2675541" y="18303436"/>
          <a:ext cx="0" cy="216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chemeClr val="bg1"/>
              </a:solidFill>
            </a:rPr>
            <a:t>MIP+JG</a:t>
          </a:r>
        </a:p>
      </xdr:txBody>
    </xdr:sp>
    <xdr:clientData/>
  </xdr:twoCellAnchor>
  <xdr:twoCellAnchor>
    <xdr:from>
      <xdr:col>1</xdr:col>
      <xdr:colOff>1559473</xdr:colOff>
      <xdr:row>258</xdr:row>
      <xdr:rowOff>9196</xdr:rowOff>
    </xdr:from>
    <xdr:to>
      <xdr:col>1</xdr:col>
      <xdr:colOff>1776251</xdr:colOff>
      <xdr:row>264</xdr:row>
      <xdr:rowOff>173420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F70B5CAE-4272-4603-9A37-F4309C67BF09}"/>
            </a:ext>
          </a:extLst>
        </xdr:cNvPr>
        <xdr:cNvSpPr txBox="1"/>
      </xdr:nvSpPr>
      <xdr:spPr>
        <a:xfrm rot="16200000">
          <a:off x="2887062" y="18303436"/>
          <a:ext cx="0" cy="216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chemeClr val="bg1"/>
              </a:solidFill>
            </a:rPr>
            <a:t>MIP+GEL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1650028</xdr:colOff>
      <xdr:row>201</xdr:row>
      <xdr:rowOff>103910</xdr:rowOff>
    </xdr:from>
    <xdr:to>
      <xdr:col>23</xdr:col>
      <xdr:colOff>935474</xdr:colOff>
      <xdr:row>242</xdr:row>
      <xdr:rowOff>362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1432391</xdr:colOff>
      <xdr:row>119</xdr:row>
      <xdr:rowOff>92186</xdr:rowOff>
    </xdr:from>
    <xdr:to>
      <xdr:col>21</xdr:col>
      <xdr:colOff>1143874</xdr:colOff>
      <xdr:row>149</xdr:row>
      <xdr:rowOff>350003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466645</xdr:colOff>
      <xdr:row>247</xdr:row>
      <xdr:rowOff>128066</xdr:rowOff>
    </xdr:from>
    <xdr:to>
      <xdr:col>15</xdr:col>
      <xdr:colOff>513873</xdr:colOff>
      <xdr:row>287</xdr:row>
      <xdr:rowOff>56828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1493182</xdr:colOff>
      <xdr:row>214</xdr:row>
      <xdr:rowOff>140634</xdr:rowOff>
    </xdr:from>
    <xdr:to>
      <xdr:col>26</xdr:col>
      <xdr:colOff>1056152</xdr:colOff>
      <xdr:row>247</xdr:row>
      <xdr:rowOff>80123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1575547</xdr:colOff>
      <xdr:row>215</xdr:row>
      <xdr:rowOff>85164</xdr:rowOff>
    </xdr:from>
    <xdr:to>
      <xdr:col>35</xdr:col>
      <xdr:colOff>320489</xdr:colOff>
      <xdr:row>248</xdr:row>
      <xdr:rowOff>58270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2076449</xdr:colOff>
      <xdr:row>215</xdr:row>
      <xdr:rowOff>57149</xdr:rowOff>
    </xdr:from>
    <xdr:to>
      <xdr:col>2</xdr:col>
      <xdr:colOff>180974</xdr:colOff>
      <xdr:row>227</xdr:row>
      <xdr:rowOff>104774</xdr:rowOff>
    </xdr:to>
    <xdr:sp macro="" textlink="">
      <xdr:nvSpPr>
        <xdr:cNvPr id="2" name="Geschweifte Klammer recht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295649" y="39938324"/>
          <a:ext cx="295275" cy="22193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1134018</xdr:colOff>
      <xdr:row>247</xdr:row>
      <xdr:rowOff>85255</xdr:rowOff>
    </xdr:from>
    <xdr:to>
      <xdr:col>2</xdr:col>
      <xdr:colOff>472322</xdr:colOff>
      <xdr:row>265</xdr:row>
      <xdr:rowOff>36388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2024062</xdr:colOff>
      <xdr:row>247</xdr:row>
      <xdr:rowOff>83343</xdr:rowOff>
    </xdr:from>
    <xdr:to>
      <xdr:col>6</xdr:col>
      <xdr:colOff>414130</xdr:colOff>
      <xdr:row>265</xdr:row>
      <xdr:rowOff>35720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1136431</xdr:colOff>
      <xdr:row>254</xdr:row>
      <xdr:rowOff>6569</xdr:rowOff>
    </xdr:from>
    <xdr:to>
      <xdr:col>1</xdr:col>
      <xdr:colOff>1353209</xdr:colOff>
      <xdr:row>260</xdr:row>
      <xdr:rowOff>170793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rot="16200000">
          <a:off x="1832743" y="50101499"/>
          <a:ext cx="1267810" cy="216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chemeClr val="bg1"/>
              </a:solidFill>
            </a:rPr>
            <a:t>BPW+UWS</a:t>
          </a:r>
        </a:p>
      </xdr:txBody>
    </xdr:sp>
    <xdr:clientData/>
  </xdr:twoCellAnchor>
  <xdr:twoCellAnchor>
    <xdr:from>
      <xdr:col>1</xdr:col>
      <xdr:colOff>1347952</xdr:colOff>
      <xdr:row>254</xdr:row>
      <xdr:rowOff>7882</xdr:rowOff>
    </xdr:from>
    <xdr:to>
      <xdr:col>1</xdr:col>
      <xdr:colOff>1564730</xdr:colOff>
      <xdr:row>260</xdr:row>
      <xdr:rowOff>172106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 rot="16200000">
          <a:off x="2044264" y="50102812"/>
          <a:ext cx="1267810" cy="216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chemeClr val="bg1"/>
              </a:solidFill>
            </a:rPr>
            <a:t>MIP+JG</a:t>
          </a:r>
        </a:p>
      </xdr:txBody>
    </xdr:sp>
    <xdr:clientData/>
  </xdr:twoCellAnchor>
  <xdr:twoCellAnchor>
    <xdr:from>
      <xdr:col>1</xdr:col>
      <xdr:colOff>1559473</xdr:colOff>
      <xdr:row>254</xdr:row>
      <xdr:rowOff>9196</xdr:rowOff>
    </xdr:from>
    <xdr:to>
      <xdr:col>1</xdr:col>
      <xdr:colOff>1776251</xdr:colOff>
      <xdr:row>260</xdr:row>
      <xdr:rowOff>173420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 rot="16200000">
          <a:off x="2255785" y="50104126"/>
          <a:ext cx="1267810" cy="216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chemeClr val="bg1"/>
              </a:solidFill>
            </a:rPr>
            <a:t>MIP+GEL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1650028</xdr:colOff>
      <xdr:row>201</xdr:row>
      <xdr:rowOff>103910</xdr:rowOff>
    </xdr:from>
    <xdr:to>
      <xdr:col>23</xdr:col>
      <xdr:colOff>935474</xdr:colOff>
      <xdr:row>242</xdr:row>
      <xdr:rowOff>362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0EDAFA-97EF-4551-AF08-DDBB9BA48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1432391</xdr:colOff>
      <xdr:row>119</xdr:row>
      <xdr:rowOff>92186</xdr:rowOff>
    </xdr:from>
    <xdr:to>
      <xdr:col>21</xdr:col>
      <xdr:colOff>1143874</xdr:colOff>
      <xdr:row>149</xdr:row>
      <xdr:rowOff>350003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045342C-E7F9-4CFB-AB52-0D98AE04A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466645</xdr:colOff>
      <xdr:row>247</xdr:row>
      <xdr:rowOff>128066</xdr:rowOff>
    </xdr:from>
    <xdr:to>
      <xdr:col>15</xdr:col>
      <xdr:colOff>513873</xdr:colOff>
      <xdr:row>287</xdr:row>
      <xdr:rowOff>56828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A2D6DC6-0BAF-48C1-9352-6DDC1A0D3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1493182</xdr:colOff>
      <xdr:row>214</xdr:row>
      <xdr:rowOff>140634</xdr:rowOff>
    </xdr:from>
    <xdr:to>
      <xdr:col>26</xdr:col>
      <xdr:colOff>1056152</xdr:colOff>
      <xdr:row>247</xdr:row>
      <xdr:rowOff>80123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B74D336-348F-47D4-83B6-0D05F532D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1575547</xdr:colOff>
      <xdr:row>215</xdr:row>
      <xdr:rowOff>85164</xdr:rowOff>
    </xdr:from>
    <xdr:to>
      <xdr:col>35</xdr:col>
      <xdr:colOff>320489</xdr:colOff>
      <xdr:row>248</xdr:row>
      <xdr:rowOff>58270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9841D9D-D5CC-4B92-AB67-08D7CBCB7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2076449</xdr:colOff>
      <xdr:row>215</xdr:row>
      <xdr:rowOff>57149</xdr:rowOff>
    </xdr:from>
    <xdr:to>
      <xdr:col>2</xdr:col>
      <xdr:colOff>180974</xdr:colOff>
      <xdr:row>227</xdr:row>
      <xdr:rowOff>104774</xdr:rowOff>
    </xdr:to>
    <xdr:sp macro="" textlink="">
      <xdr:nvSpPr>
        <xdr:cNvPr id="7" name="Geschweifte Klammer rechts 6">
          <a:extLst>
            <a:ext uri="{FF2B5EF4-FFF2-40B4-BE49-F238E27FC236}">
              <a16:creationId xmlns:a16="http://schemas.microsoft.com/office/drawing/2014/main" id="{D826F6C1-3826-4D7E-8A3D-230BB8701829}"/>
            </a:ext>
          </a:extLst>
        </xdr:cNvPr>
        <xdr:cNvSpPr/>
      </xdr:nvSpPr>
      <xdr:spPr>
        <a:xfrm>
          <a:off x="3295649" y="16764000"/>
          <a:ext cx="295275" cy="5619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1134018</xdr:colOff>
      <xdr:row>247</xdr:row>
      <xdr:rowOff>85255</xdr:rowOff>
    </xdr:from>
    <xdr:to>
      <xdr:col>2</xdr:col>
      <xdr:colOff>472322</xdr:colOff>
      <xdr:row>265</xdr:row>
      <xdr:rowOff>36388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DCA130F-190D-4F1F-8A12-0B544D6F4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2024062</xdr:colOff>
      <xdr:row>247</xdr:row>
      <xdr:rowOff>83343</xdr:rowOff>
    </xdr:from>
    <xdr:to>
      <xdr:col>6</xdr:col>
      <xdr:colOff>414130</xdr:colOff>
      <xdr:row>265</xdr:row>
      <xdr:rowOff>35720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C2756475-D074-4105-9270-10FE3CB01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1136431</xdr:colOff>
      <xdr:row>254</xdr:row>
      <xdr:rowOff>6569</xdr:rowOff>
    </xdr:from>
    <xdr:to>
      <xdr:col>1</xdr:col>
      <xdr:colOff>1353209</xdr:colOff>
      <xdr:row>260</xdr:row>
      <xdr:rowOff>170793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E2DCD279-FEEE-427F-8096-92F193CE5D83}"/>
            </a:ext>
          </a:extLst>
        </xdr:cNvPr>
        <xdr:cNvSpPr txBox="1"/>
      </xdr:nvSpPr>
      <xdr:spPr>
        <a:xfrm rot="16200000">
          <a:off x="2464020" y="17579536"/>
          <a:ext cx="0" cy="216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chemeClr val="bg1"/>
              </a:solidFill>
            </a:rPr>
            <a:t>BPW+UWS</a:t>
          </a:r>
        </a:p>
      </xdr:txBody>
    </xdr:sp>
    <xdr:clientData/>
  </xdr:twoCellAnchor>
  <xdr:twoCellAnchor>
    <xdr:from>
      <xdr:col>1</xdr:col>
      <xdr:colOff>1347952</xdr:colOff>
      <xdr:row>254</xdr:row>
      <xdr:rowOff>7882</xdr:rowOff>
    </xdr:from>
    <xdr:to>
      <xdr:col>1</xdr:col>
      <xdr:colOff>1564730</xdr:colOff>
      <xdr:row>260</xdr:row>
      <xdr:rowOff>172106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ECEDD9D3-0AEA-4295-BDE1-012B1353D322}"/>
            </a:ext>
          </a:extLst>
        </xdr:cNvPr>
        <xdr:cNvSpPr txBox="1"/>
      </xdr:nvSpPr>
      <xdr:spPr>
        <a:xfrm rot="16200000">
          <a:off x="2675541" y="17579536"/>
          <a:ext cx="0" cy="216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chemeClr val="bg1"/>
              </a:solidFill>
            </a:rPr>
            <a:t>MIP+JG</a:t>
          </a:r>
        </a:p>
      </xdr:txBody>
    </xdr:sp>
    <xdr:clientData/>
  </xdr:twoCellAnchor>
  <xdr:twoCellAnchor>
    <xdr:from>
      <xdr:col>1</xdr:col>
      <xdr:colOff>1559473</xdr:colOff>
      <xdr:row>254</xdr:row>
      <xdr:rowOff>9196</xdr:rowOff>
    </xdr:from>
    <xdr:to>
      <xdr:col>1</xdr:col>
      <xdr:colOff>1776251</xdr:colOff>
      <xdr:row>260</xdr:row>
      <xdr:rowOff>173420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B7281DEE-F9B0-4F21-8CFC-7A9BCE9A839D}"/>
            </a:ext>
          </a:extLst>
        </xdr:cNvPr>
        <xdr:cNvSpPr txBox="1"/>
      </xdr:nvSpPr>
      <xdr:spPr>
        <a:xfrm rot="16200000">
          <a:off x="2887062" y="17579536"/>
          <a:ext cx="0" cy="216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chemeClr val="bg1"/>
              </a:solidFill>
            </a:rPr>
            <a:t>MIP+GEL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419098</xdr:colOff>
      <xdr:row>41</xdr:row>
      <xdr:rowOff>32658</xdr:rowOff>
    </xdr:from>
    <xdr:to>
      <xdr:col>9</xdr:col>
      <xdr:colOff>256293</xdr:colOff>
      <xdr:row>50</xdr:row>
      <xdr:rowOff>37857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69ECEFF-8C7F-4003-86AE-F94881F4E8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529"/>
        <a:stretch/>
      </xdr:blipFill>
      <xdr:spPr>
        <a:xfrm>
          <a:off x="3804555" y="7266215"/>
          <a:ext cx="7038095" cy="16217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1650028</xdr:colOff>
      <xdr:row>212</xdr:row>
      <xdr:rowOff>103910</xdr:rowOff>
    </xdr:from>
    <xdr:to>
      <xdr:col>24</xdr:col>
      <xdr:colOff>935474</xdr:colOff>
      <xdr:row>253</xdr:row>
      <xdr:rowOff>362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EB4238-0039-4B78-BABA-EB0519D76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1432391</xdr:colOff>
      <xdr:row>130</xdr:row>
      <xdr:rowOff>92186</xdr:rowOff>
    </xdr:from>
    <xdr:to>
      <xdr:col>22</xdr:col>
      <xdr:colOff>1143874</xdr:colOff>
      <xdr:row>160</xdr:row>
      <xdr:rowOff>350003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A5F509-4189-4131-89F6-5FEC80F03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1493182</xdr:colOff>
      <xdr:row>225</xdr:row>
      <xdr:rowOff>140634</xdr:rowOff>
    </xdr:from>
    <xdr:to>
      <xdr:col>27</xdr:col>
      <xdr:colOff>1056152</xdr:colOff>
      <xdr:row>258</xdr:row>
      <xdr:rowOff>80123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1AB670E-0157-45B3-882E-4C8A5717A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1575547</xdr:colOff>
      <xdr:row>226</xdr:row>
      <xdr:rowOff>85164</xdr:rowOff>
    </xdr:from>
    <xdr:to>
      <xdr:col>36</xdr:col>
      <xdr:colOff>320489</xdr:colOff>
      <xdr:row>259</xdr:row>
      <xdr:rowOff>58270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2ED4E74-0BA7-41C7-8983-52D2F861D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2076449</xdr:colOff>
      <xdr:row>226</xdr:row>
      <xdr:rowOff>57149</xdr:rowOff>
    </xdr:from>
    <xdr:to>
      <xdr:col>2</xdr:col>
      <xdr:colOff>180974</xdr:colOff>
      <xdr:row>238</xdr:row>
      <xdr:rowOff>104774</xdr:rowOff>
    </xdr:to>
    <xdr:sp macro="" textlink="">
      <xdr:nvSpPr>
        <xdr:cNvPr id="7" name="Geschweifte Klammer rechts 6">
          <a:extLst>
            <a:ext uri="{FF2B5EF4-FFF2-40B4-BE49-F238E27FC236}">
              <a16:creationId xmlns:a16="http://schemas.microsoft.com/office/drawing/2014/main" id="{EAC7EEBF-E233-45E0-9BFE-A4B6F92611BF}"/>
            </a:ext>
          </a:extLst>
        </xdr:cNvPr>
        <xdr:cNvSpPr/>
      </xdr:nvSpPr>
      <xdr:spPr>
        <a:xfrm>
          <a:off x="3295649" y="26412824"/>
          <a:ext cx="295275" cy="87630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1134018</xdr:colOff>
      <xdr:row>258</xdr:row>
      <xdr:rowOff>85255</xdr:rowOff>
    </xdr:from>
    <xdr:to>
      <xdr:col>2</xdr:col>
      <xdr:colOff>472322</xdr:colOff>
      <xdr:row>276</xdr:row>
      <xdr:rowOff>36388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DFF44CE-2F05-42B8-BF62-A56F53F1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2024062</xdr:colOff>
      <xdr:row>258</xdr:row>
      <xdr:rowOff>83343</xdr:rowOff>
    </xdr:from>
    <xdr:to>
      <xdr:col>6</xdr:col>
      <xdr:colOff>414130</xdr:colOff>
      <xdr:row>276</xdr:row>
      <xdr:rowOff>35720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15147E7-6676-4CCF-A5B2-CE77AE2D1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1136431</xdr:colOff>
      <xdr:row>265</xdr:row>
      <xdr:rowOff>6569</xdr:rowOff>
    </xdr:from>
    <xdr:to>
      <xdr:col>1</xdr:col>
      <xdr:colOff>1353209</xdr:colOff>
      <xdr:row>271</xdr:row>
      <xdr:rowOff>170793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C957E6CD-5013-486F-9F38-D2943EC807C9}"/>
            </a:ext>
          </a:extLst>
        </xdr:cNvPr>
        <xdr:cNvSpPr txBox="1"/>
      </xdr:nvSpPr>
      <xdr:spPr>
        <a:xfrm rot="16200000">
          <a:off x="1838983" y="32917742"/>
          <a:ext cx="1250074" cy="216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chemeClr val="bg1"/>
              </a:solidFill>
            </a:rPr>
            <a:t>BPW+UWS</a:t>
          </a:r>
        </a:p>
      </xdr:txBody>
    </xdr:sp>
    <xdr:clientData/>
  </xdr:twoCellAnchor>
  <xdr:twoCellAnchor>
    <xdr:from>
      <xdr:col>1</xdr:col>
      <xdr:colOff>1347952</xdr:colOff>
      <xdr:row>265</xdr:row>
      <xdr:rowOff>7882</xdr:rowOff>
    </xdr:from>
    <xdr:to>
      <xdr:col>1</xdr:col>
      <xdr:colOff>1564730</xdr:colOff>
      <xdr:row>271</xdr:row>
      <xdr:rowOff>172106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C073CE44-E838-4BA1-BFD8-07EA505C2409}"/>
            </a:ext>
          </a:extLst>
        </xdr:cNvPr>
        <xdr:cNvSpPr txBox="1"/>
      </xdr:nvSpPr>
      <xdr:spPr>
        <a:xfrm rot="16200000">
          <a:off x="2050504" y="32919055"/>
          <a:ext cx="1250074" cy="216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chemeClr val="bg1"/>
              </a:solidFill>
            </a:rPr>
            <a:t>MIP+JG</a:t>
          </a:r>
        </a:p>
      </xdr:txBody>
    </xdr:sp>
    <xdr:clientData/>
  </xdr:twoCellAnchor>
  <xdr:twoCellAnchor>
    <xdr:from>
      <xdr:col>1</xdr:col>
      <xdr:colOff>1559473</xdr:colOff>
      <xdr:row>265</xdr:row>
      <xdr:rowOff>9196</xdr:rowOff>
    </xdr:from>
    <xdr:to>
      <xdr:col>1</xdr:col>
      <xdr:colOff>1776251</xdr:colOff>
      <xdr:row>271</xdr:row>
      <xdr:rowOff>173420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21218BB9-50EB-48F1-8FAE-B1E5D93F3BBB}"/>
            </a:ext>
          </a:extLst>
        </xdr:cNvPr>
        <xdr:cNvSpPr txBox="1"/>
      </xdr:nvSpPr>
      <xdr:spPr>
        <a:xfrm rot="16200000">
          <a:off x="2262025" y="32920369"/>
          <a:ext cx="1250074" cy="216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chemeClr val="bg1"/>
              </a:solidFill>
            </a:rPr>
            <a:t>MIP+GEL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419098</xdr:colOff>
      <xdr:row>46</xdr:row>
      <xdr:rowOff>32658</xdr:rowOff>
    </xdr:from>
    <xdr:to>
      <xdr:col>9</xdr:col>
      <xdr:colOff>256293</xdr:colOff>
      <xdr:row>55</xdr:row>
      <xdr:rowOff>37858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1067E69-33A2-4A1E-BF75-D7B7B84DD8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529"/>
        <a:stretch/>
      </xdr:blipFill>
      <xdr:spPr>
        <a:xfrm>
          <a:off x="3800473" y="7252608"/>
          <a:ext cx="7029931" cy="16339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1650028</xdr:colOff>
      <xdr:row>215</xdr:row>
      <xdr:rowOff>103910</xdr:rowOff>
    </xdr:from>
    <xdr:to>
      <xdr:col>24</xdr:col>
      <xdr:colOff>935474</xdr:colOff>
      <xdr:row>256</xdr:row>
      <xdr:rowOff>362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868E58-7CD0-4F8B-A276-E8C46FBFB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1432391</xdr:colOff>
      <xdr:row>130</xdr:row>
      <xdr:rowOff>92186</xdr:rowOff>
    </xdr:from>
    <xdr:to>
      <xdr:col>22</xdr:col>
      <xdr:colOff>1143874</xdr:colOff>
      <xdr:row>160</xdr:row>
      <xdr:rowOff>350003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3C1FD0-81AD-444F-A360-28DA69457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1493182</xdr:colOff>
      <xdr:row>228</xdr:row>
      <xdr:rowOff>140634</xdr:rowOff>
    </xdr:from>
    <xdr:to>
      <xdr:col>27</xdr:col>
      <xdr:colOff>1056152</xdr:colOff>
      <xdr:row>261</xdr:row>
      <xdr:rowOff>80123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34DD49B-0331-4402-A907-4A42BC923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1575547</xdr:colOff>
      <xdr:row>229</xdr:row>
      <xdr:rowOff>85164</xdr:rowOff>
    </xdr:from>
    <xdr:to>
      <xdr:col>36</xdr:col>
      <xdr:colOff>320489</xdr:colOff>
      <xdr:row>262</xdr:row>
      <xdr:rowOff>58270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1CEB1F8-2612-495F-981A-0E7E67737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2076449</xdr:colOff>
      <xdr:row>229</xdr:row>
      <xdr:rowOff>57149</xdr:rowOff>
    </xdr:from>
    <xdr:to>
      <xdr:col>2</xdr:col>
      <xdr:colOff>180974</xdr:colOff>
      <xdr:row>241</xdr:row>
      <xdr:rowOff>104774</xdr:rowOff>
    </xdr:to>
    <xdr:sp macro="" textlink="">
      <xdr:nvSpPr>
        <xdr:cNvPr id="6" name="Geschweifte Klammer rechts 5">
          <a:extLst>
            <a:ext uri="{FF2B5EF4-FFF2-40B4-BE49-F238E27FC236}">
              <a16:creationId xmlns:a16="http://schemas.microsoft.com/office/drawing/2014/main" id="{FC94DC7E-B809-48A0-9673-6A5C29480255}"/>
            </a:ext>
          </a:extLst>
        </xdr:cNvPr>
        <xdr:cNvSpPr/>
      </xdr:nvSpPr>
      <xdr:spPr>
        <a:xfrm>
          <a:off x="3295649" y="18573749"/>
          <a:ext cx="295275" cy="49530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1134018</xdr:colOff>
      <xdr:row>261</xdr:row>
      <xdr:rowOff>85255</xdr:rowOff>
    </xdr:from>
    <xdr:to>
      <xdr:col>2</xdr:col>
      <xdr:colOff>472322</xdr:colOff>
      <xdr:row>279</xdr:row>
      <xdr:rowOff>36388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421481C-5F31-4096-B867-71877C9B9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2024062</xdr:colOff>
      <xdr:row>261</xdr:row>
      <xdr:rowOff>83343</xdr:rowOff>
    </xdr:from>
    <xdr:to>
      <xdr:col>6</xdr:col>
      <xdr:colOff>414130</xdr:colOff>
      <xdr:row>279</xdr:row>
      <xdr:rowOff>35720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91C6304-0761-4C21-A589-E6BE2CC70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1136431</xdr:colOff>
      <xdr:row>268</xdr:row>
      <xdr:rowOff>6569</xdr:rowOff>
    </xdr:from>
    <xdr:to>
      <xdr:col>1</xdr:col>
      <xdr:colOff>1353209</xdr:colOff>
      <xdr:row>274</xdr:row>
      <xdr:rowOff>170793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5BED7754-6192-40A4-A936-DD036375B158}"/>
            </a:ext>
          </a:extLst>
        </xdr:cNvPr>
        <xdr:cNvSpPr txBox="1"/>
      </xdr:nvSpPr>
      <xdr:spPr>
        <a:xfrm rot="16200000">
          <a:off x="1838983" y="24697667"/>
          <a:ext cx="1250074" cy="216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chemeClr val="bg1"/>
              </a:solidFill>
            </a:rPr>
            <a:t>BPW+UWS</a:t>
          </a:r>
        </a:p>
      </xdr:txBody>
    </xdr:sp>
    <xdr:clientData/>
  </xdr:twoCellAnchor>
  <xdr:twoCellAnchor>
    <xdr:from>
      <xdr:col>1</xdr:col>
      <xdr:colOff>1347952</xdr:colOff>
      <xdr:row>268</xdr:row>
      <xdr:rowOff>7882</xdr:rowOff>
    </xdr:from>
    <xdr:to>
      <xdr:col>1</xdr:col>
      <xdr:colOff>1564730</xdr:colOff>
      <xdr:row>274</xdr:row>
      <xdr:rowOff>172106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38F4E036-1726-4E5D-90D1-B05AD656F3B9}"/>
            </a:ext>
          </a:extLst>
        </xdr:cNvPr>
        <xdr:cNvSpPr txBox="1"/>
      </xdr:nvSpPr>
      <xdr:spPr>
        <a:xfrm rot="16200000">
          <a:off x="2050504" y="24698980"/>
          <a:ext cx="1250074" cy="216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chemeClr val="bg1"/>
              </a:solidFill>
            </a:rPr>
            <a:t>MIP+JG</a:t>
          </a:r>
        </a:p>
      </xdr:txBody>
    </xdr:sp>
    <xdr:clientData/>
  </xdr:twoCellAnchor>
  <xdr:twoCellAnchor>
    <xdr:from>
      <xdr:col>1</xdr:col>
      <xdr:colOff>1559473</xdr:colOff>
      <xdr:row>268</xdr:row>
      <xdr:rowOff>9196</xdr:rowOff>
    </xdr:from>
    <xdr:to>
      <xdr:col>1</xdr:col>
      <xdr:colOff>1776251</xdr:colOff>
      <xdr:row>274</xdr:row>
      <xdr:rowOff>173420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434EF43B-D38F-4E80-9DD7-32AB0E081FC9}"/>
            </a:ext>
          </a:extLst>
        </xdr:cNvPr>
        <xdr:cNvSpPr txBox="1"/>
      </xdr:nvSpPr>
      <xdr:spPr>
        <a:xfrm rot="16200000">
          <a:off x="2262025" y="24700294"/>
          <a:ext cx="1250074" cy="216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chemeClr val="bg1"/>
              </a:solidFill>
            </a:rPr>
            <a:t>MIP+GEL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1650028</xdr:colOff>
      <xdr:row>205</xdr:row>
      <xdr:rowOff>103910</xdr:rowOff>
    </xdr:from>
    <xdr:to>
      <xdr:col>23</xdr:col>
      <xdr:colOff>935474</xdr:colOff>
      <xdr:row>246</xdr:row>
      <xdr:rowOff>362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CA0FAB-B65B-42C0-B2F0-EB30F7249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1432391</xdr:colOff>
      <xdr:row>123</xdr:row>
      <xdr:rowOff>92186</xdr:rowOff>
    </xdr:from>
    <xdr:to>
      <xdr:col>21</xdr:col>
      <xdr:colOff>1143874</xdr:colOff>
      <xdr:row>153</xdr:row>
      <xdr:rowOff>350003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FFD5836-5B6B-4A51-8DA1-AEA976576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466645</xdr:colOff>
      <xdr:row>251</xdr:row>
      <xdr:rowOff>128066</xdr:rowOff>
    </xdr:from>
    <xdr:to>
      <xdr:col>15</xdr:col>
      <xdr:colOff>513873</xdr:colOff>
      <xdr:row>291</xdr:row>
      <xdr:rowOff>56828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BF8D7DA-7CF3-4498-9B47-555EF810C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1493182</xdr:colOff>
      <xdr:row>218</xdr:row>
      <xdr:rowOff>140634</xdr:rowOff>
    </xdr:from>
    <xdr:to>
      <xdr:col>26</xdr:col>
      <xdr:colOff>1056152</xdr:colOff>
      <xdr:row>251</xdr:row>
      <xdr:rowOff>80123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EAF7E76-0C1A-4DFA-B24F-891CC9B14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1575547</xdr:colOff>
      <xdr:row>219</xdr:row>
      <xdr:rowOff>85164</xdr:rowOff>
    </xdr:from>
    <xdr:to>
      <xdr:col>35</xdr:col>
      <xdr:colOff>320489</xdr:colOff>
      <xdr:row>252</xdr:row>
      <xdr:rowOff>58270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B6A0C6C-0874-46C1-89BF-13D173B3D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2076449</xdr:colOff>
      <xdr:row>219</xdr:row>
      <xdr:rowOff>57149</xdr:rowOff>
    </xdr:from>
    <xdr:to>
      <xdr:col>2</xdr:col>
      <xdr:colOff>180974</xdr:colOff>
      <xdr:row>231</xdr:row>
      <xdr:rowOff>104774</xdr:rowOff>
    </xdr:to>
    <xdr:sp macro="" textlink="">
      <xdr:nvSpPr>
        <xdr:cNvPr id="7" name="Geschweifte Klammer rechts 6">
          <a:extLst>
            <a:ext uri="{FF2B5EF4-FFF2-40B4-BE49-F238E27FC236}">
              <a16:creationId xmlns:a16="http://schemas.microsoft.com/office/drawing/2014/main" id="{04D8C050-9329-4818-8E3E-5D61AE960CC1}"/>
            </a:ext>
          </a:extLst>
        </xdr:cNvPr>
        <xdr:cNvSpPr/>
      </xdr:nvSpPr>
      <xdr:spPr>
        <a:xfrm>
          <a:off x="3295649" y="26412824"/>
          <a:ext cx="295275" cy="87630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1134018</xdr:colOff>
      <xdr:row>251</xdr:row>
      <xdr:rowOff>85255</xdr:rowOff>
    </xdr:from>
    <xdr:to>
      <xdr:col>2</xdr:col>
      <xdr:colOff>472322</xdr:colOff>
      <xdr:row>269</xdr:row>
      <xdr:rowOff>36388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90518B3-98A4-47CC-8511-3420BFBF5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2024062</xdr:colOff>
      <xdr:row>251</xdr:row>
      <xdr:rowOff>83343</xdr:rowOff>
    </xdr:from>
    <xdr:to>
      <xdr:col>6</xdr:col>
      <xdr:colOff>414130</xdr:colOff>
      <xdr:row>269</xdr:row>
      <xdr:rowOff>35720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D5EC326-2A89-4F1E-A6D6-90FA0F81F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1136431</xdr:colOff>
      <xdr:row>258</xdr:row>
      <xdr:rowOff>6569</xdr:rowOff>
    </xdr:from>
    <xdr:to>
      <xdr:col>1</xdr:col>
      <xdr:colOff>1353209</xdr:colOff>
      <xdr:row>264</xdr:row>
      <xdr:rowOff>170793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51B4AE64-4AF4-4A74-9AA9-463523B0A935}"/>
            </a:ext>
          </a:extLst>
        </xdr:cNvPr>
        <xdr:cNvSpPr txBox="1"/>
      </xdr:nvSpPr>
      <xdr:spPr>
        <a:xfrm rot="16200000">
          <a:off x="1838983" y="32917742"/>
          <a:ext cx="1250074" cy="216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chemeClr val="bg1"/>
              </a:solidFill>
            </a:rPr>
            <a:t>BPW+UWS</a:t>
          </a:r>
        </a:p>
      </xdr:txBody>
    </xdr:sp>
    <xdr:clientData/>
  </xdr:twoCellAnchor>
  <xdr:twoCellAnchor>
    <xdr:from>
      <xdr:col>1</xdr:col>
      <xdr:colOff>1347952</xdr:colOff>
      <xdr:row>258</xdr:row>
      <xdr:rowOff>7882</xdr:rowOff>
    </xdr:from>
    <xdr:to>
      <xdr:col>1</xdr:col>
      <xdr:colOff>1564730</xdr:colOff>
      <xdr:row>264</xdr:row>
      <xdr:rowOff>172106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31F139DF-E1A2-4D84-97AB-0504417F2CE1}"/>
            </a:ext>
          </a:extLst>
        </xdr:cNvPr>
        <xdr:cNvSpPr txBox="1"/>
      </xdr:nvSpPr>
      <xdr:spPr>
        <a:xfrm rot="16200000">
          <a:off x="2050504" y="32919055"/>
          <a:ext cx="1250074" cy="216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chemeClr val="bg1"/>
              </a:solidFill>
            </a:rPr>
            <a:t>MIP+JG</a:t>
          </a:r>
        </a:p>
      </xdr:txBody>
    </xdr:sp>
    <xdr:clientData/>
  </xdr:twoCellAnchor>
  <xdr:twoCellAnchor>
    <xdr:from>
      <xdr:col>1</xdr:col>
      <xdr:colOff>1559473</xdr:colOff>
      <xdr:row>258</xdr:row>
      <xdr:rowOff>9196</xdr:rowOff>
    </xdr:from>
    <xdr:to>
      <xdr:col>1</xdr:col>
      <xdr:colOff>1776251</xdr:colOff>
      <xdr:row>264</xdr:row>
      <xdr:rowOff>173420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88411ADD-4F34-4544-B14D-4B70812BB169}"/>
            </a:ext>
          </a:extLst>
        </xdr:cNvPr>
        <xdr:cNvSpPr txBox="1"/>
      </xdr:nvSpPr>
      <xdr:spPr>
        <a:xfrm rot="16200000">
          <a:off x="2262025" y="32920369"/>
          <a:ext cx="1250074" cy="216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chemeClr val="bg1"/>
              </a:solidFill>
            </a:rPr>
            <a:t>MIP+GEL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549085</xdr:colOff>
      <xdr:row>203</xdr:row>
      <xdr:rowOff>57630</xdr:rowOff>
    </xdr:from>
    <xdr:to>
      <xdr:col>21</xdr:col>
      <xdr:colOff>136071</xdr:colOff>
      <xdr:row>239</xdr:row>
      <xdr:rowOff>42420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1744117</xdr:colOff>
      <xdr:row>121</xdr:row>
      <xdr:rowOff>57549</xdr:rowOff>
    </xdr:from>
    <xdr:to>
      <xdr:col>18</xdr:col>
      <xdr:colOff>814828</xdr:colOff>
      <xdr:row>151</xdr:row>
      <xdr:rowOff>315366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466645</xdr:colOff>
      <xdr:row>243</xdr:row>
      <xdr:rowOff>128066</xdr:rowOff>
    </xdr:from>
    <xdr:to>
      <xdr:col>15</xdr:col>
      <xdr:colOff>513873</xdr:colOff>
      <xdr:row>283</xdr:row>
      <xdr:rowOff>56828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1493182</xdr:colOff>
      <xdr:row>212</xdr:row>
      <xdr:rowOff>140634</xdr:rowOff>
    </xdr:from>
    <xdr:to>
      <xdr:col>26</xdr:col>
      <xdr:colOff>1056152</xdr:colOff>
      <xdr:row>243</xdr:row>
      <xdr:rowOff>80123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1575547</xdr:colOff>
      <xdr:row>213</xdr:row>
      <xdr:rowOff>85164</xdr:rowOff>
    </xdr:from>
    <xdr:to>
      <xdr:col>35</xdr:col>
      <xdr:colOff>320489</xdr:colOff>
      <xdr:row>244</xdr:row>
      <xdr:rowOff>58270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2076449</xdr:colOff>
      <xdr:row>213</xdr:row>
      <xdr:rowOff>57149</xdr:rowOff>
    </xdr:from>
    <xdr:to>
      <xdr:col>2</xdr:col>
      <xdr:colOff>180974</xdr:colOff>
      <xdr:row>225</xdr:row>
      <xdr:rowOff>104774</xdr:rowOff>
    </xdr:to>
    <xdr:sp macro="" textlink="">
      <xdr:nvSpPr>
        <xdr:cNvPr id="7" name="Geschweifte Klammer rechts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295649" y="42529124"/>
          <a:ext cx="295275" cy="22193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1134018</xdr:colOff>
      <xdr:row>243</xdr:row>
      <xdr:rowOff>85255</xdr:rowOff>
    </xdr:from>
    <xdr:to>
      <xdr:col>2</xdr:col>
      <xdr:colOff>472322</xdr:colOff>
      <xdr:row>261</xdr:row>
      <xdr:rowOff>36388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2024062</xdr:colOff>
      <xdr:row>243</xdr:row>
      <xdr:rowOff>83343</xdr:rowOff>
    </xdr:from>
    <xdr:to>
      <xdr:col>6</xdr:col>
      <xdr:colOff>414130</xdr:colOff>
      <xdr:row>261</xdr:row>
      <xdr:rowOff>35720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1136431</xdr:colOff>
      <xdr:row>250</xdr:row>
      <xdr:rowOff>6569</xdr:rowOff>
    </xdr:from>
    <xdr:to>
      <xdr:col>1</xdr:col>
      <xdr:colOff>1353209</xdr:colOff>
      <xdr:row>256</xdr:row>
      <xdr:rowOff>170793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 rot="16200000">
          <a:off x="1838983" y="50091317"/>
          <a:ext cx="1250074" cy="216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chemeClr val="bg1"/>
              </a:solidFill>
            </a:rPr>
            <a:t>BPW+UWS</a:t>
          </a:r>
        </a:p>
      </xdr:txBody>
    </xdr:sp>
    <xdr:clientData/>
  </xdr:twoCellAnchor>
  <xdr:twoCellAnchor>
    <xdr:from>
      <xdr:col>1</xdr:col>
      <xdr:colOff>1347952</xdr:colOff>
      <xdr:row>250</xdr:row>
      <xdr:rowOff>7882</xdr:rowOff>
    </xdr:from>
    <xdr:to>
      <xdr:col>1</xdr:col>
      <xdr:colOff>1564730</xdr:colOff>
      <xdr:row>256</xdr:row>
      <xdr:rowOff>172106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 rot="16200000">
          <a:off x="2050504" y="50092630"/>
          <a:ext cx="1250074" cy="216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chemeClr val="bg1"/>
              </a:solidFill>
            </a:rPr>
            <a:t>MIP+JG</a:t>
          </a:r>
        </a:p>
      </xdr:txBody>
    </xdr:sp>
    <xdr:clientData/>
  </xdr:twoCellAnchor>
  <xdr:twoCellAnchor>
    <xdr:from>
      <xdr:col>1</xdr:col>
      <xdr:colOff>1559473</xdr:colOff>
      <xdr:row>250</xdr:row>
      <xdr:rowOff>9196</xdr:rowOff>
    </xdr:from>
    <xdr:to>
      <xdr:col>1</xdr:col>
      <xdr:colOff>1776251</xdr:colOff>
      <xdr:row>256</xdr:row>
      <xdr:rowOff>173420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 rot="16200000">
          <a:off x="2262025" y="50093944"/>
          <a:ext cx="1250074" cy="216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chemeClr val="bg1"/>
              </a:solidFill>
            </a:rPr>
            <a:t>MIP+GEL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5080-FC73-4898-973F-1B297B7887F2}">
  <sheetPr codeName="Tabelle1"/>
  <dimension ref="A1:D30"/>
  <sheetViews>
    <sheetView zoomScale="175" zoomScaleNormal="175" workbookViewId="0">
      <selection activeCell="B5" sqref="B5"/>
    </sheetView>
  </sheetViews>
  <sheetFormatPr baseColWidth="10" defaultRowHeight="14.25" x14ac:dyDescent="0.2"/>
  <cols>
    <col min="1" max="1" width="27" style="253" customWidth="1"/>
    <col min="2" max="2" width="12.875" style="253" customWidth="1"/>
    <col min="3" max="3" width="15.75" style="253" customWidth="1"/>
    <col min="4" max="4" width="54.25" style="253" customWidth="1"/>
    <col min="5" max="16384" width="11" style="253"/>
  </cols>
  <sheetData>
    <row r="1" spans="1:4" ht="15" x14ac:dyDescent="0.25">
      <c r="A1" s="331" t="s">
        <v>331</v>
      </c>
      <c r="B1" s="332"/>
      <c r="C1" s="333"/>
      <c r="D1" s="252"/>
    </row>
    <row r="2" spans="1:4" ht="14.25" customHeight="1" thickBot="1" x14ac:dyDescent="0.25">
      <c r="A2" s="334" t="s">
        <v>350</v>
      </c>
      <c r="B2" s="335"/>
      <c r="C2" s="336"/>
      <c r="D2" s="252"/>
    </row>
    <row r="3" spans="1:4" ht="18" customHeight="1" x14ac:dyDescent="0.2">
      <c r="A3" s="254" t="s">
        <v>278</v>
      </c>
      <c r="B3" s="205">
        <v>2906</v>
      </c>
      <c r="C3" s="255" t="s">
        <v>12</v>
      </c>
      <c r="D3" s="256"/>
    </row>
    <row r="4" spans="1:4" ht="4.5" customHeight="1" x14ac:dyDescent="0.2">
      <c r="A4" s="325"/>
      <c r="B4" s="326"/>
      <c r="C4" s="327"/>
      <c r="D4" s="257"/>
    </row>
    <row r="5" spans="1:4" ht="18.75" customHeight="1" x14ac:dyDescent="0.2">
      <c r="A5" s="258" t="s">
        <v>357</v>
      </c>
      <c r="B5" s="205">
        <v>10</v>
      </c>
      <c r="C5" s="259" t="s">
        <v>200</v>
      </c>
      <c r="D5" s="260" t="s">
        <v>302</v>
      </c>
    </row>
    <row r="6" spans="1:4" ht="4.5" customHeight="1" x14ac:dyDescent="0.2">
      <c r="A6" s="325"/>
      <c r="B6" s="326"/>
      <c r="C6" s="327"/>
      <c r="D6" s="261"/>
    </row>
    <row r="7" spans="1:4" ht="18.75" customHeight="1" x14ac:dyDescent="0.2">
      <c r="A7" s="258" t="s">
        <v>358</v>
      </c>
      <c r="B7" s="205">
        <v>10</v>
      </c>
      <c r="C7" s="259" t="s">
        <v>200</v>
      </c>
      <c r="D7" s="260" t="s">
        <v>302</v>
      </c>
    </row>
    <row r="8" spans="1:4" ht="4.5" customHeight="1" x14ac:dyDescent="0.2">
      <c r="A8" s="325"/>
      <c r="B8" s="326"/>
      <c r="C8" s="327"/>
      <c r="D8" s="261"/>
    </row>
    <row r="9" spans="1:4" ht="18.75" customHeight="1" x14ac:dyDescent="0.2">
      <c r="A9" s="254" t="s">
        <v>301</v>
      </c>
      <c r="B9" s="205">
        <v>100</v>
      </c>
      <c r="C9" s="255" t="s">
        <v>338</v>
      </c>
      <c r="D9" s="260" t="s">
        <v>356</v>
      </c>
    </row>
    <row r="10" spans="1:4" ht="4.5" customHeight="1" x14ac:dyDescent="0.2">
      <c r="A10" s="325"/>
      <c r="B10" s="326"/>
      <c r="C10" s="327"/>
      <c r="D10" s="261"/>
    </row>
    <row r="11" spans="1:4" ht="22.5" customHeight="1" x14ac:dyDescent="0.2">
      <c r="A11" s="254" t="s">
        <v>308</v>
      </c>
      <c r="B11" s="205">
        <v>25</v>
      </c>
      <c r="C11" s="255" t="s">
        <v>349</v>
      </c>
      <c r="D11" s="262" t="s">
        <v>352</v>
      </c>
    </row>
    <row r="12" spans="1:4" ht="18.75" customHeight="1" x14ac:dyDescent="0.2">
      <c r="A12" s="263" t="s">
        <v>312</v>
      </c>
      <c r="B12" s="251">
        <f>'Calculations Anker'!I23</f>
        <v>72.650000000000006</v>
      </c>
      <c r="C12" s="264" t="s">
        <v>200</v>
      </c>
      <c r="D12" s="260" t="s">
        <v>302</v>
      </c>
    </row>
    <row r="13" spans="1:4" ht="4.5" customHeight="1" x14ac:dyDescent="0.2">
      <c r="A13" s="265"/>
      <c r="B13" s="266"/>
      <c r="C13" s="267"/>
      <c r="D13" s="261"/>
    </row>
    <row r="14" spans="1:4" ht="22.5" customHeight="1" x14ac:dyDescent="0.2">
      <c r="A14" s="258" t="s">
        <v>305</v>
      </c>
      <c r="B14" s="205">
        <v>200</v>
      </c>
      <c r="C14" s="259" t="s">
        <v>303</v>
      </c>
      <c r="D14" s="262" t="s">
        <v>359</v>
      </c>
    </row>
    <row r="15" spans="1:4" ht="4.5" customHeight="1" x14ac:dyDescent="0.2">
      <c r="A15" s="265"/>
      <c r="B15" s="266"/>
      <c r="C15" s="267"/>
      <c r="D15" s="261"/>
    </row>
    <row r="16" spans="1:4" ht="18.75" customHeight="1" x14ac:dyDescent="0.2">
      <c r="A16" s="258" t="s">
        <v>314</v>
      </c>
      <c r="B16" s="205">
        <v>16</v>
      </c>
      <c r="C16" s="259" t="s">
        <v>161</v>
      </c>
      <c r="D16" s="260" t="s">
        <v>361</v>
      </c>
    </row>
    <row r="17" spans="1:4" ht="4.5" customHeight="1" x14ac:dyDescent="0.2">
      <c r="A17" s="265"/>
      <c r="B17" s="266"/>
      <c r="C17" s="267"/>
      <c r="D17" s="261"/>
    </row>
    <row r="18" spans="1:4" ht="18.75" customHeight="1" thickBot="1" x14ac:dyDescent="0.25">
      <c r="A18" s="258" t="s">
        <v>306</v>
      </c>
      <c r="B18" s="205">
        <v>250</v>
      </c>
      <c r="C18" s="259" t="s">
        <v>307</v>
      </c>
      <c r="D18" s="260" t="s">
        <v>316</v>
      </c>
    </row>
    <row r="19" spans="1:4" ht="14.25" customHeight="1" thickBot="1" x14ac:dyDescent="0.25">
      <c r="A19" s="328"/>
      <c r="B19" s="329"/>
      <c r="C19" s="330"/>
      <c r="D19" s="252"/>
    </row>
    <row r="20" spans="1:4" ht="18.75" customHeight="1" thickBot="1" x14ac:dyDescent="0.25">
      <c r="A20" s="268" t="s">
        <v>280</v>
      </c>
      <c r="B20" s="269">
        <f>SUM(B23:B29)</f>
        <v>94.201649040000021</v>
      </c>
      <c r="C20" s="270" t="s">
        <v>283</v>
      </c>
      <c r="D20" s="271"/>
    </row>
    <row r="21" spans="1:4" x14ac:dyDescent="0.2">
      <c r="D21" s="252"/>
    </row>
    <row r="22" spans="1:4" ht="18.75" x14ac:dyDescent="0.35">
      <c r="A22" s="272" t="s">
        <v>329</v>
      </c>
      <c r="B22" s="273" t="s">
        <v>328</v>
      </c>
      <c r="C22" s="252"/>
      <c r="D22" s="252"/>
    </row>
    <row r="23" spans="1:4" x14ac:dyDescent="0.2">
      <c r="A23" s="274" t="s">
        <v>111</v>
      </c>
      <c r="B23" s="275">
        <f>'Calculations Anker'!L25</f>
        <v>79.359000000000009</v>
      </c>
      <c r="C23" s="252"/>
      <c r="D23" s="252"/>
    </row>
    <row r="24" spans="1:4" x14ac:dyDescent="0.2">
      <c r="A24" s="274" t="s">
        <v>112</v>
      </c>
      <c r="B24" s="275">
        <f>'Calculations Anker'!L61</f>
        <v>1.4727999999999999</v>
      </c>
      <c r="C24" s="276"/>
      <c r="D24" s="252"/>
    </row>
    <row r="25" spans="1:4" x14ac:dyDescent="0.2">
      <c r="A25" s="274" t="s">
        <v>110</v>
      </c>
      <c r="B25" s="275">
        <f>'Calculations Anker'!L103</f>
        <v>0</v>
      </c>
      <c r="C25" s="252"/>
      <c r="D25" s="252"/>
    </row>
    <row r="26" spans="1:4" x14ac:dyDescent="0.2">
      <c r="A26" s="274" t="s">
        <v>324</v>
      </c>
      <c r="B26" s="275">
        <f>'Calculations Anker'!J139</f>
        <v>5.5412770399999989</v>
      </c>
      <c r="C26" s="252"/>
      <c r="D26" s="252"/>
    </row>
    <row r="27" spans="1:4" x14ac:dyDescent="0.2">
      <c r="A27" s="274" t="s">
        <v>325</v>
      </c>
      <c r="B27" s="275">
        <f>'Calculations Anker'!L173</f>
        <v>3.0577920000000001</v>
      </c>
      <c r="C27" s="252"/>
      <c r="D27" s="252"/>
    </row>
    <row r="28" spans="1:4" x14ac:dyDescent="0.2">
      <c r="A28" s="274" t="s">
        <v>163</v>
      </c>
      <c r="B28" s="277">
        <f>'Calculations Anker'!L207</f>
        <v>2.9400000000000004</v>
      </c>
      <c r="C28" s="278"/>
      <c r="D28" s="252"/>
    </row>
    <row r="29" spans="1:4" x14ac:dyDescent="0.2">
      <c r="A29" s="274" t="s">
        <v>326</v>
      </c>
      <c r="B29" s="277">
        <f>'Calculations Anker'!L226</f>
        <v>1.8307800000000001</v>
      </c>
      <c r="C29" s="252"/>
      <c r="D29" s="252"/>
    </row>
    <row r="30" spans="1:4" x14ac:dyDescent="0.2">
      <c r="A30" s="252"/>
      <c r="B30" s="252"/>
      <c r="C30" s="252"/>
      <c r="D30" s="252"/>
    </row>
  </sheetData>
  <sheetProtection algorithmName="SHA-512" hashValue="VfP00mZZoQe5yAcJQZWYt9Xqo4vV4YFt24xrnMn0+dj7oZidR9hSgXXH082Oc0uXRBn+VaDeSBLhkzGlwkHAbQ==" saltValue="vsqQ5Xs/6xJtmtjQqp0RtA==" spinCount="100000" sheet="1" formatCells="0" formatColumns="0" formatRows="0" insertColumns="0" insertRows="0" insertHyperlinks="0" deleteColumns="0" deleteRows="0" sort="0" autoFilter="0" pivotTables="0"/>
  <mergeCells count="7">
    <mergeCell ref="A10:C10"/>
    <mergeCell ref="A19:C19"/>
    <mergeCell ref="A1:C1"/>
    <mergeCell ref="A2:C2"/>
    <mergeCell ref="A4:C4"/>
    <mergeCell ref="A8:C8"/>
    <mergeCell ref="A6:C6"/>
  </mergeCells>
  <pageMargins left="0.7" right="0.7" top="0.78740157499999996" bottom="0.78740157499999996" header="0.3" footer="0.3"/>
  <pageSetup paperSize="9" orientation="portrait" r:id="rId1"/>
  <ignoredErrors>
    <ignoredError sqref="B12 B20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67F9-60B6-4EDC-ADA1-A0EE088CA21F}">
  <sheetPr>
    <pageSetUpPr fitToPage="1"/>
  </sheetPr>
  <dimension ref="A1:BE1029"/>
  <sheetViews>
    <sheetView tabSelected="1" topLeftCell="A132" zoomScale="85" zoomScaleNormal="85" workbookViewId="0">
      <selection activeCell="J132" sqref="J132"/>
    </sheetView>
  </sheetViews>
  <sheetFormatPr baseColWidth="10" defaultRowHeight="14.25" x14ac:dyDescent="0.2"/>
  <cols>
    <col min="1" max="1" width="16" style="307" customWidth="1"/>
    <col min="2" max="2" width="28.75" style="307" customWidth="1"/>
    <col min="3" max="3" width="17" style="307" customWidth="1"/>
    <col min="4" max="4" width="7.25" style="307" customWidth="1"/>
    <col min="5" max="5" width="35.125" style="12" customWidth="1"/>
    <col min="6" max="6" width="11.625" style="307" customWidth="1"/>
    <col min="7" max="7" width="10.75" style="307" customWidth="1"/>
    <col min="8" max="8" width="9.625" style="307" customWidth="1"/>
    <col min="9" max="9" width="10" style="307" customWidth="1"/>
    <col min="10" max="10" width="15.25" style="20" customWidth="1"/>
    <col min="11" max="11" width="11" style="307"/>
    <col min="12" max="12" width="9" style="307" customWidth="1"/>
    <col min="13" max="13" width="18.625" style="307" customWidth="1"/>
    <col min="14" max="14" width="26.25" style="20" customWidth="1"/>
    <col min="15" max="16" width="11.875" style="307" customWidth="1"/>
    <col min="17" max="17" width="10.625" style="307" customWidth="1"/>
    <col min="18" max="18" width="10.125" style="307" customWidth="1"/>
    <col min="19" max="19" width="8.5" style="307" customWidth="1"/>
    <col min="20" max="20" width="10" style="307" customWidth="1"/>
    <col min="21" max="21" width="9.25" style="307" customWidth="1"/>
    <col min="22" max="22" width="11" style="307"/>
    <col min="23" max="23" width="4.5" style="307" customWidth="1"/>
    <col min="24" max="24" width="6.25" style="307" customWidth="1"/>
    <col min="25" max="25" width="9.625" style="307" customWidth="1"/>
    <col min="26" max="26" width="9.25" style="307" customWidth="1"/>
    <col min="27" max="27" width="9.375" style="307" customWidth="1"/>
    <col min="28" max="28" width="9.125" style="307" customWidth="1"/>
    <col min="29" max="29" width="4.75" style="307" hidden="1" customWidth="1"/>
    <col min="30" max="30" width="7.75" style="307" customWidth="1"/>
    <col min="31" max="31" width="5.5" style="307" customWidth="1"/>
    <col min="32" max="37" width="11" style="307"/>
    <col min="38" max="38" width="5.375" style="307" customWidth="1"/>
    <col min="39" max="43" width="11" style="307"/>
    <col min="44" max="44" width="5.75" style="307" customWidth="1"/>
    <col min="45" max="50" width="11" style="307"/>
    <col min="51" max="51" width="5.75" style="307" customWidth="1"/>
    <col min="52" max="16384" width="11" style="307"/>
  </cols>
  <sheetData>
    <row r="1" spans="1:57" ht="18.75" thickBot="1" x14ac:dyDescent="0.25">
      <c r="B1" s="16"/>
      <c r="C1" s="16"/>
      <c r="D1" s="16"/>
      <c r="E1" s="16"/>
      <c r="F1" s="355" t="s">
        <v>111</v>
      </c>
      <c r="G1" s="355"/>
      <c r="H1" s="355"/>
      <c r="I1" s="355"/>
      <c r="J1" s="355"/>
      <c r="K1" s="351" t="s">
        <v>40</v>
      </c>
      <c r="L1" s="351"/>
      <c r="M1" s="351"/>
      <c r="N1" s="351"/>
    </row>
    <row r="2" spans="1:57" ht="57" x14ac:dyDescent="0.2">
      <c r="A2" s="1" t="s">
        <v>33</v>
      </c>
      <c r="B2" s="2"/>
      <c r="C2" s="356" t="s">
        <v>0</v>
      </c>
      <c r="D2" s="357"/>
      <c r="E2" s="315" t="s">
        <v>19</v>
      </c>
      <c r="F2" s="2" t="s">
        <v>1</v>
      </c>
      <c r="G2" s="2" t="s">
        <v>24</v>
      </c>
      <c r="H2" s="2" t="s">
        <v>22</v>
      </c>
      <c r="I2" s="356" t="s">
        <v>35</v>
      </c>
      <c r="J2" s="358"/>
      <c r="K2" s="316" t="s">
        <v>2</v>
      </c>
      <c r="L2" s="2" t="s">
        <v>3</v>
      </c>
      <c r="M2" s="2" t="s">
        <v>4</v>
      </c>
      <c r="N2" s="10" t="s">
        <v>5</v>
      </c>
      <c r="T2" s="307" t="s">
        <v>134</v>
      </c>
      <c r="U2" s="12" t="s">
        <v>131</v>
      </c>
      <c r="AA2" s="307" t="s">
        <v>134</v>
      </c>
      <c r="AB2" s="12" t="s">
        <v>131</v>
      </c>
      <c r="AI2" s="307" t="s">
        <v>134</v>
      </c>
      <c r="AJ2" s="12" t="s">
        <v>131</v>
      </c>
      <c r="AP2" s="307" t="s">
        <v>134</v>
      </c>
      <c r="AQ2" s="12" t="s">
        <v>131</v>
      </c>
      <c r="AW2" s="307" t="s">
        <v>134</v>
      </c>
      <c r="AX2" s="12" t="s">
        <v>131</v>
      </c>
      <c r="BD2" s="307" t="s">
        <v>134</v>
      </c>
      <c r="BE2" s="12" t="s">
        <v>131</v>
      </c>
    </row>
    <row r="3" spans="1:57" ht="16.5" thickBot="1" x14ac:dyDescent="0.25">
      <c r="A3" s="5"/>
      <c r="B3" s="6"/>
      <c r="C3" s="7" t="s">
        <v>35</v>
      </c>
      <c r="D3" s="37" t="s">
        <v>115</v>
      </c>
      <c r="E3" s="11"/>
      <c r="F3" s="6" t="s">
        <v>6</v>
      </c>
      <c r="G3" s="6" t="s">
        <v>23</v>
      </c>
      <c r="H3" s="6"/>
      <c r="I3" s="7" t="s">
        <v>35</v>
      </c>
      <c r="J3" s="37" t="s">
        <v>115</v>
      </c>
      <c r="K3" s="18" t="s">
        <v>34</v>
      </c>
      <c r="L3" s="6" t="s">
        <v>7</v>
      </c>
      <c r="M3" s="6"/>
      <c r="N3" s="8"/>
    </row>
    <row r="4" spans="1:57" x14ac:dyDescent="0.2">
      <c r="A4" s="147" t="s">
        <v>364</v>
      </c>
      <c r="B4" s="147" t="s">
        <v>365</v>
      </c>
      <c r="C4" s="147">
        <f>Schlitzwand!B3*Schlitzwand!B5</f>
        <v>5487</v>
      </c>
      <c r="D4" s="147"/>
      <c r="E4" s="148"/>
      <c r="F4" s="309"/>
      <c r="K4" s="17"/>
      <c r="L4" s="13"/>
      <c r="N4" s="307"/>
      <c r="P4" s="227" t="s">
        <v>293</v>
      </c>
      <c r="Q4" s="307">
        <v>220</v>
      </c>
      <c r="R4" s="307" t="s">
        <v>130</v>
      </c>
      <c r="S4" s="307" t="s">
        <v>125</v>
      </c>
      <c r="T4" s="307">
        <v>466</v>
      </c>
      <c r="U4" s="307">
        <f>Q4/1000*T4/1000</f>
        <v>0.10252</v>
      </c>
      <c r="W4" s="227" t="s">
        <v>289</v>
      </c>
      <c r="X4" s="307">
        <v>240</v>
      </c>
      <c r="Y4" s="307" t="s">
        <v>130</v>
      </c>
      <c r="Z4" s="307" t="s">
        <v>125</v>
      </c>
      <c r="AA4" s="307">
        <v>466</v>
      </c>
      <c r="AB4" s="307">
        <f>X4/1000*AA4/1000</f>
        <v>0.11183999999999999</v>
      </c>
      <c r="AE4" s="227" t="s">
        <v>287</v>
      </c>
      <c r="AF4" s="307">
        <v>320</v>
      </c>
      <c r="AG4" s="307" t="s">
        <v>130</v>
      </c>
      <c r="AH4" s="307" t="s">
        <v>125</v>
      </c>
      <c r="AI4" s="307">
        <v>466</v>
      </c>
      <c r="AJ4" s="307">
        <f>AF4/1000*AI4/1000</f>
        <v>0.14912</v>
      </c>
      <c r="AL4" s="227" t="s">
        <v>288</v>
      </c>
      <c r="AM4" s="307">
        <v>350</v>
      </c>
      <c r="AN4" s="307" t="s">
        <v>130</v>
      </c>
      <c r="AO4" s="307" t="s">
        <v>125</v>
      </c>
      <c r="AP4" s="307">
        <v>466</v>
      </c>
      <c r="AQ4" s="307">
        <f>AM4/1000*AP4/1000</f>
        <v>0.16309999999999999</v>
      </c>
      <c r="AS4" s="227" t="s">
        <v>291</v>
      </c>
      <c r="AT4" s="307">
        <v>370</v>
      </c>
      <c r="AU4" s="307" t="s">
        <v>130</v>
      </c>
      <c r="AV4" s="307" t="s">
        <v>125</v>
      </c>
      <c r="AW4" s="307">
        <v>466</v>
      </c>
      <c r="AX4" s="307">
        <f>AT4/1000*AW4/1000</f>
        <v>0.17241999999999999</v>
      </c>
      <c r="AZ4" s="227" t="s">
        <v>394</v>
      </c>
      <c r="BA4" s="307">
        <v>430</v>
      </c>
      <c r="BB4" s="307" t="s">
        <v>130</v>
      </c>
      <c r="BC4" s="307" t="s">
        <v>125</v>
      </c>
      <c r="BD4" s="307">
        <v>466</v>
      </c>
      <c r="BE4" s="307">
        <f>BA4/1000*BD4/1000</f>
        <v>0.20038</v>
      </c>
    </row>
    <row r="5" spans="1:57" ht="15" x14ac:dyDescent="0.2">
      <c r="A5" s="161"/>
      <c r="B5" s="147" t="s">
        <v>366</v>
      </c>
      <c r="C5" s="156">
        <f>Schlitzwand!B12</f>
        <v>0</v>
      </c>
      <c r="D5" s="147" t="s">
        <v>10</v>
      </c>
      <c r="E5" s="149"/>
      <c r="F5" s="309">
        <f t="shared" ref="F5:F10" si="0">C5</f>
        <v>0</v>
      </c>
      <c r="I5" s="307">
        <f t="shared" ref="I5:I10" si="1">C5</f>
        <v>0</v>
      </c>
      <c r="J5" s="20" t="s">
        <v>10</v>
      </c>
      <c r="K5" s="17">
        <f>U14</f>
        <v>0.11109949999999999</v>
      </c>
      <c r="L5" s="309">
        <f t="shared" ref="L5:L12" si="2">I5*K5</f>
        <v>0</v>
      </c>
      <c r="N5" s="307" t="s">
        <v>49</v>
      </c>
      <c r="P5" s="227"/>
      <c r="Q5" s="307">
        <v>135</v>
      </c>
      <c r="R5" s="307" t="s">
        <v>130</v>
      </c>
      <c r="S5" s="307" t="s">
        <v>126</v>
      </c>
      <c r="T5" s="307">
        <v>0.1</v>
      </c>
      <c r="U5" s="307">
        <f>Q5/1000*T5/1000</f>
        <v>1.3500000000000001E-5</v>
      </c>
      <c r="X5" s="307">
        <v>150</v>
      </c>
      <c r="Y5" s="307" t="s">
        <v>130</v>
      </c>
      <c r="Z5" s="307" t="s">
        <v>126</v>
      </c>
      <c r="AA5" s="307">
        <v>0.1</v>
      </c>
      <c r="AB5" s="307">
        <f t="shared" ref="AB5" si="3">X5/1000*AA5/1000</f>
        <v>1.4999999999999999E-5</v>
      </c>
      <c r="AF5" s="307">
        <v>80</v>
      </c>
      <c r="AG5" s="307" t="s">
        <v>130</v>
      </c>
      <c r="AH5" s="307" t="s">
        <v>126</v>
      </c>
      <c r="AI5" s="307">
        <v>0.1</v>
      </c>
      <c r="AJ5" s="307">
        <f t="shared" ref="AJ5" si="4">AF5/1000*AI5/1000</f>
        <v>7.9999999999999996E-6</v>
      </c>
      <c r="AM5" s="307">
        <v>80</v>
      </c>
      <c r="AN5" s="307" t="s">
        <v>130</v>
      </c>
      <c r="AO5" s="307" t="s">
        <v>126</v>
      </c>
      <c r="AP5" s="307">
        <v>0.1</v>
      </c>
      <c r="AQ5" s="307">
        <f t="shared" ref="AQ5" si="5">AM5/1000*AP5/1000</f>
        <v>7.9999999999999996E-6</v>
      </c>
      <c r="AT5" s="307">
        <v>100</v>
      </c>
      <c r="AU5" s="307" t="s">
        <v>130</v>
      </c>
      <c r="AV5" s="307" t="s">
        <v>126</v>
      </c>
      <c r="AW5" s="307">
        <v>0.1</v>
      </c>
      <c r="AX5" s="307">
        <f t="shared" ref="AX5" si="6">AT5/1000*AW5/1000</f>
        <v>1.0000000000000003E-5</v>
      </c>
      <c r="BA5" s="307">
        <v>110</v>
      </c>
      <c r="BB5" s="307" t="s">
        <v>130</v>
      </c>
      <c r="BC5" s="307" t="s">
        <v>126</v>
      </c>
      <c r="BD5" s="307">
        <v>0.1</v>
      </c>
      <c r="BE5" s="307">
        <f t="shared" ref="BE5" si="7">BA5/1000*BD5/1000</f>
        <v>1.1000000000000001E-5</v>
      </c>
    </row>
    <row r="6" spans="1:57" x14ac:dyDescent="0.2">
      <c r="A6" s="147"/>
      <c r="B6" s="147" t="s">
        <v>139</v>
      </c>
      <c r="C6" s="156">
        <f>Schlitzwand!C12</f>
        <v>0</v>
      </c>
      <c r="D6" s="147" t="s">
        <v>10</v>
      </c>
      <c r="E6" s="149"/>
      <c r="F6" s="309">
        <f t="shared" si="0"/>
        <v>0</v>
      </c>
      <c r="I6" s="307">
        <f t="shared" si="1"/>
        <v>0</v>
      </c>
      <c r="J6" s="20" t="s">
        <v>10</v>
      </c>
      <c r="K6" s="17">
        <f>AB14</f>
        <v>0.122365</v>
      </c>
      <c r="L6" s="309">
        <f t="shared" si="2"/>
        <v>0</v>
      </c>
      <c r="N6" s="307" t="s">
        <v>49</v>
      </c>
      <c r="P6" s="227"/>
      <c r="Q6" s="307">
        <v>850</v>
      </c>
      <c r="R6" s="307" t="s">
        <v>130</v>
      </c>
      <c r="S6" s="307" t="s">
        <v>127</v>
      </c>
      <c r="T6" s="307">
        <v>6</v>
      </c>
      <c r="U6" s="307">
        <f>Q6/1000*T6/1000</f>
        <v>5.0999999999999995E-3</v>
      </c>
      <c r="X6" s="307">
        <v>855</v>
      </c>
      <c r="Y6" s="307" t="s">
        <v>130</v>
      </c>
      <c r="Z6" s="307" t="s">
        <v>127</v>
      </c>
      <c r="AA6" s="307">
        <v>6</v>
      </c>
      <c r="AB6" s="307">
        <f>X6/1000*AA6/1000</f>
        <v>5.13E-3</v>
      </c>
      <c r="AF6" s="307">
        <v>865</v>
      </c>
      <c r="AG6" s="307" t="s">
        <v>130</v>
      </c>
      <c r="AH6" s="307" t="s">
        <v>127</v>
      </c>
      <c r="AI6" s="307">
        <v>6</v>
      </c>
      <c r="AJ6" s="307">
        <f>AF6/1000*AI6/1000</f>
        <v>5.1899999999999993E-3</v>
      </c>
      <c r="AM6" s="307">
        <v>865</v>
      </c>
      <c r="AN6" s="307" t="s">
        <v>130</v>
      </c>
      <c r="AO6" s="307" t="s">
        <v>127</v>
      </c>
      <c r="AP6" s="307">
        <v>6</v>
      </c>
      <c r="AQ6" s="307">
        <f>AM6/1000*AP6/1000</f>
        <v>5.1899999999999993E-3</v>
      </c>
      <c r="AT6" s="307">
        <v>865</v>
      </c>
      <c r="AU6" s="307" t="s">
        <v>130</v>
      </c>
      <c r="AV6" s="307" t="s">
        <v>127</v>
      </c>
      <c r="AW6" s="307">
        <v>6</v>
      </c>
      <c r="AX6" s="307">
        <f>AT6/1000*AW6/1000</f>
        <v>5.1899999999999993E-3</v>
      </c>
      <c r="BA6" s="307">
        <v>845</v>
      </c>
      <c r="BB6" s="307" t="s">
        <v>130</v>
      </c>
      <c r="BC6" s="307" t="s">
        <v>127</v>
      </c>
      <c r="BD6" s="307">
        <v>6</v>
      </c>
      <c r="BE6" s="307">
        <f>BA6/1000*BD6/1000</f>
        <v>5.0699999999999999E-3</v>
      </c>
    </row>
    <row r="7" spans="1:57" x14ac:dyDescent="0.2">
      <c r="A7" s="147"/>
      <c r="B7" s="147" t="s">
        <v>140</v>
      </c>
      <c r="C7" s="156">
        <f>Schlitzwand!D12</f>
        <v>0</v>
      </c>
      <c r="D7" s="147" t="s">
        <v>10</v>
      </c>
      <c r="E7" s="149"/>
      <c r="F7" s="309">
        <f t="shared" si="0"/>
        <v>0</v>
      </c>
      <c r="I7" s="307">
        <f t="shared" si="1"/>
        <v>0</v>
      </c>
      <c r="J7" s="20" t="s">
        <v>10</v>
      </c>
      <c r="K7" s="17">
        <f>AJ14</f>
        <v>0.161638</v>
      </c>
      <c r="L7" s="309">
        <f t="shared" si="2"/>
        <v>0</v>
      </c>
      <c r="N7" s="307" t="s">
        <v>49</v>
      </c>
      <c r="P7" s="227"/>
      <c r="Q7" s="307">
        <v>850</v>
      </c>
      <c r="R7" s="307" t="s">
        <v>130</v>
      </c>
      <c r="S7" s="307" t="s">
        <v>343</v>
      </c>
      <c r="T7" s="307">
        <v>4</v>
      </c>
      <c r="U7" s="307">
        <f>Q7/1000*T7/1000</f>
        <v>3.3999999999999998E-3</v>
      </c>
      <c r="X7" s="307">
        <v>855</v>
      </c>
      <c r="Y7" s="307" t="s">
        <v>130</v>
      </c>
      <c r="Z7" s="307" t="s">
        <v>343</v>
      </c>
      <c r="AA7" s="307">
        <v>4</v>
      </c>
      <c r="AB7" s="307">
        <f>X7/1000*AA7/1000</f>
        <v>3.4199999999999999E-3</v>
      </c>
      <c r="AF7" s="307">
        <v>865</v>
      </c>
      <c r="AG7" s="307" t="s">
        <v>130</v>
      </c>
      <c r="AH7" s="307" t="s">
        <v>343</v>
      </c>
      <c r="AI7" s="307">
        <v>4</v>
      </c>
      <c r="AJ7" s="307">
        <f>AF7/1000*AI7/1000</f>
        <v>3.46E-3</v>
      </c>
      <c r="AM7" s="307">
        <v>865</v>
      </c>
      <c r="AN7" s="307" t="s">
        <v>130</v>
      </c>
      <c r="AO7" s="307" t="s">
        <v>343</v>
      </c>
      <c r="AP7" s="307">
        <v>4</v>
      </c>
      <c r="AQ7" s="307">
        <f>AM7/1000*AP7/1000</f>
        <v>3.46E-3</v>
      </c>
      <c r="AT7" s="307">
        <v>865</v>
      </c>
      <c r="AU7" s="307" t="s">
        <v>130</v>
      </c>
      <c r="AV7" s="307" t="s">
        <v>343</v>
      </c>
      <c r="AW7" s="307">
        <v>4</v>
      </c>
      <c r="AX7" s="307">
        <f>AT7/1000*AW7/1000</f>
        <v>3.46E-3</v>
      </c>
      <c r="BA7" s="307">
        <v>845</v>
      </c>
      <c r="BB7" s="307" t="s">
        <v>130</v>
      </c>
      <c r="BC7" s="307" t="s">
        <v>343</v>
      </c>
      <c r="BD7" s="307">
        <v>4</v>
      </c>
      <c r="BE7" s="307">
        <f>BA7/1000*BD7/1000</f>
        <v>3.3799999999999998E-3</v>
      </c>
    </row>
    <row r="8" spans="1:57" x14ac:dyDescent="0.2">
      <c r="A8" s="147"/>
      <c r="B8" s="147" t="s">
        <v>367</v>
      </c>
      <c r="C8" s="156">
        <f>Schlitzwand!E12</f>
        <v>5761</v>
      </c>
      <c r="D8" s="147" t="s">
        <v>10</v>
      </c>
      <c r="E8" s="149"/>
      <c r="F8" s="309">
        <f t="shared" si="0"/>
        <v>5761</v>
      </c>
      <c r="I8" s="307">
        <f t="shared" si="1"/>
        <v>5761</v>
      </c>
      <c r="J8" s="20" t="s">
        <v>10</v>
      </c>
      <c r="K8" s="17">
        <f>AQ14</f>
        <v>0.17657335999999998</v>
      </c>
      <c r="L8" s="309">
        <f t="shared" si="2"/>
        <v>1017.2391269599999</v>
      </c>
      <c r="N8" s="307" t="s">
        <v>49</v>
      </c>
      <c r="P8" s="227"/>
      <c r="Q8" s="307">
        <v>220</v>
      </c>
      <c r="R8" s="307" t="s">
        <v>130</v>
      </c>
      <c r="S8" s="307" t="s">
        <v>128</v>
      </c>
      <c r="T8" s="307">
        <v>0.3</v>
      </c>
      <c r="U8" s="307">
        <f>Q8/1000*T8/1000</f>
        <v>6.6000000000000005E-5</v>
      </c>
      <c r="X8" s="307">
        <f>200</f>
        <v>200</v>
      </c>
      <c r="Y8" s="307" t="s">
        <v>130</v>
      </c>
      <c r="Z8" s="307" t="s">
        <v>128</v>
      </c>
      <c r="AA8" s="307">
        <v>0.3</v>
      </c>
      <c r="AB8" s="307">
        <f>X8/1000*AA8/1000</f>
        <v>5.9999999999999995E-5</v>
      </c>
      <c r="AF8" s="307">
        <f>200</f>
        <v>200</v>
      </c>
      <c r="AG8" s="307" t="s">
        <v>130</v>
      </c>
      <c r="AH8" s="307" t="s">
        <v>128</v>
      </c>
      <c r="AI8" s="307">
        <v>0.3</v>
      </c>
      <c r="AJ8" s="307">
        <f>AF8/1000*AI8/1000</f>
        <v>5.9999999999999995E-5</v>
      </c>
      <c r="AM8" s="307">
        <v>190</v>
      </c>
      <c r="AN8" s="307" t="s">
        <v>130</v>
      </c>
      <c r="AO8" s="307" t="s">
        <v>128</v>
      </c>
      <c r="AP8" s="307">
        <v>0.34399999999999997</v>
      </c>
      <c r="AQ8" s="307">
        <f>AM8/1000*AP8/1000</f>
        <v>6.5359999999999998E-5</v>
      </c>
      <c r="AT8" s="307">
        <v>185</v>
      </c>
      <c r="AU8" s="307" t="s">
        <v>130</v>
      </c>
      <c r="AV8" s="307" t="s">
        <v>128</v>
      </c>
      <c r="AW8" s="307">
        <v>0.34399999999999997</v>
      </c>
      <c r="AX8" s="307">
        <f>AT8/1000*AW8/1000</f>
        <v>6.3639999999999994E-5</v>
      </c>
      <c r="BA8" s="307">
        <v>170</v>
      </c>
      <c r="BB8" s="307" t="s">
        <v>130</v>
      </c>
      <c r="BC8" s="307" t="s">
        <v>128</v>
      </c>
      <c r="BD8" s="307">
        <v>0.34399999999999997</v>
      </c>
      <c r="BE8" s="307">
        <f>BA8/1000*BD8/1000</f>
        <v>5.8479999999999996E-5</v>
      </c>
    </row>
    <row r="9" spans="1:57" ht="14.25" customHeight="1" x14ac:dyDescent="0.2">
      <c r="B9" s="147" t="s">
        <v>392</v>
      </c>
      <c r="C9" s="156">
        <f>Schlitzwand!F12</f>
        <v>0</v>
      </c>
      <c r="D9" s="147" t="s">
        <v>10</v>
      </c>
      <c r="E9" s="149"/>
      <c r="F9" s="309">
        <f t="shared" si="0"/>
        <v>0</v>
      </c>
      <c r="I9" s="307">
        <f t="shared" si="1"/>
        <v>0</v>
      </c>
      <c r="J9" s="20" t="s">
        <v>10</v>
      </c>
      <c r="K9" s="17">
        <f>AX14</f>
        <v>0.18684364000000001</v>
      </c>
      <c r="L9" s="309">
        <f t="shared" si="2"/>
        <v>0</v>
      </c>
      <c r="N9" s="307" t="s">
        <v>49</v>
      </c>
    </row>
    <row r="10" spans="1:57" ht="14.25" customHeight="1" x14ac:dyDescent="0.2">
      <c r="B10" s="147" t="s">
        <v>393</v>
      </c>
      <c r="C10" s="156">
        <f>Schlitzwand!G12</f>
        <v>0</v>
      </c>
      <c r="D10" s="147" t="s">
        <v>10</v>
      </c>
      <c r="E10" s="149"/>
      <c r="F10" s="309">
        <f t="shared" si="0"/>
        <v>0</v>
      </c>
      <c r="I10" s="307">
        <f t="shared" si="1"/>
        <v>0</v>
      </c>
      <c r="J10" s="20" t="s">
        <v>10</v>
      </c>
      <c r="K10" s="17">
        <f>BE14</f>
        <v>0.22029947999999999</v>
      </c>
      <c r="L10" s="309">
        <f t="shared" ref="L10" si="8">I10*K10</f>
        <v>0</v>
      </c>
      <c r="N10" s="307" t="s">
        <v>49</v>
      </c>
    </row>
    <row r="11" spans="1:57" x14ac:dyDescent="0.2">
      <c r="A11" s="147"/>
      <c r="B11" s="147" t="s">
        <v>15</v>
      </c>
      <c r="C11" s="198">
        <f>Schlitzwand!B9</f>
        <v>300</v>
      </c>
      <c r="D11" s="147" t="s">
        <v>12</v>
      </c>
      <c r="E11" s="149" t="s">
        <v>38</v>
      </c>
      <c r="F11" s="309">
        <f>C11*0.4</f>
        <v>120</v>
      </c>
      <c r="I11" s="309">
        <f>F11</f>
        <v>120</v>
      </c>
      <c r="J11" s="20" t="s">
        <v>10</v>
      </c>
      <c r="K11" s="17">
        <f>AB14</f>
        <v>0.122365</v>
      </c>
      <c r="L11" s="309">
        <f t="shared" si="2"/>
        <v>14.6838</v>
      </c>
      <c r="N11" s="307" t="s">
        <v>49</v>
      </c>
      <c r="X11" s="307">
        <f>X4/3+X5/2.4+X6/2.65+X8</f>
        <v>665.14150943396226</v>
      </c>
    </row>
    <row r="12" spans="1:57" x14ac:dyDescent="0.2">
      <c r="A12" s="147"/>
      <c r="B12" s="147" t="s">
        <v>249</v>
      </c>
      <c r="C12" s="156">
        <f>Schlitzwand!B14</f>
        <v>270</v>
      </c>
      <c r="D12" s="147" t="s">
        <v>11</v>
      </c>
      <c r="E12" s="149"/>
      <c r="F12" s="309" t="s">
        <v>25</v>
      </c>
      <c r="H12" s="309"/>
      <c r="I12" s="309">
        <f>C12</f>
        <v>270</v>
      </c>
      <c r="J12" s="20" t="s">
        <v>11</v>
      </c>
      <c r="K12" s="307">
        <v>0.56499999999999995</v>
      </c>
      <c r="L12" s="309">
        <f t="shared" si="2"/>
        <v>152.54999999999998</v>
      </c>
      <c r="M12" s="307" t="s">
        <v>41</v>
      </c>
      <c r="N12" s="307" t="s">
        <v>194</v>
      </c>
      <c r="Q12" s="307">
        <v>0</v>
      </c>
      <c r="R12" s="307" t="s">
        <v>130</v>
      </c>
      <c r="S12" s="307" t="s">
        <v>129</v>
      </c>
      <c r="T12" s="307">
        <v>1900</v>
      </c>
      <c r="U12" s="307">
        <f>Q12/1000*T12/1000</f>
        <v>0</v>
      </c>
      <c r="X12" s="307">
        <v>1</v>
      </c>
      <c r="Y12" s="307" t="s">
        <v>130</v>
      </c>
      <c r="Z12" s="307" t="s">
        <v>129</v>
      </c>
      <c r="AA12" s="307">
        <v>1900</v>
      </c>
      <c r="AB12" s="307">
        <f>X12/1000*AA12/1000</f>
        <v>1.9000000000000002E-3</v>
      </c>
      <c r="AF12" s="307">
        <v>2</v>
      </c>
      <c r="AG12" s="307" t="s">
        <v>130</v>
      </c>
      <c r="AH12" s="307" t="s">
        <v>129</v>
      </c>
      <c r="AI12" s="307">
        <v>1900</v>
      </c>
      <c r="AJ12" s="307">
        <f>AF12/1000*AI12/1000</f>
        <v>3.8000000000000004E-3</v>
      </c>
      <c r="AM12" s="307">
        <v>2.5</v>
      </c>
      <c r="AN12" s="307" t="s">
        <v>130</v>
      </c>
      <c r="AO12" s="307" t="s">
        <v>129</v>
      </c>
      <c r="AP12" s="307">
        <v>1900</v>
      </c>
      <c r="AQ12" s="307">
        <f>AM12/1000*AP12/1000</f>
        <v>4.7499999999999999E-3</v>
      </c>
      <c r="AT12" s="307">
        <v>3</v>
      </c>
      <c r="AU12" s="307" t="s">
        <v>130</v>
      </c>
      <c r="AV12" s="307" t="s">
        <v>129</v>
      </c>
      <c r="AW12" s="307">
        <v>1900</v>
      </c>
      <c r="AX12" s="307">
        <f>AT12/1000*AW12/1000</f>
        <v>5.7000000000000002E-3</v>
      </c>
      <c r="BA12" s="307">
        <v>6</v>
      </c>
      <c r="BB12" s="307" t="s">
        <v>130</v>
      </c>
      <c r="BC12" s="307" t="s">
        <v>129</v>
      </c>
      <c r="BD12" s="307">
        <v>1900</v>
      </c>
      <c r="BE12" s="307">
        <f>BA12/1000*BD12/1000</f>
        <v>1.14E-2</v>
      </c>
    </row>
    <row r="13" spans="1:57" x14ac:dyDescent="0.2">
      <c r="A13" s="147"/>
      <c r="B13" s="147" t="s">
        <v>372</v>
      </c>
      <c r="C13" s="156">
        <f>F11*0.15</f>
        <v>18</v>
      </c>
      <c r="D13" s="147" t="s">
        <v>11</v>
      </c>
      <c r="E13" s="149" t="s">
        <v>373</v>
      </c>
      <c r="F13" s="309" t="s">
        <v>25</v>
      </c>
      <c r="H13" s="309"/>
      <c r="I13" s="309">
        <f>C13</f>
        <v>18</v>
      </c>
      <c r="J13" s="20" t="s">
        <v>11</v>
      </c>
      <c r="K13" s="307">
        <v>0.56499999999999995</v>
      </c>
      <c r="L13" s="309">
        <f t="shared" ref="L13" si="9">I13*K13</f>
        <v>10.169999999999998</v>
      </c>
      <c r="M13" s="307" t="s">
        <v>41</v>
      </c>
      <c r="N13" s="307" t="s">
        <v>194</v>
      </c>
    </row>
    <row r="14" spans="1:57" ht="15" thickBot="1" x14ac:dyDescent="0.25">
      <c r="A14" s="147" t="s">
        <v>376</v>
      </c>
      <c r="B14" s="147" t="s">
        <v>202</v>
      </c>
      <c r="C14" s="156">
        <f>C4*1.35</f>
        <v>7407.4500000000007</v>
      </c>
      <c r="D14" s="147" t="s">
        <v>377</v>
      </c>
      <c r="E14" s="318" t="s">
        <v>379</v>
      </c>
      <c r="F14" s="156"/>
      <c r="G14" s="147"/>
      <c r="H14" s="154">
        <f>C14*(Schlitzwand!B16/1000)</f>
        <v>355.55760000000004</v>
      </c>
      <c r="I14" s="154">
        <f>H14</f>
        <v>355.55760000000004</v>
      </c>
      <c r="J14" s="155" t="s">
        <v>11</v>
      </c>
      <c r="K14" s="147">
        <v>0.47499999999999998</v>
      </c>
      <c r="L14" s="156">
        <f>I14*K14</f>
        <v>168.88986</v>
      </c>
      <c r="M14" s="307" t="s">
        <v>204</v>
      </c>
      <c r="N14" s="307" t="s">
        <v>194</v>
      </c>
      <c r="T14" s="55" t="s">
        <v>292</v>
      </c>
      <c r="U14" s="56">
        <f>SUM(U4:U12)</f>
        <v>0.11109949999999999</v>
      </c>
      <c r="AA14" s="55" t="s">
        <v>132</v>
      </c>
      <c r="AB14" s="56">
        <f>SUM(AB4:AB12)</f>
        <v>0.122365</v>
      </c>
      <c r="AI14" s="55" t="s">
        <v>135</v>
      </c>
      <c r="AJ14" s="56">
        <f>SUM(AJ4:AJ12)</f>
        <v>0.161638</v>
      </c>
      <c r="AP14" s="55" t="s">
        <v>290</v>
      </c>
      <c r="AQ14" s="56">
        <f>SUM(AQ4:AQ12)</f>
        <v>0.17657335999999998</v>
      </c>
      <c r="AW14" s="55" t="s">
        <v>390</v>
      </c>
      <c r="AX14" s="56">
        <f>SUM(AX4:AX12)</f>
        <v>0.18684364000000001</v>
      </c>
      <c r="BD14" s="55" t="s">
        <v>395</v>
      </c>
      <c r="BE14" s="56">
        <f>SUM(BE4:BE12)</f>
        <v>0.22029947999999999</v>
      </c>
    </row>
    <row r="15" spans="1:57" ht="15" thickBot="1" x14ac:dyDescent="0.25">
      <c r="A15" s="39"/>
      <c r="E15" s="40"/>
      <c r="F15" s="309"/>
      <c r="J15" s="26"/>
      <c r="L15" s="36">
        <f>SUM(L4:L14)</f>
        <v>1363.5327869599998</v>
      </c>
      <c r="N15" s="307"/>
    </row>
    <row r="16" spans="1:57" ht="13.5" hidden="1" customHeight="1" x14ac:dyDescent="0.2">
      <c r="A16" s="39"/>
      <c r="B16" s="39"/>
      <c r="C16" s="39"/>
      <c r="D16" s="39"/>
      <c r="E16" s="39"/>
      <c r="J16" s="26"/>
      <c r="N16" s="307"/>
    </row>
    <row r="17" spans="1:14" hidden="1" x14ac:dyDescent="0.2">
      <c r="A17" s="39"/>
      <c r="B17" s="39"/>
      <c r="C17" s="39"/>
      <c r="D17" s="39"/>
      <c r="E17" s="39"/>
      <c r="J17" s="26"/>
      <c r="N17" s="307"/>
    </row>
    <row r="18" spans="1:14" hidden="1" x14ac:dyDescent="0.2">
      <c r="A18" s="39" t="s">
        <v>91</v>
      </c>
      <c r="B18" s="39" t="s">
        <v>16</v>
      </c>
      <c r="C18" s="39">
        <v>0</v>
      </c>
      <c r="D18" s="39" t="s">
        <v>10</v>
      </c>
      <c r="E18" s="40" t="s">
        <v>39</v>
      </c>
      <c r="F18" s="50">
        <f>C18</f>
        <v>0</v>
      </c>
      <c r="G18" s="39"/>
      <c r="H18" s="39"/>
      <c r="I18" s="39">
        <v>0</v>
      </c>
      <c r="J18" s="157" t="s">
        <v>10</v>
      </c>
      <c r="K18" s="158">
        <f>AB43</f>
        <v>0</v>
      </c>
      <c r="L18" s="50">
        <f>I18*K18</f>
        <v>0</v>
      </c>
      <c r="M18" s="39"/>
      <c r="N18" s="39"/>
    </row>
    <row r="19" spans="1:14" hidden="1" x14ac:dyDescent="0.2">
      <c r="A19" s="39"/>
      <c r="B19" s="39" t="s">
        <v>17</v>
      </c>
      <c r="C19" s="39">
        <v>0</v>
      </c>
      <c r="D19" s="39" t="s">
        <v>18</v>
      </c>
      <c r="E19" s="40" t="s">
        <v>190</v>
      </c>
      <c r="F19" s="50" t="s">
        <v>25</v>
      </c>
      <c r="G19" s="39"/>
      <c r="H19" s="39"/>
      <c r="I19" s="39">
        <f>15/1000*C19</f>
        <v>0</v>
      </c>
      <c r="J19" s="157" t="s">
        <v>11</v>
      </c>
      <c r="K19" s="39">
        <v>2.3140000000000001</v>
      </c>
      <c r="L19" s="50">
        <f>I19*K19</f>
        <v>0</v>
      </c>
      <c r="M19" s="39" t="s">
        <v>42</v>
      </c>
      <c r="N19" s="39" t="s">
        <v>194</v>
      </c>
    </row>
    <row r="20" spans="1:14" hidden="1" x14ac:dyDescent="0.2">
      <c r="A20" s="39"/>
      <c r="B20" s="39" t="s">
        <v>20</v>
      </c>
      <c r="C20" s="39">
        <v>0</v>
      </c>
      <c r="D20" s="39" t="s">
        <v>12</v>
      </c>
      <c r="E20" s="40"/>
      <c r="F20" s="49">
        <f>PI()*0.025^2*C20</f>
        <v>0</v>
      </c>
      <c r="G20" s="39">
        <v>7.8</v>
      </c>
      <c r="H20" s="49">
        <f>C20*21/1000</f>
        <v>0</v>
      </c>
      <c r="I20" s="49">
        <f>H20</f>
        <v>0</v>
      </c>
      <c r="J20" s="157" t="s">
        <v>11</v>
      </c>
      <c r="K20" s="39">
        <v>2.266</v>
      </c>
      <c r="L20" s="50">
        <f>I20*K20</f>
        <v>0</v>
      </c>
      <c r="M20" s="39" t="s">
        <v>41</v>
      </c>
      <c r="N20" s="39" t="s">
        <v>194</v>
      </c>
    </row>
    <row r="21" spans="1:14" ht="14.25" hidden="1" customHeight="1" thickBot="1" x14ac:dyDescent="0.25">
      <c r="A21" s="39"/>
      <c r="B21" s="39" t="s">
        <v>9</v>
      </c>
      <c r="C21" s="39">
        <v>0</v>
      </c>
      <c r="D21" s="39" t="s">
        <v>11</v>
      </c>
      <c r="E21" s="40" t="s">
        <v>21</v>
      </c>
      <c r="F21" s="49"/>
      <c r="G21" s="39"/>
      <c r="H21" s="49">
        <f>C21</f>
        <v>0</v>
      </c>
      <c r="I21" s="49">
        <f>H21</f>
        <v>0</v>
      </c>
      <c r="J21" s="157" t="s">
        <v>11</v>
      </c>
      <c r="K21" s="39">
        <v>0.91300000000000003</v>
      </c>
      <c r="L21" s="50">
        <f>I21*K21</f>
        <v>0</v>
      </c>
      <c r="M21" s="39" t="s">
        <v>48</v>
      </c>
      <c r="N21" s="39" t="s">
        <v>49</v>
      </c>
    </row>
    <row r="22" spans="1:14" ht="15" hidden="1" thickBot="1" x14ac:dyDescent="0.25">
      <c r="A22" s="39"/>
      <c r="B22" s="39"/>
      <c r="C22" s="39"/>
      <c r="D22" s="39"/>
      <c r="E22" s="40"/>
      <c r="F22" s="49"/>
      <c r="G22" s="39"/>
      <c r="H22" s="39"/>
      <c r="I22" s="39"/>
      <c r="J22" s="159"/>
      <c r="K22" s="39"/>
      <c r="L22" s="160">
        <f>SUM(L18:L21)</f>
        <v>0</v>
      </c>
      <c r="M22" s="39"/>
      <c r="N22" s="39"/>
    </row>
    <row r="23" spans="1:14" hidden="1" x14ac:dyDescent="0.2">
      <c r="A23" s="39"/>
      <c r="B23" s="39"/>
      <c r="C23" s="39"/>
      <c r="D23" s="39"/>
      <c r="E23" s="39"/>
      <c r="J23" s="26"/>
      <c r="N23" s="307"/>
    </row>
    <row r="24" spans="1:14" x14ac:dyDescent="0.2">
      <c r="A24" s="39"/>
      <c r="B24" s="39"/>
      <c r="C24" s="39"/>
      <c r="D24" s="39"/>
      <c r="E24" s="39"/>
      <c r="J24" s="26"/>
      <c r="N24" s="307"/>
    </row>
    <row r="25" spans="1:14" hidden="1" x14ac:dyDescent="0.2">
      <c r="A25" s="147" t="s">
        <v>92</v>
      </c>
      <c r="B25" s="147" t="s">
        <v>28</v>
      </c>
      <c r="C25" s="150">
        <f>'MIP550-Verbauwand'!B3</f>
        <v>3430</v>
      </c>
      <c r="D25" s="147" t="s">
        <v>26</v>
      </c>
      <c r="E25" s="149" t="s">
        <v>260</v>
      </c>
      <c r="F25" s="154" t="s">
        <v>25</v>
      </c>
      <c r="G25" s="147"/>
      <c r="H25" s="156">
        <f>'MIP550-Verbauwand'!B3*(('MIP550-Verbauwand'!B7/1000)*0.55)</f>
        <v>811.19500000000005</v>
      </c>
      <c r="I25" s="154">
        <f>H25</f>
        <v>811.19500000000005</v>
      </c>
      <c r="J25" s="155" t="s">
        <v>11</v>
      </c>
      <c r="K25" s="17">
        <f>0.27*0.86+0.73*0.0796</f>
        <v>0.29030800000000001</v>
      </c>
      <c r="L25" s="309">
        <f>I25*K25</f>
        <v>235.49639806000002</v>
      </c>
      <c r="M25" s="307" t="s">
        <v>137</v>
      </c>
      <c r="N25" s="307" t="s">
        <v>49</v>
      </c>
    </row>
    <row r="26" spans="1:14" ht="15" hidden="1" x14ac:dyDescent="0.2">
      <c r="A26" s="161" t="s">
        <v>240</v>
      </c>
      <c r="B26" s="147" t="s">
        <v>76</v>
      </c>
      <c r="C26" s="150">
        <f>'MIP550-Verbauwand'!B13</f>
        <v>270</v>
      </c>
      <c r="D26" s="147" t="s">
        <v>11</v>
      </c>
      <c r="E26" s="149" t="s">
        <v>261</v>
      </c>
      <c r="F26" s="154" t="s">
        <v>25</v>
      </c>
      <c r="G26" s="147"/>
      <c r="H26" s="147"/>
      <c r="I26" s="147">
        <f>C26</f>
        <v>270</v>
      </c>
      <c r="J26" s="155" t="s">
        <v>11</v>
      </c>
      <c r="K26" s="307">
        <v>0.67300000000000004</v>
      </c>
      <c r="L26" s="309">
        <f>I26*K26</f>
        <v>181.71</v>
      </c>
      <c r="M26" s="307" t="s">
        <v>42</v>
      </c>
      <c r="N26" s="307" t="s">
        <v>194</v>
      </c>
    </row>
    <row r="27" spans="1:14" hidden="1" x14ac:dyDescent="0.2">
      <c r="A27" s="147"/>
      <c r="B27" s="147" t="s">
        <v>188</v>
      </c>
      <c r="C27" s="198" t="e">
        <f>'MIP550-Verbauwand'!#REF!</f>
        <v>#REF!</v>
      </c>
      <c r="D27" s="147" t="s">
        <v>11</v>
      </c>
      <c r="E27" s="149"/>
      <c r="F27" s="156"/>
      <c r="G27" s="147"/>
      <c r="H27" s="156" t="e">
        <f>C27</f>
        <v>#REF!</v>
      </c>
      <c r="I27" s="147" t="e">
        <f>C27</f>
        <v>#REF!</v>
      </c>
      <c r="J27" s="155" t="s">
        <v>11</v>
      </c>
      <c r="K27" s="307">
        <v>1.0149999999999999</v>
      </c>
      <c r="L27" s="309" t="e">
        <f>I27*K27</f>
        <v>#REF!</v>
      </c>
      <c r="M27" s="307" t="s">
        <v>193</v>
      </c>
      <c r="N27" s="307" t="s">
        <v>194</v>
      </c>
    </row>
    <row r="28" spans="1:14" hidden="1" x14ac:dyDescent="0.2">
      <c r="A28" s="147"/>
      <c r="B28" s="147" t="s">
        <v>189</v>
      </c>
      <c r="C28" s="150" t="e">
        <f>'MIP550-Verbauwand'!#REF!</f>
        <v>#REF!</v>
      </c>
      <c r="D28" s="147" t="s">
        <v>191</v>
      </c>
      <c r="E28" s="149" t="s">
        <v>192</v>
      </c>
      <c r="F28" s="156"/>
      <c r="G28" s="147"/>
      <c r="H28" s="147"/>
      <c r="I28" s="156" t="e">
        <f>C28*22/1000</f>
        <v>#REF!</v>
      </c>
      <c r="J28" s="155" t="s">
        <v>11</v>
      </c>
      <c r="K28" s="307">
        <v>0.86</v>
      </c>
      <c r="L28" s="309" t="e">
        <f>I28*K28</f>
        <v>#REF!</v>
      </c>
      <c r="M28" s="307" t="s">
        <v>48</v>
      </c>
      <c r="N28" s="307" t="s">
        <v>49</v>
      </c>
    </row>
    <row r="29" spans="1:14" hidden="1" x14ac:dyDescent="0.2">
      <c r="A29" s="147"/>
      <c r="B29" s="147" t="s">
        <v>202</v>
      </c>
      <c r="C29" s="150">
        <f>C25</f>
        <v>3430</v>
      </c>
      <c r="D29" s="147" t="s">
        <v>26</v>
      </c>
      <c r="E29" s="149" t="s">
        <v>203</v>
      </c>
      <c r="F29" s="156"/>
      <c r="G29" s="147"/>
      <c r="H29" s="156">
        <f>'MIP550-Verbauwand'!B3*(('MIP550-Verbauwand'!B10/1000)*0.55)</f>
        <v>28.297500000000003</v>
      </c>
      <c r="I29" s="156">
        <f>H29</f>
        <v>28.297500000000003</v>
      </c>
      <c r="J29" s="155" t="s">
        <v>11</v>
      </c>
      <c r="K29" s="307">
        <v>0.47499999999999998</v>
      </c>
      <c r="L29" s="309">
        <f>I29*K29</f>
        <v>13.4413125</v>
      </c>
      <c r="M29" s="307" t="s">
        <v>204</v>
      </c>
      <c r="N29" s="307" t="s">
        <v>194</v>
      </c>
    </row>
    <row r="30" spans="1:14" ht="15" hidden="1" thickBot="1" x14ac:dyDescent="0.25">
      <c r="A30" s="39"/>
      <c r="B30" s="39"/>
      <c r="C30" s="39"/>
      <c r="D30" s="39"/>
      <c r="E30" s="40"/>
      <c r="F30" s="13"/>
      <c r="J30" s="26"/>
      <c r="L30" s="36" t="e">
        <f>SUM(L25:L29)</f>
        <v>#REF!</v>
      </c>
      <c r="N30" s="307"/>
    </row>
    <row r="31" spans="1:14" ht="13.5" hidden="1" customHeight="1" x14ac:dyDescent="0.2">
      <c r="A31" s="39"/>
      <c r="B31" s="39"/>
      <c r="C31" s="39"/>
      <c r="D31" s="39"/>
      <c r="E31" s="39"/>
      <c r="J31" s="26"/>
      <c r="N31" s="307"/>
    </row>
    <row r="32" spans="1:14" hidden="1" x14ac:dyDescent="0.2">
      <c r="A32" s="39"/>
      <c r="B32" s="39"/>
      <c r="C32" s="39"/>
      <c r="D32" s="39"/>
      <c r="E32" s="39"/>
      <c r="J32" s="26"/>
      <c r="N32" s="307"/>
    </row>
    <row r="33" spans="1:28" hidden="1" x14ac:dyDescent="0.2">
      <c r="A33" s="39" t="s">
        <v>93</v>
      </c>
      <c r="B33" s="39" t="s">
        <v>27</v>
      </c>
      <c r="C33" s="39">
        <v>0</v>
      </c>
      <c r="D33" s="39" t="s">
        <v>26</v>
      </c>
      <c r="E33" s="40" t="s">
        <v>75</v>
      </c>
      <c r="F33" s="49" t="s">
        <v>25</v>
      </c>
      <c r="G33" s="39"/>
      <c r="H33" s="39"/>
      <c r="I33" s="39">
        <f>C33*0.233</f>
        <v>0</v>
      </c>
      <c r="J33" s="157" t="s">
        <v>11</v>
      </c>
      <c r="K33" s="39">
        <v>0.91300000000000003</v>
      </c>
      <c r="L33" s="50">
        <f>I33*K33</f>
        <v>0</v>
      </c>
      <c r="M33" s="39" t="s">
        <v>48</v>
      </c>
      <c r="N33" s="39" t="s">
        <v>49</v>
      </c>
    </row>
    <row r="34" spans="1:28" ht="15" hidden="1" thickBot="1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159"/>
      <c r="K34" s="39"/>
      <c r="L34" s="160">
        <f>SUM(L33)</f>
        <v>0</v>
      </c>
      <c r="M34" s="39"/>
      <c r="N34" s="39"/>
    </row>
    <row r="35" spans="1:28" ht="13.5" hidden="1" customHeight="1" x14ac:dyDescent="0.2">
      <c r="A35" s="39"/>
      <c r="B35" s="39"/>
      <c r="C35" s="39"/>
      <c r="D35" s="39"/>
      <c r="E35" s="39"/>
      <c r="F35" s="39"/>
      <c r="G35" s="39"/>
      <c r="H35" s="39"/>
      <c r="I35" s="39"/>
      <c r="J35" s="159"/>
      <c r="K35" s="39"/>
      <c r="L35" s="39"/>
      <c r="M35" s="39"/>
      <c r="N35" s="39"/>
    </row>
    <row r="36" spans="1:28" hidden="1" x14ac:dyDescent="0.2">
      <c r="A36" s="39"/>
      <c r="B36" s="39"/>
      <c r="C36" s="39"/>
      <c r="D36" s="39"/>
      <c r="E36" s="39"/>
      <c r="F36" s="39"/>
      <c r="G36" s="39"/>
      <c r="H36" s="39"/>
      <c r="I36" s="39"/>
      <c r="J36" s="159"/>
      <c r="K36" s="39"/>
      <c r="L36" s="39"/>
      <c r="M36" s="39"/>
      <c r="N36" s="39"/>
    </row>
    <row r="37" spans="1:28" hidden="1" x14ac:dyDescent="0.2">
      <c r="A37" s="39" t="s">
        <v>94</v>
      </c>
      <c r="B37" s="39" t="s">
        <v>43</v>
      </c>
      <c r="C37" s="39" t="s">
        <v>31</v>
      </c>
      <c r="D37" s="39" t="s">
        <v>71</v>
      </c>
      <c r="E37" s="40" t="s">
        <v>29</v>
      </c>
      <c r="F37" s="49" t="s">
        <v>25</v>
      </c>
      <c r="G37" s="39"/>
      <c r="H37" s="39">
        <v>0</v>
      </c>
      <c r="I37" s="39">
        <f>H37</f>
        <v>0</v>
      </c>
      <c r="J37" s="157" t="s">
        <v>11</v>
      </c>
      <c r="K37" s="39">
        <v>0.91300000000000003</v>
      </c>
      <c r="L37" s="50">
        <f>I37*K37</f>
        <v>0</v>
      </c>
      <c r="M37" s="39" t="s">
        <v>48</v>
      </c>
      <c r="N37" s="39" t="s">
        <v>49</v>
      </c>
    </row>
    <row r="38" spans="1:28" hidden="1" x14ac:dyDescent="0.2">
      <c r="A38" s="39"/>
      <c r="B38" s="39" t="s">
        <v>44</v>
      </c>
      <c r="C38" s="39">
        <v>0</v>
      </c>
      <c r="D38" s="39" t="s">
        <v>10</v>
      </c>
      <c r="E38" s="40" t="s">
        <v>30</v>
      </c>
      <c r="F38" s="49" t="s">
        <v>25</v>
      </c>
      <c r="G38" s="39"/>
      <c r="H38" s="39">
        <v>0</v>
      </c>
      <c r="I38" s="39">
        <f>H38</f>
        <v>0</v>
      </c>
      <c r="J38" s="157" t="s">
        <v>11</v>
      </c>
      <c r="K38" s="39">
        <v>0.28000000000000003</v>
      </c>
      <c r="L38" s="50">
        <f>I38*K38</f>
        <v>0</v>
      </c>
      <c r="M38" s="39"/>
      <c r="N38" s="39" t="s">
        <v>50</v>
      </c>
    </row>
    <row r="39" spans="1:28" hidden="1" x14ac:dyDescent="0.2">
      <c r="A39" s="39"/>
      <c r="B39" s="39" t="s">
        <v>45</v>
      </c>
      <c r="C39" s="39">
        <f>47500</f>
        <v>47500</v>
      </c>
      <c r="D39" s="39" t="s">
        <v>12</v>
      </c>
      <c r="E39" s="40" t="s">
        <v>32</v>
      </c>
      <c r="F39" s="49">
        <f>C39*PI()*(0.008^2-0.005^2)</f>
        <v>5.8198003907750913</v>
      </c>
      <c r="G39" s="39">
        <v>1.4</v>
      </c>
      <c r="H39" s="49">
        <v>0</v>
      </c>
      <c r="I39" s="49">
        <f>H39</f>
        <v>0</v>
      </c>
      <c r="J39" s="157" t="s">
        <v>11</v>
      </c>
      <c r="K39" s="39">
        <v>3.23</v>
      </c>
      <c r="L39" s="50">
        <f>I39*K39</f>
        <v>0</v>
      </c>
      <c r="M39" s="39" t="s">
        <v>47</v>
      </c>
      <c r="N39" s="39" t="s">
        <v>46</v>
      </c>
    </row>
    <row r="40" spans="1:28" ht="15" hidden="1" thickBot="1" x14ac:dyDescent="0.25">
      <c r="A40" s="39"/>
      <c r="B40" s="39"/>
      <c r="C40" s="39"/>
      <c r="D40" s="39"/>
      <c r="E40" s="40"/>
      <c r="I40" s="39"/>
      <c r="J40" s="157"/>
      <c r="K40" s="39"/>
      <c r="L40" s="160">
        <f>SUM(L37:L39)</f>
        <v>0</v>
      </c>
      <c r="M40" s="39"/>
      <c r="N40" s="39"/>
    </row>
    <row r="41" spans="1:28" x14ac:dyDescent="0.2">
      <c r="A41" s="39"/>
      <c r="B41" s="39"/>
      <c r="C41" s="39"/>
      <c r="D41" s="39"/>
      <c r="E41" s="40"/>
      <c r="N41" s="307"/>
    </row>
    <row r="42" spans="1:28" x14ac:dyDescent="0.2">
      <c r="A42" s="39"/>
      <c r="B42" s="40"/>
      <c r="C42" s="40"/>
      <c r="D42" s="40"/>
      <c r="E42" s="40"/>
      <c r="F42" s="12"/>
      <c r="G42" s="12"/>
      <c r="H42" s="12"/>
      <c r="I42" s="12"/>
      <c r="J42" s="26"/>
      <c r="N42" s="307"/>
    </row>
    <row r="43" spans="1:28" ht="18.75" thickBot="1" x14ac:dyDescent="0.25">
      <c r="A43" s="39"/>
      <c r="B43" s="41"/>
      <c r="C43" s="41"/>
      <c r="D43" s="41"/>
      <c r="E43" s="41"/>
      <c r="F43" s="349" t="s">
        <v>112</v>
      </c>
      <c r="G43" s="349"/>
      <c r="H43" s="349"/>
      <c r="I43" s="349"/>
      <c r="J43" s="350"/>
      <c r="K43" s="351" t="s">
        <v>40</v>
      </c>
      <c r="L43" s="351"/>
      <c r="M43" s="351"/>
      <c r="N43" s="351"/>
      <c r="AA43" s="55"/>
      <c r="AB43" s="56"/>
    </row>
    <row r="44" spans="1:28" ht="42.75" x14ac:dyDescent="0.2">
      <c r="A44" s="162" t="s">
        <v>33</v>
      </c>
      <c r="B44" s="163"/>
      <c r="C44" s="353" t="s">
        <v>54</v>
      </c>
      <c r="D44" s="354"/>
      <c r="E44" s="163" t="s">
        <v>19</v>
      </c>
      <c r="F44" s="22" t="s">
        <v>56</v>
      </c>
      <c r="G44" s="24" t="s">
        <v>57</v>
      </c>
      <c r="H44" s="24" t="s">
        <v>58</v>
      </c>
      <c r="I44" s="2" t="s">
        <v>74</v>
      </c>
      <c r="J44" s="28" t="s">
        <v>73</v>
      </c>
      <c r="K44" s="316" t="s">
        <v>2</v>
      </c>
      <c r="L44" s="2" t="s">
        <v>3</v>
      </c>
      <c r="M44" s="27" t="s">
        <v>72</v>
      </c>
      <c r="N44" s="10" t="s">
        <v>5</v>
      </c>
      <c r="O44" s="2" t="s">
        <v>64</v>
      </c>
      <c r="P44" s="228"/>
    </row>
    <row r="45" spans="1:28" ht="16.5" thickBot="1" x14ac:dyDescent="0.25">
      <c r="A45" s="44"/>
      <c r="B45" s="45"/>
      <c r="C45" s="46"/>
      <c r="D45" s="47"/>
      <c r="E45" s="48"/>
      <c r="F45" s="6" t="s">
        <v>23</v>
      </c>
      <c r="G45" s="23" t="s">
        <v>7</v>
      </c>
      <c r="H45" s="6" t="s">
        <v>59</v>
      </c>
      <c r="I45" s="6" t="s">
        <v>156</v>
      </c>
      <c r="J45" s="19" t="s">
        <v>60</v>
      </c>
      <c r="K45" s="18" t="s">
        <v>62</v>
      </c>
      <c r="L45" s="6" t="s">
        <v>7</v>
      </c>
      <c r="M45" s="21" t="s">
        <v>40</v>
      </c>
      <c r="N45" s="8"/>
      <c r="O45" s="182" t="s">
        <v>63</v>
      </c>
      <c r="P45" s="229"/>
    </row>
    <row r="46" spans="1:28" x14ac:dyDescent="0.2">
      <c r="A46" s="152" t="s">
        <v>364</v>
      </c>
      <c r="B46" s="152" t="s">
        <v>374</v>
      </c>
      <c r="C46" s="153">
        <f>SUM(I5:I11)</f>
        <v>5881</v>
      </c>
      <c r="D46" s="152" t="s">
        <v>10</v>
      </c>
      <c r="E46" s="164"/>
      <c r="F46" s="152">
        <v>2.2999999999999998</v>
      </c>
      <c r="G46" s="309">
        <f>F46*C46</f>
        <v>13526.3</v>
      </c>
      <c r="H46" s="307">
        <v>24</v>
      </c>
      <c r="I46" s="307">
        <v>8</v>
      </c>
      <c r="J46" s="20">
        <v>20</v>
      </c>
      <c r="K46" s="29">
        <f>IF(N46="Road Rigid &gt; 17t",0.00098,0.00094)</f>
        <v>9.3999999999999997E-4</v>
      </c>
      <c r="L46" s="307">
        <f>J46*M46*K46*(1+O46/100)</f>
        <v>27.6736</v>
      </c>
      <c r="M46" s="307">
        <f>IF($M$45&lt;&gt;0,ROUNDUP(C46/I46,0),ROUNDUP(G46/H46,0))</f>
        <v>736</v>
      </c>
      <c r="N46" s="307" t="s">
        <v>65</v>
      </c>
      <c r="O46" s="307">
        <v>100</v>
      </c>
    </row>
    <row r="47" spans="1:28" x14ac:dyDescent="0.2">
      <c r="A47" s="152"/>
      <c r="B47" s="152" t="s">
        <v>375</v>
      </c>
      <c r="C47" s="153">
        <f>I12+I13</f>
        <v>288</v>
      </c>
      <c r="D47" s="152" t="s">
        <v>11</v>
      </c>
      <c r="E47" s="164"/>
      <c r="F47" s="152" t="s">
        <v>25</v>
      </c>
      <c r="G47" s="13">
        <f>C47</f>
        <v>288</v>
      </c>
      <c r="H47" s="307">
        <v>25</v>
      </c>
      <c r="I47" s="307">
        <f>IF(N47="Road Rigid &gt; 17t",7.5,15)</f>
        <v>15</v>
      </c>
      <c r="J47" s="20">
        <v>300</v>
      </c>
      <c r="K47" s="29">
        <f>IF(N47="Road Rigid &gt; 17t",0.00098,0.00094)</f>
        <v>9.3999999999999997E-4</v>
      </c>
      <c r="L47" s="307">
        <f>J47*M47*K47*(1+O47/100)</f>
        <v>11.28</v>
      </c>
      <c r="M47" s="307">
        <f>IF($M$45&lt;&gt;0,ROUNDUP(G47/I47,0),ROUNDUP(G47/H47,0))</f>
        <v>20</v>
      </c>
      <c r="N47" s="307" t="s">
        <v>65</v>
      </c>
      <c r="O47" s="307">
        <v>100</v>
      </c>
    </row>
    <row r="48" spans="1:28" x14ac:dyDescent="0.2">
      <c r="A48" s="152"/>
      <c r="B48" s="147" t="s">
        <v>202</v>
      </c>
      <c r="C48" s="156">
        <f>I14</f>
        <v>355.55760000000004</v>
      </c>
      <c r="D48" s="147" t="s">
        <v>11</v>
      </c>
      <c r="E48" s="149"/>
      <c r="F48" s="147"/>
      <c r="G48" s="156">
        <f>C48</f>
        <v>355.55760000000004</v>
      </c>
      <c r="H48" s="147">
        <v>25</v>
      </c>
      <c r="I48" s="147">
        <v>15</v>
      </c>
      <c r="J48" s="155">
        <v>20</v>
      </c>
      <c r="K48" s="319">
        <v>9.3999999999999997E-4</v>
      </c>
      <c r="L48" s="320">
        <f>J48*M48*K48*(1+O48/100)</f>
        <v>0.56399999999999995</v>
      </c>
      <c r="M48" s="147">
        <f>IF($M$70&lt;&gt;0,ROUNDUP(G48/I48,0),ROUNDUP(G48/H48,0))</f>
        <v>15</v>
      </c>
      <c r="N48" s="147" t="s">
        <v>65</v>
      </c>
      <c r="O48" s="147">
        <v>100</v>
      </c>
    </row>
    <row r="49" spans="1:16" x14ac:dyDescent="0.2">
      <c r="A49" s="152"/>
      <c r="B49" s="152"/>
      <c r="C49" s="153"/>
      <c r="D49" s="152"/>
      <c r="E49" s="164"/>
      <c r="F49" s="152"/>
      <c r="G49" s="13"/>
      <c r="K49" s="29"/>
      <c r="N49" s="307"/>
    </row>
    <row r="50" spans="1:16" ht="15" thickBot="1" x14ac:dyDescent="0.25">
      <c r="A50" s="152"/>
      <c r="B50" s="152" t="s">
        <v>208</v>
      </c>
      <c r="C50" s="199">
        <f>C164</f>
        <v>27435</v>
      </c>
      <c r="D50" s="152" t="s">
        <v>70</v>
      </c>
      <c r="E50" s="164"/>
      <c r="F50" s="152"/>
      <c r="G50" s="309">
        <f>C50</f>
        <v>27435</v>
      </c>
      <c r="H50" s="307">
        <v>25</v>
      </c>
      <c r="I50" s="307">
        <v>800</v>
      </c>
      <c r="J50" s="20">
        <v>10</v>
      </c>
      <c r="K50" s="29">
        <f>IF(N50="Road Rigid &gt; 17t",0.00098,0.00094)</f>
        <v>9.7999999999999997E-4</v>
      </c>
      <c r="L50" s="307">
        <f>J50*M50*K50*(1+O50/100)</f>
        <v>0.68599999999999994</v>
      </c>
      <c r="M50" s="307">
        <f>IF($M$45&lt;&gt;0,ROUNDUP(G50/I50,0),ROUNDUP(G50/H50,0))</f>
        <v>35</v>
      </c>
      <c r="N50" s="307" t="s">
        <v>61</v>
      </c>
      <c r="O50" s="307">
        <v>100</v>
      </c>
    </row>
    <row r="51" spans="1:16" ht="15" thickBot="1" x14ac:dyDescent="0.25">
      <c r="A51" s="39"/>
      <c r="B51" s="39"/>
      <c r="C51" s="39"/>
      <c r="D51" s="39"/>
      <c r="E51" s="40"/>
      <c r="L51" s="36">
        <f>SUM(L46:L50)</f>
        <v>40.203600000000002</v>
      </c>
      <c r="M51" s="36">
        <f>SUM(M46:M50)</f>
        <v>806</v>
      </c>
      <c r="N51" s="307"/>
    </row>
    <row r="52" spans="1:16" x14ac:dyDescent="0.2">
      <c r="A52" s="39"/>
      <c r="B52" s="39"/>
      <c r="C52" s="39"/>
      <c r="D52" s="39"/>
      <c r="E52" s="40"/>
      <c r="N52" s="307"/>
    </row>
    <row r="53" spans="1:16" hidden="1" x14ac:dyDescent="0.2">
      <c r="A53" s="39"/>
      <c r="B53" s="39"/>
      <c r="C53" s="39"/>
      <c r="D53" s="39"/>
      <c r="E53" s="40"/>
      <c r="N53" s="307"/>
    </row>
    <row r="54" spans="1:16" hidden="1" x14ac:dyDescent="0.2">
      <c r="A54" s="39" t="s">
        <v>91</v>
      </c>
      <c r="B54" s="39" t="s">
        <v>51</v>
      </c>
      <c r="C54" s="39">
        <f>C18</f>
        <v>0</v>
      </c>
      <c r="D54" s="39" t="s">
        <v>10</v>
      </c>
      <c r="E54" s="40" t="s">
        <v>113</v>
      </c>
      <c r="F54" s="39">
        <v>2.2999999999999998</v>
      </c>
      <c r="G54" s="39">
        <f>F54*C54</f>
        <v>0</v>
      </c>
      <c r="H54" s="39">
        <v>24</v>
      </c>
      <c r="I54" s="39">
        <v>8</v>
      </c>
      <c r="J54" s="157">
        <v>20</v>
      </c>
      <c r="K54" s="165">
        <f t="shared" ref="K54:K55" si="10">IF(N54="Road Rigid &gt; 17t",0.00122,0.0012)</f>
        <v>1.1999999999999999E-3</v>
      </c>
      <c r="L54" s="39">
        <f>J54*M54*K54*(1+O54/100)</f>
        <v>0</v>
      </c>
      <c r="M54" s="39">
        <f>IF($M$45&lt;&gt;0,ROUNDUP(C54/I54,0),ROUNDUP(G54/H54,0))</f>
        <v>0</v>
      </c>
      <c r="N54" s="39" t="s">
        <v>65</v>
      </c>
      <c r="O54" s="39">
        <v>100</v>
      </c>
      <c r="P54" s="39"/>
    </row>
    <row r="55" spans="1:16" hidden="1" x14ac:dyDescent="0.2">
      <c r="A55" s="39"/>
      <c r="B55" s="39" t="s">
        <v>67</v>
      </c>
      <c r="C55" s="49">
        <f>I19+I20</f>
        <v>0</v>
      </c>
      <c r="D55" s="39" t="s">
        <v>11</v>
      </c>
      <c r="E55" s="40" t="s">
        <v>114</v>
      </c>
      <c r="F55" s="39" t="s">
        <v>25</v>
      </c>
      <c r="G55" s="49">
        <f>C55</f>
        <v>0</v>
      </c>
      <c r="H55" s="39">
        <v>25</v>
      </c>
      <c r="I55" s="39">
        <f>IF(N55="Road Rigid &gt; 17t",7.5,15)</f>
        <v>15</v>
      </c>
      <c r="J55" s="157">
        <v>300</v>
      </c>
      <c r="K55" s="165">
        <f t="shared" si="10"/>
        <v>1.1999999999999999E-3</v>
      </c>
      <c r="L55" s="39">
        <f>J55*M55*K55*(1+O55/100)</f>
        <v>0</v>
      </c>
      <c r="M55" s="39">
        <f>IF($M$45&lt;&gt;0,ROUNDUP(G55/I55,0),ROUNDUP(G55/H55,0))</f>
        <v>0</v>
      </c>
      <c r="N55" s="39" t="s">
        <v>65</v>
      </c>
      <c r="O55" s="39">
        <v>100</v>
      </c>
      <c r="P55" s="39"/>
    </row>
    <row r="56" spans="1:16" hidden="1" x14ac:dyDescent="0.2">
      <c r="A56" s="39"/>
      <c r="B56" s="39" t="s">
        <v>52</v>
      </c>
      <c r="C56" s="49">
        <f>I21</f>
        <v>0</v>
      </c>
      <c r="D56" s="39" t="s">
        <v>11</v>
      </c>
      <c r="E56" s="40"/>
      <c r="F56" s="39" t="s">
        <v>25</v>
      </c>
      <c r="G56" s="49">
        <f t="shared" ref="G56" si="11">C56</f>
        <v>0</v>
      </c>
      <c r="H56" s="39">
        <v>25</v>
      </c>
      <c r="I56" s="39">
        <f>IF(N56="Road Rigid &gt; 17t",7.5,15)</f>
        <v>15</v>
      </c>
      <c r="J56" s="157">
        <v>20</v>
      </c>
      <c r="K56" s="165">
        <f>IF(N56="Road Rigid &gt; 17t",0.00122,0.0012)</f>
        <v>1.1999999999999999E-3</v>
      </c>
      <c r="L56" s="39">
        <f>J56*M56*K56*(1+O56/100)</f>
        <v>0</v>
      </c>
      <c r="M56" s="39">
        <f>IF($M$45&lt;&gt;0,ROUNDUP(G56/I56,0),ROUNDUP(G56/H56,0))</f>
        <v>0</v>
      </c>
      <c r="N56" s="39" t="s">
        <v>65</v>
      </c>
      <c r="O56" s="39">
        <v>100</v>
      </c>
      <c r="P56" s="39"/>
    </row>
    <row r="57" spans="1:16" ht="15" hidden="1" thickBot="1" x14ac:dyDescent="0.25">
      <c r="A57" s="39"/>
      <c r="B57" s="39"/>
      <c r="C57" s="49"/>
      <c r="D57" s="39"/>
      <c r="E57" s="40"/>
      <c r="F57" s="39"/>
      <c r="G57" s="49"/>
      <c r="H57" s="39"/>
      <c r="I57" s="39"/>
      <c r="J57" s="157"/>
      <c r="K57" s="165"/>
      <c r="L57" s="160">
        <f>SUM(L54:L56)</f>
        <v>0</v>
      </c>
      <c r="M57" s="160">
        <f>SUM(M54:M56)</f>
        <v>0</v>
      </c>
      <c r="N57" s="39"/>
      <c r="O57" s="39"/>
      <c r="P57" s="39"/>
    </row>
    <row r="58" spans="1:16" hidden="1" x14ac:dyDescent="0.2">
      <c r="A58" s="39"/>
      <c r="B58" s="39"/>
      <c r="C58" s="49"/>
      <c r="D58" s="39"/>
      <c r="E58" s="40"/>
      <c r="G58" s="13"/>
      <c r="K58" s="29"/>
      <c r="N58" s="307"/>
    </row>
    <row r="59" spans="1:16" hidden="1" x14ac:dyDescent="0.2">
      <c r="A59" s="39"/>
      <c r="B59" s="39"/>
      <c r="C59" s="39"/>
      <c r="D59" s="39"/>
      <c r="E59" s="40"/>
      <c r="N59" s="307"/>
    </row>
    <row r="60" spans="1:16" hidden="1" x14ac:dyDescent="0.2">
      <c r="A60" s="147" t="s">
        <v>92</v>
      </c>
      <c r="B60" s="147" t="s">
        <v>66</v>
      </c>
      <c r="C60" s="156">
        <f>I25</f>
        <v>811.19500000000005</v>
      </c>
      <c r="D60" s="147" t="s">
        <v>11</v>
      </c>
      <c r="E60" s="147"/>
      <c r="F60" s="147" t="s">
        <v>25</v>
      </c>
      <c r="G60" s="309">
        <f>C60</f>
        <v>811.19500000000005</v>
      </c>
      <c r="H60" s="307">
        <v>25</v>
      </c>
      <c r="I60" s="307">
        <f>IF(N60="Road Rigid &gt; 17t",7.5,15)</f>
        <v>15</v>
      </c>
      <c r="J60" s="20">
        <v>20</v>
      </c>
      <c r="K60" s="29">
        <f>IF(N60="Road Rigid &gt; 17t",0.00122,0.0012)</f>
        <v>1.1999999999999999E-3</v>
      </c>
      <c r="L60" s="307">
        <f t="shared" ref="L60:L65" si="12">J60*M60*K60*(1+O60/100)</f>
        <v>2.6399999999999997</v>
      </c>
      <c r="M60" s="307">
        <f t="shared" ref="M60:M65" si="13">IF($M$45&lt;&gt;0,ROUNDUP(G60/I60,0),ROUNDUP(G60/H60,0))</f>
        <v>55</v>
      </c>
      <c r="N60" s="307" t="s">
        <v>65</v>
      </c>
      <c r="O60" s="307">
        <v>100</v>
      </c>
    </row>
    <row r="61" spans="1:16" hidden="1" x14ac:dyDescent="0.2">
      <c r="A61" s="147"/>
      <c r="B61" s="147" t="s">
        <v>67</v>
      </c>
      <c r="C61" s="147">
        <f>I26</f>
        <v>270</v>
      </c>
      <c r="D61" s="147" t="s">
        <v>11</v>
      </c>
      <c r="E61" s="147"/>
      <c r="F61" s="147" t="s">
        <v>25</v>
      </c>
      <c r="G61" s="307">
        <f>C61</f>
        <v>270</v>
      </c>
      <c r="H61" s="307">
        <v>25</v>
      </c>
      <c r="I61" s="307">
        <f>IF(N61="Road Rigid &gt; 17t",7.5,15)</f>
        <v>15</v>
      </c>
      <c r="J61" s="20">
        <v>300</v>
      </c>
      <c r="K61" s="29">
        <f>IF(N61="Road Rigid &gt; 17t",0.00122,0.0012)</f>
        <v>1.1999999999999999E-3</v>
      </c>
      <c r="L61" s="307">
        <f t="shared" si="12"/>
        <v>12.959999999999999</v>
      </c>
      <c r="M61" s="307">
        <f t="shared" si="13"/>
        <v>18</v>
      </c>
      <c r="N61" s="307" t="s">
        <v>65</v>
      </c>
      <c r="O61" s="307">
        <v>100</v>
      </c>
    </row>
    <row r="62" spans="1:16" hidden="1" x14ac:dyDescent="0.2">
      <c r="A62" s="147"/>
      <c r="B62" s="147" t="s">
        <v>188</v>
      </c>
      <c r="C62" s="147" t="e">
        <f>I27</f>
        <v>#REF!</v>
      </c>
      <c r="D62" s="147" t="s">
        <v>11</v>
      </c>
      <c r="E62" s="149"/>
      <c r="F62" s="147"/>
      <c r="G62" s="13" t="e">
        <f t="shared" ref="G62:G64" si="14">C62</f>
        <v>#REF!</v>
      </c>
      <c r="H62" s="307">
        <v>25</v>
      </c>
      <c r="I62" s="307">
        <f>IF(N62="Road Rigid &gt; 17t",7.5,15)</f>
        <v>15</v>
      </c>
      <c r="J62" s="20">
        <v>300</v>
      </c>
      <c r="K62" s="29">
        <f t="shared" ref="K62:K65" si="15">IF(N62="Road Rigid &gt; 17t",0.00122,0.0012)</f>
        <v>1.1999999999999999E-3</v>
      </c>
      <c r="L62" s="307" t="e">
        <f t="shared" si="12"/>
        <v>#REF!</v>
      </c>
      <c r="M62" s="307" t="e">
        <f t="shared" si="13"/>
        <v>#REF!</v>
      </c>
      <c r="N62" s="307" t="s">
        <v>65</v>
      </c>
      <c r="O62" s="307">
        <v>100</v>
      </c>
    </row>
    <row r="63" spans="1:16" hidden="1" x14ac:dyDescent="0.2">
      <c r="A63" s="147"/>
      <c r="B63" s="147" t="s">
        <v>189</v>
      </c>
      <c r="C63" s="156" t="e">
        <f>I28</f>
        <v>#REF!</v>
      </c>
      <c r="D63" s="147" t="s">
        <v>11</v>
      </c>
      <c r="E63" s="149"/>
      <c r="F63" s="147"/>
      <c r="G63" s="13" t="e">
        <f t="shared" si="14"/>
        <v>#REF!</v>
      </c>
      <c r="H63" s="307">
        <v>25</v>
      </c>
      <c r="I63" s="307">
        <f>IF(N63="Road Rigid &gt; 17t",7.5,15)</f>
        <v>15</v>
      </c>
      <c r="J63" s="20">
        <v>20</v>
      </c>
      <c r="K63" s="29">
        <f t="shared" si="15"/>
        <v>1.1999999999999999E-3</v>
      </c>
      <c r="L63" s="307" t="e">
        <f t="shared" si="12"/>
        <v>#REF!</v>
      </c>
      <c r="M63" s="307" t="e">
        <f t="shared" si="13"/>
        <v>#REF!</v>
      </c>
      <c r="N63" s="307" t="s">
        <v>65</v>
      </c>
      <c r="O63" s="307">
        <v>100</v>
      </c>
    </row>
    <row r="64" spans="1:16" hidden="1" x14ac:dyDescent="0.2">
      <c r="A64" s="147"/>
      <c r="B64" s="147" t="s">
        <v>202</v>
      </c>
      <c r="C64" s="156">
        <f>I29</f>
        <v>28.297500000000003</v>
      </c>
      <c r="D64" s="147" t="s">
        <v>11</v>
      </c>
      <c r="E64" s="149"/>
      <c r="F64" s="147"/>
      <c r="G64" s="13">
        <f t="shared" si="14"/>
        <v>28.297500000000003</v>
      </c>
      <c r="H64" s="307">
        <v>25</v>
      </c>
      <c r="I64" s="307">
        <v>15</v>
      </c>
      <c r="J64" s="20">
        <v>300</v>
      </c>
      <c r="K64" s="29">
        <f t="shared" si="15"/>
        <v>1.1999999999999999E-3</v>
      </c>
      <c r="L64" s="307">
        <f t="shared" si="12"/>
        <v>1.44</v>
      </c>
      <c r="M64" s="307">
        <f t="shared" si="13"/>
        <v>2</v>
      </c>
      <c r="N64" s="307" t="s">
        <v>65</v>
      </c>
      <c r="O64" s="307">
        <v>100</v>
      </c>
    </row>
    <row r="65" spans="1:16" hidden="1" x14ac:dyDescent="0.2">
      <c r="A65" s="147"/>
      <c r="B65" s="147" t="s">
        <v>208</v>
      </c>
      <c r="C65" s="198">
        <f>C176+C177+C178</f>
        <v>14491.75</v>
      </c>
      <c r="D65" s="147" t="s">
        <v>70</v>
      </c>
      <c r="E65" s="149"/>
      <c r="F65" s="147"/>
      <c r="G65" s="309">
        <f>C65</f>
        <v>14491.75</v>
      </c>
      <c r="H65" s="307">
        <v>25</v>
      </c>
      <c r="I65" s="307">
        <v>800</v>
      </c>
      <c r="J65" s="20">
        <v>10</v>
      </c>
      <c r="K65" s="29">
        <f t="shared" si="15"/>
        <v>1.2199999999999999E-3</v>
      </c>
      <c r="L65" s="307">
        <f t="shared" si="12"/>
        <v>0.46359999999999996</v>
      </c>
      <c r="M65" s="307">
        <f t="shared" si="13"/>
        <v>19</v>
      </c>
      <c r="N65" s="307" t="s">
        <v>61</v>
      </c>
      <c r="O65" s="307">
        <v>100</v>
      </c>
    </row>
    <row r="66" spans="1:16" ht="15" hidden="1" thickBot="1" x14ac:dyDescent="0.25">
      <c r="A66" s="39"/>
      <c r="B66" s="39"/>
      <c r="C66" s="39"/>
      <c r="D66" s="39"/>
      <c r="E66" s="39"/>
      <c r="K66" s="29"/>
      <c r="L66" s="36" t="e">
        <f>SUM(L60:L65)</f>
        <v>#REF!</v>
      </c>
      <c r="M66" s="36" t="e">
        <f>SUM(M60:M65)</f>
        <v>#REF!</v>
      </c>
      <c r="N66" s="307"/>
    </row>
    <row r="67" spans="1:16" hidden="1" x14ac:dyDescent="0.2">
      <c r="A67" s="39"/>
      <c r="B67" s="39"/>
      <c r="C67" s="39"/>
      <c r="D67" s="39"/>
      <c r="E67" s="39"/>
      <c r="K67" s="29"/>
      <c r="N67" s="307"/>
    </row>
    <row r="68" spans="1:16" hidden="1" x14ac:dyDescent="0.2">
      <c r="A68" s="39"/>
      <c r="B68" s="39"/>
      <c r="C68" s="39"/>
      <c r="D68" s="39"/>
      <c r="E68" s="39"/>
      <c r="K68" s="29"/>
      <c r="N68" s="307"/>
    </row>
    <row r="69" spans="1:16" hidden="1" x14ac:dyDescent="0.2">
      <c r="A69" s="39" t="s">
        <v>93</v>
      </c>
      <c r="B69" s="39" t="s">
        <v>68</v>
      </c>
      <c r="C69" s="39">
        <f>I33</f>
        <v>0</v>
      </c>
      <c r="D69" s="39" t="s">
        <v>11</v>
      </c>
      <c r="E69" s="39"/>
      <c r="F69" s="39" t="s">
        <v>25</v>
      </c>
      <c r="G69" s="39">
        <f>C69</f>
        <v>0</v>
      </c>
      <c r="H69" s="39">
        <v>25</v>
      </c>
      <c r="I69" s="39">
        <f>IF(N69="Road Rigid &gt; 17t",7.5,15)</f>
        <v>15</v>
      </c>
      <c r="J69" s="157">
        <v>20</v>
      </c>
      <c r="K69" s="165">
        <f>IF(N69="Road Rigid &gt; 17t",0.00122,0.0012)</f>
        <v>1.1999999999999999E-3</v>
      </c>
      <c r="L69" s="39">
        <f>J69*M69*K69*(1+O69/100)</f>
        <v>0</v>
      </c>
      <c r="M69" s="39">
        <f>IF($M$45&lt;&gt;0,ROUNDUP(G69/I69,0),ROUNDUP(G69/H69,0))</f>
        <v>0</v>
      </c>
      <c r="N69" s="39" t="s">
        <v>65</v>
      </c>
      <c r="O69" s="39">
        <v>100</v>
      </c>
      <c r="P69" s="39"/>
    </row>
    <row r="70" spans="1:16" hidden="1" x14ac:dyDescent="0.2">
      <c r="A70" s="39"/>
      <c r="B70" s="39" t="s">
        <v>208</v>
      </c>
      <c r="C70" s="50">
        <v>0</v>
      </c>
      <c r="D70" s="39" t="s">
        <v>70</v>
      </c>
      <c r="E70" s="40"/>
      <c r="F70" s="39"/>
      <c r="G70" s="49">
        <f>C70</f>
        <v>0</v>
      </c>
      <c r="H70" s="39">
        <v>25</v>
      </c>
      <c r="I70" s="39">
        <v>800</v>
      </c>
      <c r="J70" s="157">
        <v>0</v>
      </c>
      <c r="K70" s="165">
        <f t="shared" ref="K70" si="16">IF(N70="Road Rigid &gt; 17t",0.00122,0.0012)</f>
        <v>1.2199999999999999E-3</v>
      </c>
      <c r="L70" s="39">
        <f>J70*M70*K70*(1+O70/100)</f>
        <v>0</v>
      </c>
      <c r="M70" s="39">
        <f>IF($M$45&lt;&gt;0,ROUNDUP(G70/I70,0),ROUNDUP(G70/H70,0))</f>
        <v>0</v>
      </c>
      <c r="N70" s="39" t="s">
        <v>61</v>
      </c>
      <c r="O70" s="39">
        <v>100</v>
      </c>
      <c r="P70" s="39"/>
    </row>
    <row r="71" spans="1:16" ht="15" hidden="1" thickBot="1" x14ac:dyDescent="0.25">
      <c r="A71" s="39"/>
      <c r="B71" s="39"/>
      <c r="C71" s="39"/>
      <c r="D71" s="39"/>
      <c r="E71" s="40"/>
      <c r="F71" s="39"/>
      <c r="G71" s="39"/>
      <c r="H71" s="39"/>
      <c r="I71" s="39"/>
      <c r="J71" s="157"/>
      <c r="K71" s="39"/>
      <c r="L71" s="160">
        <f>SUM(L69:L70)</f>
        <v>0</v>
      </c>
      <c r="M71" s="160">
        <f>SUM(M69:M70)</f>
        <v>0</v>
      </c>
      <c r="N71" s="39"/>
      <c r="O71" s="39"/>
      <c r="P71" s="39"/>
    </row>
    <row r="72" spans="1:16" hidden="1" x14ac:dyDescent="0.2">
      <c r="A72" s="39"/>
      <c r="B72" s="39"/>
      <c r="C72" s="39"/>
      <c r="D72" s="39"/>
      <c r="E72" s="40"/>
      <c r="F72" s="39"/>
      <c r="G72" s="39"/>
      <c r="H72" s="39"/>
      <c r="I72" s="39"/>
      <c r="J72" s="157"/>
      <c r="K72" s="39"/>
      <c r="L72" s="39"/>
      <c r="M72" s="39"/>
      <c r="N72" s="39"/>
      <c r="O72" s="39"/>
      <c r="P72" s="39"/>
    </row>
    <row r="73" spans="1:16" hidden="1" x14ac:dyDescent="0.2">
      <c r="A73" s="39"/>
      <c r="B73" s="39"/>
      <c r="C73" s="39"/>
      <c r="D73" s="39"/>
      <c r="E73" s="40"/>
      <c r="F73" s="39"/>
      <c r="G73" s="39"/>
      <c r="H73" s="39"/>
      <c r="I73" s="39"/>
      <c r="J73" s="157"/>
      <c r="K73" s="39"/>
      <c r="L73" s="39"/>
      <c r="M73" s="39"/>
      <c r="N73" s="39"/>
      <c r="O73" s="39"/>
      <c r="P73" s="39"/>
    </row>
    <row r="74" spans="1:16" hidden="1" x14ac:dyDescent="0.2">
      <c r="A74" s="39" t="s">
        <v>94</v>
      </c>
      <c r="B74" s="39" t="s">
        <v>43</v>
      </c>
      <c r="C74" s="39">
        <f>I37</f>
        <v>0</v>
      </c>
      <c r="D74" s="39" t="s">
        <v>11</v>
      </c>
      <c r="E74" s="39"/>
      <c r="F74" s="39" t="s">
        <v>25</v>
      </c>
      <c r="G74" s="39">
        <f>C74</f>
        <v>0</v>
      </c>
      <c r="H74" s="39">
        <v>31</v>
      </c>
      <c r="I74" s="39">
        <f>IF(N74="Road Rigid &gt; 17t",7.5,15)</f>
        <v>15</v>
      </c>
      <c r="J74" s="157">
        <v>20</v>
      </c>
      <c r="K74" s="165">
        <f>IF(N74="Road Rigid &gt; 17t",0.00122,0.0012)</f>
        <v>1.1999999999999999E-3</v>
      </c>
      <c r="L74" s="39">
        <f>J74*M74*K74*(1+O74/100)</f>
        <v>0</v>
      </c>
      <c r="M74" s="39">
        <f>IF($M$45&lt;&gt;0,ROUNDUP(G74/I74,0),ROUNDUP(G74/H74,0))</f>
        <v>0</v>
      </c>
      <c r="N74" s="39" t="s">
        <v>65</v>
      </c>
      <c r="O74" s="39">
        <v>100</v>
      </c>
      <c r="P74" s="39"/>
    </row>
    <row r="75" spans="1:16" hidden="1" x14ac:dyDescent="0.2">
      <c r="A75" s="39"/>
      <c r="B75" s="39" t="s">
        <v>44</v>
      </c>
      <c r="C75" s="39">
        <f>I38</f>
        <v>0</v>
      </c>
      <c r="D75" s="39" t="s">
        <v>11</v>
      </c>
      <c r="E75" s="39"/>
      <c r="F75" s="39" t="s">
        <v>25</v>
      </c>
      <c r="G75" s="39">
        <f>C75</f>
        <v>0</v>
      </c>
      <c r="H75" s="39">
        <v>32</v>
      </c>
      <c r="I75" s="39">
        <f>IF(N75="Road Rigid &gt; 17t",7.5,15)</f>
        <v>15</v>
      </c>
      <c r="J75" s="157">
        <v>300</v>
      </c>
      <c r="K75" s="165">
        <f>IF(N75="Road Rigid &gt; 17t",0.00122,0.0012)</f>
        <v>1.1999999999999999E-3</v>
      </c>
      <c r="L75" s="39">
        <f>J75*M75*K75*(1+O75/100)</f>
        <v>0</v>
      </c>
      <c r="M75" s="39">
        <f>IF($M$45&lt;&gt;0,ROUNDUP(G75/I75,0),ROUNDUP(G75/H75,0))</f>
        <v>0</v>
      </c>
      <c r="N75" s="39" t="s">
        <v>65</v>
      </c>
      <c r="O75" s="39">
        <v>100</v>
      </c>
      <c r="P75" s="39"/>
    </row>
    <row r="76" spans="1:16" hidden="1" x14ac:dyDescent="0.2">
      <c r="A76" s="39"/>
      <c r="B76" s="39" t="s">
        <v>45</v>
      </c>
      <c r="C76" s="49">
        <f>I39</f>
        <v>0</v>
      </c>
      <c r="D76" s="39" t="s">
        <v>11</v>
      </c>
      <c r="E76" s="39"/>
      <c r="F76" s="39" t="s">
        <v>25</v>
      </c>
      <c r="G76" s="39">
        <f>C76</f>
        <v>0</v>
      </c>
      <c r="H76" s="39">
        <v>33</v>
      </c>
      <c r="I76" s="39">
        <f>IF(N76="Road Rigid &gt; 17t",7.5,15)</f>
        <v>15</v>
      </c>
      <c r="J76" s="157">
        <v>300</v>
      </c>
      <c r="K76" s="165">
        <f>IF(N76="Road Rigid &gt; 17t",0.00122,0.0012)</f>
        <v>1.1999999999999999E-3</v>
      </c>
      <c r="L76" s="39">
        <f>J76*M76*K76*(1+O76/100)</f>
        <v>0</v>
      </c>
      <c r="M76" s="39">
        <f>IF($M$45&lt;&gt;0,ROUNDUP(G76/I76,0),ROUNDUP(G76/H76,0))</f>
        <v>0</v>
      </c>
      <c r="N76" s="39" t="s">
        <v>65</v>
      </c>
      <c r="O76" s="39">
        <v>100</v>
      </c>
      <c r="P76" s="39"/>
    </row>
    <row r="77" spans="1:16" hidden="1" x14ac:dyDescent="0.2">
      <c r="A77" s="39"/>
      <c r="B77" s="39" t="s">
        <v>208</v>
      </c>
      <c r="C77" s="50">
        <v>0</v>
      </c>
      <c r="D77" s="39" t="s">
        <v>70</v>
      </c>
      <c r="E77" s="40"/>
      <c r="F77" s="39"/>
      <c r="G77" s="49">
        <f>C77</f>
        <v>0</v>
      </c>
      <c r="H77" s="39">
        <v>25</v>
      </c>
      <c r="I77" s="39">
        <v>800</v>
      </c>
      <c r="J77" s="157">
        <v>50</v>
      </c>
      <c r="K77" s="165">
        <f t="shared" ref="K77" si="17">IF(N77="Road Rigid &gt; 17t",0.00122,0.0012)</f>
        <v>1.2199999999999999E-3</v>
      </c>
      <c r="L77" s="39">
        <f>J77*M77*K77*(1+O77/100)</f>
        <v>0</v>
      </c>
      <c r="M77" s="39">
        <f>IF($M$45&lt;&gt;0,ROUNDUP(G77/I77,0),ROUNDUP(G77/H77,0))</f>
        <v>0</v>
      </c>
      <c r="N77" s="39" t="s">
        <v>61</v>
      </c>
      <c r="O77" s="39">
        <v>100</v>
      </c>
      <c r="P77" s="39"/>
    </row>
    <row r="78" spans="1:16" ht="15" hidden="1" thickBot="1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157"/>
      <c r="K78" s="165"/>
      <c r="L78" s="160">
        <f>SUM(L74:L77)</f>
        <v>0</v>
      </c>
      <c r="M78" s="160">
        <f>SUM(M74:M77)</f>
        <v>0</v>
      </c>
      <c r="N78" s="39"/>
      <c r="O78" s="39"/>
      <c r="P78" s="39"/>
    </row>
    <row r="79" spans="1:16" hidden="1" x14ac:dyDescent="0.2">
      <c r="A79" s="39"/>
      <c r="B79" s="39"/>
      <c r="C79" s="39"/>
      <c r="D79" s="39"/>
      <c r="E79" s="39"/>
      <c r="K79" s="29"/>
      <c r="N79" s="307"/>
    </row>
    <row r="80" spans="1:16" hidden="1" x14ac:dyDescent="0.2">
      <c r="B80" s="39" t="s">
        <v>139</v>
      </c>
      <c r="C80" s="39">
        <v>0</v>
      </c>
      <c r="D80" s="39" t="s">
        <v>10</v>
      </c>
      <c r="E80" s="39" t="s">
        <v>138</v>
      </c>
      <c r="F80" s="39" t="s">
        <v>125</v>
      </c>
      <c r="G80" s="39">
        <v>0</v>
      </c>
      <c r="H80" s="39"/>
      <c r="I80" s="39">
        <v>15</v>
      </c>
      <c r="J80" s="157">
        <v>20</v>
      </c>
      <c r="K80" s="29">
        <f>IF(N80="Road Rigid &gt; 17t",0.00122,0.0012)</f>
        <v>1.2199999999999999E-3</v>
      </c>
      <c r="L80" s="307">
        <f>J80*M80*K80*(1+O80/100)</f>
        <v>0</v>
      </c>
      <c r="M80" s="307">
        <f>IF($M$45&lt;&gt;0,ROUNDUP(G80/I80,0),ROUNDUP(G80/H80,0))</f>
        <v>0</v>
      </c>
      <c r="N80" s="307" t="s">
        <v>61</v>
      </c>
      <c r="O80" s="307">
        <v>100</v>
      </c>
    </row>
    <row r="81" spans="1:27" hidden="1" x14ac:dyDescent="0.2">
      <c r="B81" s="39"/>
      <c r="C81" s="39"/>
      <c r="D81" s="39"/>
      <c r="E81" s="39"/>
      <c r="F81" s="39" t="s">
        <v>141</v>
      </c>
      <c r="G81" s="39">
        <v>0</v>
      </c>
      <c r="H81" s="39"/>
      <c r="I81" s="39">
        <v>15</v>
      </c>
      <c r="J81" s="157">
        <v>300</v>
      </c>
      <c r="K81" s="29">
        <f t="shared" ref="K81:K83" si="18">IF(N81="Road Rigid &gt; 17t",0.00122,0.0012)</f>
        <v>1.2199999999999999E-3</v>
      </c>
      <c r="L81" s="307">
        <f>J81*M81*K81*(1+O81/100)</f>
        <v>0</v>
      </c>
      <c r="M81" s="307">
        <f>IF($M$45&lt;&gt;0,ROUNDUP(G81/I81,0),ROUNDUP(G81/H81,0))</f>
        <v>0</v>
      </c>
      <c r="N81" s="307" t="s">
        <v>61</v>
      </c>
      <c r="O81" s="307">
        <v>100</v>
      </c>
    </row>
    <row r="82" spans="1:27" hidden="1" x14ac:dyDescent="0.2">
      <c r="B82" s="39"/>
      <c r="C82" s="39"/>
      <c r="D82" s="39"/>
      <c r="E82" s="39"/>
      <c r="F82" s="39" t="s">
        <v>127</v>
      </c>
      <c r="G82" s="39">
        <v>0</v>
      </c>
      <c r="H82" s="39"/>
      <c r="I82" s="39">
        <v>15</v>
      </c>
      <c r="J82" s="157">
        <v>20</v>
      </c>
      <c r="K82" s="29">
        <f t="shared" si="18"/>
        <v>1.1999999999999999E-3</v>
      </c>
      <c r="L82" s="307">
        <f>J82*M82*K82*(1+O82/100)</f>
        <v>0</v>
      </c>
      <c r="M82" s="307">
        <f>IF($M$45&lt;&gt;0,ROUNDUP(G82/I82,0),ROUNDUP(G82/H82,0))</f>
        <v>0</v>
      </c>
      <c r="N82" s="307" t="s">
        <v>65</v>
      </c>
      <c r="O82" s="307">
        <v>100</v>
      </c>
    </row>
    <row r="83" spans="1:27" hidden="1" x14ac:dyDescent="0.2">
      <c r="B83" s="39"/>
      <c r="C83" s="39"/>
      <c r="D83" s="39"/>
      <c r="E83" s="39"/>
      <c r="F83" s="39" t="s">
        <v>142</v>
      </c>
      <c r="G83" s="39">
        <v>0</v>
      </c>
      <c r="H83" s="39"/>
      <c r="I83" s="39">
        <v>1</v>
      </c>
      <c r="J83" s="157">
        <v>0</v>
      </c>
      <c r="K83" s="29">
        <f t="shared" si="18"/>
        <v>1.1999999999999999E-3</v>
      </c>
      <c r="L83" s="307">
        <f>J83*M83*K83*(1+O83/100)</f>
        <v>0</v>
      </c>
      <c r="M83" s="307">
        <f>IF($M$45&lt;&gt;0,ROUNDUP(G83/I83,0),ROUNDUP(G83/H83,0))</f>
        <v>0</v>
      </c>
      <c r="N83" s="307" t="s">
        <v>65</v>
      </c>
      <c r="O83" s="307">
        <v>100</v>
      </c>
    </row>
    <row r="84" spans="1:27" ht="15" hidden="1" thickBot="1" x14ac:dyDescent="0.25">
      <c r="B84" s="39"/>
      <c r="C84" s="39"/>
      <c r="D84" s="39"/>
      <c r="E84" s="39"/>
      <c r="K84" s="29"/>
      <c r="L84" s="36">
        <f>SUM(L80:L83)</f>
        <v>0</v>
      </c>
      <c r="M84" s="36">
        <f>SUM(M80:M82)</f>
        <v>0</v>
      </c>
      <c r="N84" s="307"/>
    </row>
    <row r="85" spans="1:27" x14ac:dyDescent="0.2">
      <c r="B85" s="39"/>
      <c r="C85" s="39"/>
      <c r="D85" s="39"/>
      <c r="E85" s="39"/>
      <c r="K85" s="29"/>
      <c r="N85" s="307"/>
    </row>
    <row r="86" spans="1:27" x14ac:dyDescent="0.2">
      <c r="A86" s="39"/>
      <c r="B86" s="147" t="s">
        <v>140</v>
      </c>
      <c r="C86" s="156">
        <f>C46</f>
        <v>5881</v>
      </c>
      <c r="D86" s="147" t="s">
        <v>10</v>
      </c>
      <c r="E86" s="147" t="s">
        <v>138</v>
      </c>
      <c r="F86" s="307" t="s">
        <v>125</v>
      </c>
      <c r="G86" s="309">
        <f>(AF4*$C$86)/1000</f>
        <v>1881.92</v>
      </c>
      <c r="I86" s="307">
        <v>15</v>
      </c>
      <c r="J86" s="20">
        <v>20</v>
      </c>
      <c r="K86" s="29">
        <f>IF(N86="Road Rigid &gt; 17t",0.00098,0.00094)</f>
        <v>9.7999999999999997E-4</v>
      </c>
      <c r="L86" s="307">
        <f>J86*M86*K86*(1+O86/100)</f>
        <v>4.9391999999999996</v>
      </c>
      <c r="M86" s="307">
        <f>IF($M$45&lt;&gt;0,ROUNDUP(G86/I86,0),ROUNDUP(G86/H86,0))</f>
        <v>126</v>
      </c>
      <c r="N86" s="307" t="s">
        <v>61</v>
      </c>
      <c r="O86" s="307">
        <v>100</v>
      </c>
    </row>
    <row r="87" spans="1:27" x14ac:dyDescent="0.2">
      <c r="A87" s="39"/>
      <c r="B87" s="147"/>
      <c r="C87" s="147"/>
      <c r="D87" s="147"/>
      <c r="E87" s="147"/>
      <c r="F87" s="307" t="s">
        <v>141</v>
      </c>
      <c r="G87" s="309">
        <f>(AF5*$C$86)/1000</f>
        <v>470.48</v>
      </c>
      <c r="I87" s="307">
        <v>15</v>
      </c>
      <c r="J87" s="20">
        <v>300</v>
      </c>
      <c r="K87" s="29">
        <f>IF(N87="Road Rigid &gt; 17t",0.00098,0.00094)</f>
        <v>9.7999999999999997E-4</v>
      </c>
      <c r="L87" s="307">
        <f>J87*M87*K87*(1+O87/100)</f>
        <v>18.815999999999999</v>
      </c>
      <c r="M87" s="307">
        <f>IF($M$45&lt;&gt;0,ROUNDUP(G87/I87,0),ROUNDUP(G87/H87,0))</f>
        <v>32</v>
      </c>
      <c r="N87" s="307" t="s">
        <v>61</v>
      </c>
      <c r="O87" s="307">
        <v>100</v>
      </c>
    </row>
    <row r="88" spans="1:27" x14ac:dyDescent="0.2">
      <c r="A88" s="39"/>
      <c r="B88" s="147"/>
      <c r="C88" s="147"/>
      <c r="D88" s="147"/>
      <c r="E88" s="147"/>
      <c r="F88" s="307" t="s">
        <v>127</v>
      </c>
      <c r="G88" s="309">
        <f>(AF6*$C$86)/1000</f>
        <v>5087.0649999999996</v>
      </c>
      <c r="I88" s="307">
        <v>15</v>
      </c>
      <c r="J88" s="20">
        <v>20</v>
      </c>
      <c r="K88" s="29">
        <f>IF(N88="Road Rigid &gt; 17t",0.00098,0.00094)</f>
        <v>9.3999999999999997E-4</v>
      </c>
      <c r="L88" s="307">
        <f>J88*M88*K88*(1+O88/100)</f>
        <v>12.783999999999999</v>
      </c>
      <c r="M88" s="307">
        <f>IF($M$45&lt;&gt;0,ROUNDUP(G88/I88,0),ROUNDUP(G88/H88,0))</f>
        <v>340</v>
      </c>
      <c r="N88" s="307" t="s">
        <v>65</v>
      </c>
      <c r="O88" s="307">
        <v>100</v>
      </c>
    </row>
    <row r="89" spans="1:27" ht="15" thickBot="1" x14ac:dyDescent="0.25">
      <c r="A89" s="39"/>
      <c r="B89" s="147"/>
      <c r="C89" s="147"/>
      <c r="D89" s="147"/>
      <c r="E89" s="147"/>
      <c r="F89" s="307" t="s">
        <v>142</v>
      </c>
      <c r="G89" s="309">
        <f>(AF8*$C$86)/1000</f>
        <v>1176.2</v>
      </c>
      <c r="I89" s="307">
        <v>1</v>
      </c>
      <c r="J89" s="20">
        <v>0</v>
      </c>
      <c r="K89" s="29">
        <v>4.8999999999999998E-4</v>
      </c>
      <c r="L89" s="17">
        <f>J89*M89*K89*(1+O89/100)</f>
        <v>0</v>
      </c>
      <c r="M89" s="307">
        <f>IF($M$45&lt;&gt;0,ROUNDUP(G89/I89,0),ROUNDUP(G89/H89,0))</f>
        <v>1177</v>
      </c>
      <c r="N89" s="307" t="s">
        <v>360</v>
      </c>
      <c r="O89" s="307">
        <v>100</v>
      </c>
    </row>
    <row r="90" spans="1:27" ht="15" thickBot="1" x14ac:dyDescent="0.25">
      <c r="A90" s="39"/>
      <c r="B90" s="39"/>
      <c r="C90" s="39"/>
      <c r="D90" s="39"/>
      <c r="E90" s="39"/>
      <c r="K90" s="29"/>
      <c r="L90" s="36">
        <f>SUM(L86:L89)</f>
        <v>36.539199999999994</v>
      </c>
      <c r="M90" s="36">
        <f>SUM(M86:M88)</f>
        <v>498</v>
      </c>
      <c r="N90" s="307"/>
    </row>
    <row r="91" spans="1:27" x14ac:dyDescent="0.2">
      <c r="A91" s="39"/>
      <c r="B91" s="39"/>
      <c r="C91" s="39"/>
      <c r="D91" s="39"/>
      <c r="E91" s="39"/>
      <c r="K91" s="29"/>
      <c r="L91" s="311"/>
      <c r="N91" s="307"/>
    </row>
    <row r="92" spans="1:27" hidden="1" x14ac:dyDescent="0.2">
      <c r="A92" s="39"/>
      <c r="B92" s="39" t="s">
        <v>16</v>
      </c>
      <c r="C92" s="39">
        <v>9500</v>
      </c>
      <c r="D92" s="39" t="s">
        <v>10</v>
      </c>
      <c r="E92" s="39" t="s">
        <v>138</v>
      </c>
      <c r="F92" s="39" t="s">
        <v>125</v>
      </c>
      <c r="G92" s="39">
        <v>0</v>
      </c>
      <c r="H92" s="39"/>
      <c r="I92" s="39">
        <v>15</v>
      </c>
      <c r="J92" s="157">
        <v>20</v>
      </c>
      <c r="K92" s="29">
        <f>IF(N92="Road Rigid &gt; 17t",0.00122,0.0012)</f>
        <v>1.2199999999999999E-3</v>
      </c>
      <c r="L92" s="307">
        <f>J92*M92*K92*(1+O92/100)</f>
        <v>0</v>
      </c>
      <c r="M92" s="307">
        <f>IF($M$45&lt;&gt;0,ROUNDUP(G92/I92,0),ROUNDUP(G92/H92,0))</f>
        <v>0</v>
      </c>
      <c r="N92" s="307" t="s">
        <v>61</v>
      </c>
      <c r="O92" s="307">
        <v>100</v>
      </c>
    </row>
    <row r="93" spans="1:27" hidden="1" x14ac:dyDescent="0.2">
      <c r="A93" s="39"/>
      <c r="B93" s="39"/>
      <c r="C93" s="39"/>
      <c r="D93" s="39"/>
      <c r="E93" s="39"/>
      <c r="F93" s="39" t="s">
        <v>141</v>
      </c>
      <c r="G93" s="39">
        <v>0</v>
      </c>
      <c r="H93" s="39"/>
      <c r="I93" s="39">
        <v>15</v>
      </c>
      <c r="J93" s="157">
        <v>300</v>
      </c>
      <c r="K93" s="29">
        <f t="shared" ref="K93:K95" si="19">IF(N93="Road Rigid &gt; 17t",0.00122,0.0012)</f>
        <v>1.2199999999999999E-3</v>
      </c>
      <c r="L93" s="307">
        <f>J93*M93*K93*(1+O93/100)</f>
        <v>0</v>
      </c>
      <c r="M93" s="307">
        <f>IF($M$45&lt;&gt;0,ROUNDUP(G93/I93,0),ROUNDUP(G93/H93,0))</f>
        <v>0</v>
      </c>
      <c r="N93" s="307" t="s">
        <v>61</v>
      </c>
      <c r="O93" s="307">
        <v>100</v>
      </c>
    </row>
    <row r="94" spans="1:27" hidden="1" x14ac:dyDescent="0.2">
      <c r="A94" s="39"/>
      <c r="B94" s="39"/>
      <c r="C94" s="39"/>
      <c r="D94" s="39"/>
      <c r="E94" s="39"/>
      <c r="F94" s="39" t="s">
        <v>127</v>
      </c>
      <c r="G94" s="39">
        <v>0</v>
      </c>
      <c r="H94" s="39"/>
      <c r="I94" s="39">
        <v>15</v>
      </c>
      <c r="J94" s="157">
        <v>20</v>
      </c>
      <c r="K94" s="29">
        <f t="shared" si="19"/>
        <v>1.1999999999999999E-3</v>
      </c>
      <c r="L94" s="307">
        <f>J94*M94*K94*(1+O94/100)</f>
        <v>0</v>
      </c>
      <c r="M94" s="307">
        <f>IF($M$45&lt;&gt;0,ROUNDUP(G94/I94,0),ROUNDUP(G94/H94,0))</f>
        <v>0</v>
      </c>
      <c r="N94" s="307" t="s">
        <v>65</v>
      </c>
      <c r="O94" s="307">
        <v>100</v>
      </c>
    </row>
    <row r="95" spans="1:27" hidden="1" x14ac:dyDescent="0.2">
      <c r="A95" s="39"/>
      <c r="B95" s="39"/>
      <c r="C95" s="39"/>
      <c r="D95" s="39"/>
      <c r="E95" s="39"/>
      <c r="F95" s="39" t="s">
        <v>142</v>
      </c>
      <c r="G95" s="39">
        <v>0</v>
      </c>
      <c r="H95" s="39"/>
      <c r="I95" s="39">
        <v>1</v>
      </c>
      <c r="J95" s="157">
        <v>0</v>
      </c>
      <c r="K95" s="29">
        <f t="shared" si="19"/>
        <v>1.1999999999999999E-3</v>
      </c>
      <c r="L95" s="307">
        <f>J95*M95*K95*(1+O95/100)</f>
        <v>0</v>
      </c>
      <c r="M95" s="307">
        <f>IF($M$45&lt;&gt;0,ROUNDUP(G95/I95,0),ROUNDUP(G95/H95,0))</f>
        <v>0</v>
      </c>
      <c r="N95" s="307" t="s">
        <v>65</v>
      </c>
      <c r="O95" s="307">
        <v>100</v>
      </c>
      <c r="W95" s="307">
        <f>0.29781*4952+3477</f>
        <v>4951.7551199999998</v>
      </c>
      <c r="X95" s="309">
        <f>SUM(X99:X105)</f>
        <v>1637.4587110266664</v>
      </c>
      <c r="Y95" s="309" t="e">
        <f>SUM(Y99:Y105)</f>
        <v>#REF!</v>
      </c>
      <c r="Z95" s="309" t="e">
        <f>X95-Y95</f>
        <v>#REF!</v>
      </c>
      <c r="AA95" s="307" t="e">
        <f>1-(Y95/X95)</f>
        <v>#REF!</v>
      </c>
    </row>
    <row r="96" spans="1:27" ht="15" hidden="1" thickBot="1" x14ac:dyDescent="0.25">
      <c r="A96" s="39"/>
      <c r="B96" s="39"/>
      <c r="C96" s="39"/>
      <c r="D96" s="39"/>
      <c r="E96" s="40"/>
      <c r="K96" s="29"/>
      <c r="L96" s="36">
        <f>SUM(L92:L95)</f>
        <v>0</v>
      </c>
      <c r="M96" s="36">
        <f>SUM(M92:M94)</f>
        <v>0</v>
      </c>
      <c r="N96" s="307"/>
    </row>
    <row r="97" spans="1:31" ht="18.75" customHeight="1" thickBot="1" x14ac:dyDescent="0.25">
      <c r="A97" s="39"/>
      <c r="B97" s="41"/>
      <c r="C97" s="41"/>
      <c r="D97" s="41"/>
      <c r="E97" s="41"/>
      <c r="F97" s="349" t="s">
        <v>110</v>
      </c>
      <c r="G97" s="349"/>
      <c r="H97" s="349"/>
      <c r="I97" s="349"/>
      <c r="J97" s="350"/>
      <c r="K97" s="314" t="s">
        <v>40</v>
      </c>
      <c r="L97" s="314"/>
      <c r="M97" s="314"/>
      <c r="N97" s="314"/>
      <c r="W97" s="344"/>
      <c r="X97" s="345"/>
      <c r="Y97" s="312"/>
    </row>
    <row r="98" spans="1:31" ht="34.5" customHeight="1" thickBot="1" x14ac:dyDescent="0.25">
      <c r="A98" s="166" t="s">
        <v>33</v>
      </c>
      <c r="B98" s="167"/>
      <c r="C98" s="346" t="s">
        <v>54</v>
      </c>
      <c r="D98" s="347"/>
      <c r="E98" s="167" t="s">
        <v>19</v>
      </c>
      <c r="F98" s="22" t="s">
        <v>56</v>
      </c>
      <c r="G98" s="24" t="s">
        <v>57</v>
      </c>
      <c r="H98" s="24" t="s">
        <v>58</v>
      </c>
      <c r="I98" s="2" t="s">
        <v>74</v>
      </c>
      <c r="J98" s="28" t="s">
        <v>73</v>
      </c>
      <c r="K98" s="316" t="s">
        <v>2</v>
      </c>
      <c r="L98" s="2" t="s">
        <v>3</v>
      </c>
      <c r="M98" s="27" t="s">
        <v>72</v>
      </c>
      <c r="N98" s="10" t="s">
        <v>5</v>
      </c>
      <c r="O98" s="2" t="s">
        <v>64</v>
      </c>
      <c r="P98" s="228"/>
      <c r="R98" s="307" t="s">
        <v>236</v>
      </c>
      <c r="S98" s="307" t="s">
        <v>237</v>
      </c>
      <c r="T98" s="307" t="s">
        <v>238</v>
      </c>
      <c r="U98" s="307" t="s">
        <v>178</v>
      </c>
      <c r="V98" s="312"/>
      <c r="W98" s="104" t="s">
        <v>218</v>
      </c>
      <c r="X98" s="108" t="s">
        <v>219</v>
      </c>
      <c r="Y98" s="116" t="s">
        <v>235</v>
      </c>
      <c r="Z98" s="112" t="s">
        <v>222</v>
      </c>
      <c r="AB98" s="12" t="s">
        <v>182</v>
      </c>
      <c r="AC98" s="12" t="s">
        <v>181</v>
      </c>
    </row>
    <row r="99" spans="1:31" ht="16.5" thickBot="1" x14ac:dyDescent="0.25">
      <c r="A99" s="168"/>
      <c r="B99" s="169"/>
      <c r="C99" s="170"/>
      <c r="D99" s="171"/>
      <c r="E99" s="172"/>
      <c r="F99" s="6" t="s">
        <v>23</v>
      </c>
      <c r="G99" s="23" t="s">
        <v>7</v>
      </c>
      <c r="H99" s="6" t="s">
        <v>59</v>
      </c>
      <c r="I99" s="6" t="s">
        <v>59</v>
      </c>
      <c r="J99" s="19" t="s">
        <v>60</v>
      </c>
      <c r="K99" s="18" t="s">
        <v>62</v>
      </c>
      <c r="L99" s="6" t="s">
        <v>7</v>
      </c>
      <c r="M99" s="21" t="s">
        <v>77</v>
      </c>
      <c r="N99" s="8"/>
      <c r="O99" s="182" t="s">
        <v>63</v>
      </c>
      <c r="P99" s="229"/>
      <c r="R99" s="307" t="s">
        <v>151</v>
      </c>
      <c r="S99" s="309">
        <f>M51+M57+M84+M90+M96</f>
        <v>1304</v>
      </c>
      <c r="T99" s="309">
        <f>M103</f>
        <v>932</v>
      </c>
      <c r="V99" s="312"/>
      <c r="W99" s="105" t="s">
        <v>211</v>
      </c>
      <c r="X99" s="109">
        <f>B254</f>
        <v>1363.5327869599998</v>
      </c>
      <c r="Y99" s="109" t="e">
        <f>B255</f>
        <v>#REF!</v>
      </c>
      <c r="Z99" s="113" t="e">
        <f>1-(Y99/X99)</f>
        <v>#REF!</v>
      </c>
      <c r="AA99" s="309">
        <f>B256</f>
        <v>0</v>
      </c>
      <c r="AB99" s="66" t="e">
        <f t="shared" ref="AB99:AB105" si="20">1-(Z99/X99)</f>
        <v>#REF!</v>
      </c>
      <c r="AC99" s="66" t="e">
        <f t="shared" ref="AC99:AC105" si="21">1-(Z99/Y99)</f>
        <v>#REF!</v>
      </c>
    </row>
    <row r="100" spans="1:31" x14ac:dyDescent="0.2">
      <c r="A100" s="147" t="s">
        <v>364</v>
      </c>
      <c r="B100" s="39"/>
      <c r="C100" s="39"/>
      <c r="D100" s="39"/>
      <c r="E100" s="40"/>
      <c r="G100" s="309"/>
      <c r="K100" s="29"/>
      <c r="N100" s="307"/>
      <c r="R100" s="307" t="s">
        <v>152</v>
      </c>
      <c r="S100" s="309" t="e">
        <f>M66+M71</f>
        <v>#REF!</v>
      </c>
      <c r="T100" s="309" t="e">
        <f>M108+M112</f>
        <v>#REF!</v>
      </c>
      <c r="V100" s="312"/>
      <c r="W100" s="106" t="s">
        <v>214</v>
      </c>
      <c r="X100" s="110">
        <f>C254</f>
        <v>115.28187</v>
      </c>
      <c r="Y100" s="110">
        <f>C255</f>
        <v>53.247320000000002</v>
      </c>
      <c r="Z100" s="114">
        <f t="shared" ref="Z100:Z105" si="22">1-(Y100/X100)</f>
        <v>0.53811193381925526</v>
      </c>
      <c r="AA100" s="309">
        <f>C256</f>
        <v>0</v>
      </c>
      <c r="AB100" s="66" t="e">
        <f>1-(Z101/X101)</f>
        <v>#REF!</v>
      </c>
      <c r="AC100" s="67" t="e">
        <f>1-(Z101/Y101)</f>
        <v>#REF!</v>
      </c>
      <c r="AE100" s="307" t="s">
        <v>183</v>
      </c>
    </row>
    <row r="101" spans="1:31" x14ac:dyDescent="0.2">
      <c r="A101" s="39"/>
      <c r="B101" s="39"/>
      <c r="C101" s="39"/>
      <c r="D101" s="39"/>
      <c r="E101" s="40"/>
      <c r="G101" s="309"/>
      <c r="K101" s="29"/>
      <c r="N101" s="307"/>
      <c r="R101" s="307" t="s">
        <v>153</v>
      </c>
      <c r="S101" s="309" t="e">
        <f>M66+M78</f>
        <v>#REF!</v>
      </c>
      <c r="T101" s="309" t="e">
        <f>M108+M116</f>
        <v>#REF!</v>
      </c>
      <c r="V101" s="312"/>
      <c r="W101" s="106" t="s">
        <v>212</v>
      </c>
      <c r="X101" s="110">
        <f>E254</f>
        <v>76.742799999999988</v>
      </c>
      <c r="Y101" s="110" t="e">
        <f>E255</f>
        <v>#REF!</v>
      </c>
      <c r="Z101" s="114" t="e">
        <f t="shared" si="22"/>
        <v>#REF!</v>
      </c>
      <c r="AA101" s="309">
        <f>E256</f>
        <v>0</v>
      </c>
      <c r="AB101" s="66">
        <f>1-(Z100/X100)</f>
        <v>0.99533220675706202</v>
      </c>
      <c r="AC101" s="66">
        <f>1-(Z100/Y100)</f>
        <v>0.98989410295543034</v>
      </c>
    </row>
    <row r="102" spans="1:31" ht="15" thickBot="1" x14ac:dyDescent="0.25">
      <c r="A102" s="39"/>
      <c r="B102" s="147" t="s">
        <v>243</v>
      </c>
      <c r="C102" s="156">
        <f>Schlitzwand!B19</f>
        <v>13971</v>
      </c>
      <c r="D102" s="147" t="s">
        <v>11</v>
      </c>
      <c r="E102" s="147" t="s">
        <v>380</v>
      </c>
      <c r="G102" s="309">
        <f>C102</f>
        <v>13971</v>
      </c>
      <c r="H102" s="307">
        <v>24</v>
      </c>
      <c r="I102" s="307">
        <f>IF(N102="Road Rigid &gt; 17t",7.5,15)</f>
        <v>15</v>
      </c>
      <c r="J102" s="20">
        <v>20</v>
      </c>
      <c r="K102" s="29">
        <f>IF(N102="Road Rigid &gt; 17t",0.00098,0.00094)</f>
        <v>9.3999999999999997E-4</v>
      </c>
      <c r="L102" s="309">
        <f>J102*M102*K102*(1+O102/100)</f>
        <v>35.043199999999999</v>
      </c>
      <c r="M102" s="307">
        <f>IF($M$45&lt;&gt;0,ROUNDUP(G102/I102,0),ROUNDUP(G102/H102,0))</f>
        <v>932</v>
      </c>
      <c r="N102" s="307" t="s">
        <v>65</v>
      </c>
      <c r="O102" s="307">
        <v>100</v>
      </c>
      <c r="V102" s="312"/>
      <c r="W102" s="106" t="s">
        <v>220</v>
      </c>
      <c r="X102" s="110">
        <f>F254</f>
        <v>7.8199999999999994</v>
      </c>
      <c r="Y102" s="110">
        <f>F255</f>
        <v>4.2160000000000002</v>
      </c>
      <c r="Z102" s="114">
        <f t="shared" si="22"/>
        <v>0.4608695652173912</v>
      </c>
      <c r="AA102" s="309">
        <f>F256</f>
        <v>0</v>
      </c>
      <c r="AB102" s="66">
        <f>1-(Z104/X104)</f>
        <v>0.98237922105825681</v>
      </c>
      <c r="AC102" s="67">
        <f>1-(Z104/Y104)</f>
        <v>0.95520156043104421</v>
      </c>
      <c r="AE102" s="307" t="s">
        <v>184</v>
      </c>
    </row>
    <row r="103" spans="1:31" ht="15" thickBot="1" x14ac:dyDescent="0.25">
      <c r="A103" s="39"/>
      <c r="B103" s="39"/>
      <c r="C103" s="50"/>
      <c r="D103" s="39"/>
      <c r="E103" s="40"/>
      <c r="L103" s="36">
        <f>SUM(L100:L102)</f>
        <v>35.043199999999999</v>
      </c>
      <c r="M103" s="36">
        <f>SUM(M100:M102)</f>
        <v>932</v>
      </c>
      <c r="N103" s="307"/>
      <c r="V103" s="312"/>
      <c r="W103" s="106" t="s">
        <v>217</v>
      </c>
      <c r="X103" s="110">
        <f>G254</f>
        <v>4.6090800000000005</v>
      </c>
      <c r="Y103" s="110">
        <f>G255</f>
        <v>1.5091999999999999</v>
      </c>
      <c r="Z103" s="114">
        <f t="shared" si="22"/>
        <v>0.67255938278354899</v>
      </c>
      <c r="AA103" s="309">
        <f>G256</f>
        <v>0</v>
      </c>
      <c r="AB103" s="66">
        <f>1-(Z102/X102)</f>
        <v>0.94106527299010345</v>
      </c>
      <c r="AC103" s="66">
        <f>1-(Z102/Y102)</f>
        <v>0.89068558699777245</v>
      </c>
    </row>
    <row r="104" spans="1:31" x14ac:dyDescent="0.2">
      <c r="A104" s="39"/>
      <c r="B104" s="39"/>
      <c r="C104" s="50"/>
      <c r="D104" s="39"/>
      <c r="E104" s="40"/>
      <c r="N104" s="307"/>
      <c r="R104" s="307" t="s">
        <v>92</v>
      </c>
      <c r="S104" s="309" t="e">
        <f>M66</f>
        <v>#REF!</v>
      </c>
      <c r="T104" s="309" t="e">
        <f>M108</f>
        <v>#REF!</v>
      </c>
      <c r="V104" s="312"/>
      <c r="W104" s="106" t="s">
        <v>213</v>
      </c>
      <c r="X104" s="110">
        <f>H254</f>
        <v>34.428974066666655</v>
      </c>
      <c r="Y104" s="110">
        <f>H255</f>
        <v>13.542108766666667</v>
      </c>
      <c r="Z104" s="114">
        <f t="shared" si="22"/>
        <v>0.60666534121974247</v>
      </c>
      <c r="AA104" s="309">
        <f>H256</f>
        <v>0</v>
      </c>
      <c r="AB104" s="66">
        <f>1-(Z103/X103)</f>
        <v>0.85407947295695696</v>
      </c>
      <c r="AC104" s="67">
        <f>1-(Z103/Y103)</f>
        <v>0.55436033475778623</v>
      </c>
      <c r="AE104" s="307" t="s">
        <v>184</v>
      </c>
    </row>
    <row r="105" spans="1:31" ht="15" hidden="1" thickBot="1" x14ac:dyDescent="0.25">
      <c r="A105" s="147" t="s">
        <v>92</v>
      </c>
      <c r="B105" s="147" t="s">
        <v>243</v>
      </c>
      <c r="C105" s="156" t="e">
        <f>'MIP550-Verbauwand'!B3*('MIP550-Verbauwand'!#REF!/100)*('MIP550-Verbauwand'!B21/100)*2.2</f>
        <v>#REF!</v>
      </c>
      <c r="D105" s="147" t="s">
        <v>11</v>
      </c>
      <c r="E105" s="39"/>
      <c r="F105" s="307" t="s">
        <v>25</v>
      </c>
      <c r="G105" s="309" t="e">
        <f t="shared" ref="G105:G106" si="23">C105</f>
        <v>#REF!</v>
      </c>
      <c r="H105" s="307">
        <v>24</v>
      </c>
      <c r="I105" s="307">
        <f>IF(N105="Road Rigid &gt; 17t",7.5,15)</f>
        <v>15</v>
      </c>
      <c r="J105" s="20">
        <v>20</v>
      </c>
      <c r="K105" s="29">
        <f t="shared" ref="K105:K107" si="24">IF(N105="Road Rigid &gt; 17t",0.00122,0.0012)</f>
        <v>1.1999999999999999E-3</v>
      </c>
      <c r="L105" s="13" t="e">
        <f>J105*M105*K105*(1+O105/100)</f>
        <v>#REF!</v>
      </c>
      <c r="M105" s="307" t="e">
        <f>IF($M$45&lt;&gt;0,ROUNDUP(G105/I105,0),ROUNDUP(G105/H105,0))</f>
        <v>#REF!</v>
      </c>
      <c r="N105" s="307" t="s">
        <v>65</v>
      </c>
      <c r="O105" s="307">
        <v>100</v>
      </c>
      <c r="R105" s="307" t="s">
        <v>93</v>
      </c>
      <c r="S105" s="309">
        <f>M71</f>
        <v>0</v>
      </c>
      <c r="T105" s="309">
        <f>M112</f>
        <v>0</v>
      </c>
      <c r="V105" s="312"/>
      <c r="W105" s="107" t="s">
        <v>210</v>
      </c>
      <c r="X105" s="111">
        <f>I254</f>
        <v>35.043199999999999</v>
      </c>
      <c r="Y105" s="111" t="e">
        <f>I255</f>
        <v>#REF!</v>
      </c>
      <c r="Z105" s="115" t="e">
        <f t="shared" si="22"/>
        <v>#REF!</v>
      </c>
      <c r="AA105" s="309">
        <f>I256</f>
        <v>0</v>
      </c>
      <c r="AB105" s="66" t="e">
        <f t="shared" si="20"/>
        <v>#REF!</v>
      </c>
      <c r="AC105" s="66" t="e">
        <f t="shared" si="21"/>
        <v>#REF!</v>
      </c>
    </row>
    <row r="106" spans="1:31" ht="16.5" hidden="1" x14ac:dyDescent="0.2">
      <c r="A106" s="39"/>
      <c r="B106" s="39" t="s">
        <v>55</v>
      </c>
      <c r="C106" s="39">
        <v>0</v>
      </c>
      <c r="D106" s="39" t="s">
        <v>11</v>
      </c>
      <c r="E106" s="39"/>
      <c r="F106" s="307" t="s">
        <v>25</v>
      </c>
      <c r="G106" s="307">
        <f t="shared" si="23"/>
        <v>0</v>
      </c>
      <c r="H106" s="307">
        <v>24</v>
      </c>
      <c r="I106" s="307">
        <f>IF(N106="Road Rigid &gt; 17t",7.5,15)</f>
        <v>15</v>
      </c>
      <c r="J106" s="20">
        <v>20</v>
      </c>
      <c r="K106" s="29">
        <f t="shared" si="24"/>
        <v>1.1999999999999999E-3</v>
      </c>
      <c r="L106" s="307">
        <f>J106*M106*K106*(1+O106/100)</f>
        <v>0</v>
      </c>
      <c r="M106" s="307">
        <f>IF($M$45&lt;&gt;0,ROUNDUP(G106/I106,0),ROUNDUP(G106/H106,0))</f>
        <v>0</v>
      </c>
      <c r="N106" s="307" t="s">
        <v>65</v>
      </c>
      <c r="O106" s="307">
        <v>100</v>
      </c>
      <c r="R106" s="307" t="s">
        <v>94</v>
      </c>
      <c r="S106" s="309">
        <f>M78</f>
        <v>0</v>
      </c>
      <c r="T106" s="307">
        <f>0</f>
        <v>0</v>
      </c>
      <c r="W106" s="100" t="s">
        <v>187</v>
      </c>
      <c r="X106" s="101" t="s">
        <v>223</v>
      </c>
      <c r="Y106" s="101" t="s">
        <v>227</v>
      </c>
      <c r="Z106" s="102"/>
      <c r="AB106" s="66" t="e">
        <f>1-(Y106/X106)</f>
        <v>#VALUE!</v>
      </c>
      <c r="AC106" s="66" t="e">
        <f>1-(SUM(Z99:Z105)/SUM(Y99:Y105))</f>
        <v>#REF!</v>
      </c>
    </row>
    <row r="107" spans="1:31" ht="15" hidden="1" x14ac:dyDescent="0.2">
      <c r="A107" s="39"/>
      <c r="B107" s="147" t="s">
        <v>206</v>
      </c>
      <c r="C107" s="147">
        <v>0</v>
      </c>
      <c r="D107" s="147" t="s">
        <v>11</v>
      </c>
      <c r="E107" s="147" t="s">
        <v>207</v>
      </c>
      <c r="F107" s="147"/>
      <c r="G107" s="147">
        <f>C107*2</f>
        <v>0</v>
      </c>
      <c r="H107" s="147">
        <v>24</v>
      </c>
      <c r="I107" s="147">
        <f>IF(N107="Road Rigid &gt; 17t",7.5,15)</f>
        <v>15</v>
      </c>
      <c r="J107" s="155">
        <v>50</v>
      </c>
      <c r="K107" s="29">
        <f t="shared" si="24"/>
        <v>1.1999999999999999E-3</v>
      </c>
      <c r="L107" s="307">
        <f>J107*M107*K107*(1+O107/100)</f>
        <v>0</v>
      </c>
      <c r="M107" s="307">
        <f>IF($M$45&lt;&gt;0,ROUNDUP(G107/I107,0),ROUNDUP(G107/H107,0))</f>
        <v>0</v>
      </c>
      <c r="N107" s="307" t="s">
        <v>65</v>
      </c>
      <c r="O107" s="307">
        <v>100</v>
      </c>
      <c r="W107" s="100"/>
      <c r="X107" s="101"/>
      <c r="Y107" s="101"/>
      <c r="Z107" s="102"/>
      <c r="AB107" s="66"/>
      <c r="AC107" s="66"/>
    </row>
    <row r="108" spans="1:31" ht="17.25" hidden="1" thickBot="1" x14ac:dyDescent="0.35">
      <c r="A108" s="39"/>
      <c r="B108" s="39"/>
      <c r="C108" s="39"/>
      <c r="D108" s="39"/>
      <c r="E108" s="40"/>
      <c r="L108" s="36" t="e">
        <f>SUM(L105:L107)</f>
        <v>#REF!</v>
      </c>
      <c r="M108" s="36" t="e">
        <f>SUM(M105:M106)</f>
        <v>#REF!</v>
      </c>
      <c r="N108" s="307"/>
      <c r="W108" s="117" t="s">
        <v>221</v>
      </c>
      <c r="X108" s="348" t="s">
        <v>234</v>
      </c>
      <c r="Y108" s="348"/>
      <c r="Z108" s="118">
        <v>0.27</v>
      </c>
    </row>
    <row r="109" spans="1:31" x14ac:dyDescent="0.2">
      <c r="A109" s="39"/>
      <c r="B109" s="39"/>
      <c r="C109" s="39"/>
      <c r="D109" s="39"/>
      <c r="E109" s="40"/>
      <c r="N109" s="307"/>
      <c r="AC109" s="66" t="e">
        <f>1-(Y106/#REF!)</f>
        <v>#VALUE!</v>
      </c>
    </row>
    <row r="110" spans="1:31" ht="15" hidden="1" customHeight="1" x14ac:dyDescent="0.2">
      <c r="A110" s="39"/>
      <c r="B110" s="39"/>
      <c r="C110" s="39"/>
      <c r="D110" s="39"/>
      <c r="E110" s="40"/>
      <c r="L110" s="17"/>
      <c r="N110" s="307"/>
    </row>
    <row r="111" spans="1:31" hidden="1" x14ac:dyDescent="0.2">
      <c r="A111" s="39" t="s">
        <v>93</v>
      </c>
      <c r="B111" s="39" t="s">
        <v>69</v>
      </c>
      <c r="C111" s="39">
        <v>0</v>
      </c>
      <c r="D111" s="39" t="s">
        <v>11</v>
      </c>
      <c r="E111" s="39"/>
      <c r="F111" s="39" t="s">
        <v>25</v>
      </c>
      <c r="G111" s="39">
        <f>C111</f>
        <v>0</v>
      </c>
      <c r="H111" s="39">
        <v>24</v>
      </c>
      <c r="I111" s="39">
        <f>IF(N111="Road Rigid &gt; 17t",7.5,15)</f>
        <v>15</v>
      </c>
      <c r="J111" s="157">
        <v>20</v>
      </c>
      <c r="K111" s="165">
        <f>IF(N111="Road Rigid &gt; 17t",0.00122,0.0012)</f>
        <v>1.1999999999999999E-3</v>
      </c>
      <c r="L111" s="39">
        <f>J111*M111*K111*(1+O111/100)</f>
        <v>0</v>
      </c>
      <c r="M111" s="39">
        <f>IF($M$45&lt;&gt;0,ROUNDUP(G111/I111,0),ROUNDUP(G111/H111,0))</f>
        <v>0</v>
      </c>
      <c r="N111" s="39" t="s">
        <v>65</v>
      </c>
      <c r="O111" s="39">
        <v>100</v>
      </c>
      <c r="P111" s="39"/>
      <c r="Q111" s="39"/>
    </row>
    <row r="112" spans="1:31" ht="15" hidden="1" thickBot="1" x14ac:dyDescent="0.25">
      <c r="A112" s="39"/>
      <c r="B112" s="39"/>
      <c r="C112" s="39"/>
      <c r="D112" s="39"/>
      <c r="E112" s="40"/>
      <c r="F112" s="39"/>
      <c r="G112" s="39"/>
      <c r="H112" s="39"/>
      <c r="I112" s="39"/>
      <c r="J112" s="157"/>
      <c r="K112" s="39"/>
      <c r="L112" s="160">
        <f>SUM(L111)</f>
        <v>0</v>
      </c>
      <c r="M112" s="160">
        <f>SUM(M111)</f>
        <v>0</v>
      </c>
      <c r="N112" s="39"/>
      <c r="O112" s="39"/>
      <c r="P112" s="39"/>
      <c r="Q112" s="39"/>
    </row>
    <row r="113" spans="1:26" ht="15" hidden="1" thickBot="1" x14ac:dyDescent="0.25">
      <c r="A113" s="39"/>
      <c r="B113" s="39"/>
      <c r="C113" s="39"/>
      <c r="D113" s="39"/>
      <c r="E113" s="39"/>
      <c r="F113" s="39"/>
      <c r="G113" s="39"/>
      <c r="H113" s="39"/>
      <c r="I113" s="39"/>
      <c r="J113" s="157"/>
      <c r="K113" s="165"/>
      <c r="L113" s="39"/>
      <c r="M113" s="39"/>
      <c r="N113" s="39"/>
      <c r="O113" s="39"/>
      <c r="P113" s="39"/>
      <c r="Q113" s="39"/>
      <c r="W113" s="313"/>
      <c r="X113" s="313"/>
      <c r="Y113" s="313"/>
      <c r="Z113" s="313"/>
    </row>
    <row r="114" spans="1:26" ht="90.75" hidden="1" thickBot="1" x14ac:dyDescent="0.25">
      <c r="A114" s="39"/>
      <c r="B114" s="39"/>
      <c r="C114" s="39"/>
      <c r="D114" s="39"/>
      <c r="E114" s="40"/>
      <c r="F114" s="39"/>
      <c r="G114" s="39"/>
      <c r="H114" s="39"/>
      <c r="I114" s="39"/>
      <c r="J114" s="157"/>
      <c r="K114" s="39"/>
      <c r="L114" s="158"/>
      <c r="M114" s="39"/>
      <c r="N114" s="39"/>
      <c r="O114" s="39"/>
      <c r="P114" s="39"/>
      <c r="Q114" s="39"/>
      <c r="V114" s="122"/>
      <c r="W114" s="104" t="s">
        <v>218</v>
      </c>
      <c r="X114" s="108" t="s">
        <v>219</v>
      </c>
      <c r="Y114" s="123" t="s">
        <v>230</v>
      </c>
      <c r="Z114" s="124" t="s">
        <v>231</v>
      </c>
    </row>
    <row r="115" spans="1:26" ht="15" hidden="1" customHeight="1" thickBot="1" x14ac:dyDescent="0.25">
      <c r="A115" s="39" t="s">
        <v>94</v>
      </c>
      <c r="B115" s="39" t="s">
        <v>25</v>
      </c>
      <c r="C115" s="39" t="s">
        <v>25</v>
      </c>
      <c r="D115" s="39" t="s">
        <v>25</v>
      </c>
      <c r="E115" s="39" t="s">
        <v>25</v>
      </c>
      <c r="F115" s="39" t="s">
        <v>25</v>
      </c>
      <c r="G115" s="39" t="s">
        <v>25</v>
      </c>
      <c r="H115" s="39" t="s">
        <v>25</v>
      </c>
      <c r="I115" s="39" t="s">
        <v>25</v>
      </c>
      <c r="J115" s="157" t="s">
        <v>25</v>
      </c>
      <c r="K115" s="39" t="s">
        <v>25</v>
      </c>
      <c r="L115" s="39" t="s">
        <v>25</v>
      </c>
      <c r="M115" s="39" t="s">
        <v>25</v>
      </c>
      <c r="N115" s="39" t="s">
        <v>25</v>
      </c>
      <c r="O115" s="39" t="s">
        <v>25</v>
      </c>
      <c r="P115" s="39"/>
      <c r="Q115" s="39"/>
      <c r="V115" s="122"/>
      <c r="W115" s="130" t="s">
        <v>211</v>
      </c>
      <c r="X115" s="119">
        <v>4952.2054160000007</v>
      </c>
      <c r="Y115" s="125" t="e">
        <f t="shared" ref="Y115:Y121" si="25">1-Y99/X99</f>
        <v>#REF!</v>
      </c>
      <c r="Z115" s="126">
        <f>1-AA99/X99</f>
        <v>1</v>
      </c>
    </row>
    <row r="116" spans="1:26" ht="15" hidden="1" customHeight="1" thickBot="1" x14ac:dyDescent="0.25">
      <c r="A116" s="39"/>
      <c r="B116" s="39"/>
      <c r="C116" s="39"/>
      <c r="D116" s="39"/>
      <c r="E116" s="39"/>
      <c r="F116" s="39"/>
      <c r="G116" s="39"/>
      <c r="H116" s="39"/>
      <c r="I116" s="39"/>
      <c r="J116" s="157"/>
      <c r="K116" s="39"/>
      <c r="L116" s="160">
        <f>SUM(L115)</f>
        <v>0</v>
      </c>
      <c r="M116" s="39">
        <v>0</v>
      </c>
      <c r="N116" s="39"/>
      <c r="O116" s="39"/>
      <c r="P116" s="39"/>
      <c r="Q116" s="39"/>
      <c r="V116" s="122"/>
      <c r="W116" s="106" t="s">
        <v>214</v>
      </c>
      <c r="X116" s="110">
        <v>282.07732620000002</v>
      </c>
      <c r="Y116" s="125">
        <f t="shared" si="25"/>
        <v>0.53811193381925526</v>
      </c>
      <c r="Z116" s="126">
        <f t="shared" ref="Z116:Z121" si="26">1-AA100/X100</f>
        <v>1</v>
      </c>
    </row>
    <row r="117" spans="1:26" ht="15" customHeight="1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157"/>
      <c r="K117" s="39"/>
      <c r="L117" s="39"/>
      <c r="M117" s="39"/>
      <c r="N117" s="39"/>
      <c r="O117" s="39"/>
      <c r="P117" s="39"/>
      <c r="Q117" s="39"/>
      <c r="V117" s="122"/>
      <c r="W117" s="106" t="s">
        <v>212</v>
      </c>
      <c r="X117" s="110">
        <v>327.0136</v>
      </c>
      <c r="Y117" s="125" t="e">
        <f t="shared" si="25"/>
        <v>#REF!</v>
      </c>
      <c r="Z117" s="126">
        <f t="shared" si="26"/>
        <v>1</v>
      </c>
    </row>
    <row r="118" spans="1:26" ht="15" customHeight="1" x14ac:dyDescent="0.2">
      <c r="A118" s="39"/>
      <c r="B118" s="39"/>
      <c r="C118" s="39"/>
      <c r="D118" s="39"/>
      <c r="E118" s="39"/>
      <c r="N118" s="307"/>
      <c r="V118" s="122"/>
      <c r="W118" s="106" t="s">
        <v>215</v>
      </c>
      <c r="X118" s="110">
        <v>42.5</v>
      </c>
      <c r="Y118" s="125">
        <f t="shared" si="25"/>
        <v>0.4608695652173912</v>
      </c>
      <c r="Z118" s="126">
        <f t="shared" si="26"/>
        <v>1</v>
      </c>
    </row>
    <row r="119" spans="1:26" ht="15" customHeight="1" thickBot="1" x14ac:dyDescent="0.25">
      <c r="A119" s="39"/>
      <c r="B119" s="41"/>
      <c r="C119" s="41"/>
      <c r="D119" s="41"/>
      <c r="E119" s="41"/>
      <c r="F119" s="349" t="s">
        <v>78</v>
      </c>
      <c r="G119" s="349"/>
      <c r="H119" s="349"/>
      <c r="I119" s="349"/>
      <c r="J119" s="350"/>
      <c r="N119" s="307"/>
      <c r="V119" s="122"/>
      <c r="W119" s="106" t="s">
        <v>217</v>
      </c>
      <c r="X119" s="110">
        <v>5.6320000000000006</v>
      </c>
      <c r="Y119" s="125">
        <f t="shared" si="25"/>
        <v>0.67255938278354899</v>
      </c>
      <c r="Z119" s="126">
        <f t="shared" si="26"/>
        <v>1</v>
      </c>
    </row>
    <row r="120" spans="1:26" ht="15" customHeight="1" x14ac:dyDescent="0.2">
      <c r="A120" s="166" t="s">
        <v>33</v>
      </c>
      <c r="B120" s="167"/>
      <c r="C120" s="346" t="s">
        <v>82</v>
      </c>
      <c r="D120" s="347"/>
      <c r="E120" s="167"/>
      <c r="F120" s="22" t="s">
        <v>103</v>
      </c>
      <c r="G120" s="24" t="s">
        <v>102</v>
      </c>
      <c r="H120" s="24" t="s">
        <v>105</v>
      </c>
      <c r="I120" s="316" t="s">
        <v>2</v>
      </c>
      <c r="J120" s="2" t="s">
        <v>3</v>
      </c>
      <c r="N120" s="307"/>
      <c r="Q120" s="61" t="s">
        <v>144</v>
      </c>
      <c r="R120" s="61" t="s">
        <v>146</v>
      </c>
      <c r="S120" s="61" t="s">
        <v>145</v>
      </c>
      <c r="T120" s="61" t="s">
        <v>154</v>
      </c>
      <c r="U120" s="61" t="s">
        <v>147</v>
      </c>
      <c r="V120" s="122"/>
      <c r="W120" s="106" t="s">
        <v>213</v>
      </c>
      <c r="X120" s="110">
        <v>45.913284666666669</v>
      </c>
      <c r="Y120" s="125">
        <f t="shared" si="25"/>
        <v>0.60666534121974247</v>
      </c>
      <c r="Z120" s="126">
        <f t="shared" si="26"/>
        <v>1</v>
      </c>
    </row>
    <row r="121" spans="1:26" ht="15" customHeight="1" thickBot="1" x14ac:dyDescent="0.25">
      <c r="A121" s="168"/>
      <c r="B121" s="169"/>
      <c r="C121" s="170"/>
      <c r="D121" s="171"/>
      <c r="E121" s="172"/>
      <c r="F121" s="6" t="s">
        <v>107</v>
      </c>
      <c r="G121" s="23" t="s">
        <v>104</v>
      </c>
      <c r="H121" s="6" t="s">
        <v>106</v>
      </c>
      <c r="I121" s="18" t="s">
        <v>34</v>
      </c>
      <c r="J121" s="6" t="s">
        <v>7</v>
      </c>
      <c r="N121" s="307"/>
      <c r="Q121" s="61" t="s">
        <v>157</v>
      </c>
      <c r="R121" s="61" t="s">
        <v>149</v>
      </c>
      <c r="S121" s="61" t="s">
        <v>148</v>
      </c>
      <c r="T121" s="61" t="s">
        <v>155</v>
      </c>
      <c r="U121" s="61" t="s">
        <v>150</v>
      </c>
      <c r="V121" s="122"/>
      <c r="W121" s="131" t="s">
        <v>210</v>
      </c>
      <c r="X121" s="120">
        <v>547.87199999999996</v>
      </c>
      <c r="Y121" s="128" t="e">
        <f t="shared" si="25"/>
        <v>#REF!</v>
      </c>
      <c r="Z121" s="129">
        <f t="shared" si="26"/>
        <v>1</v>
      </c>
    </row>
    <row r="122" spans="1:26" ht="15" customHeight="1" x14ac:dyDescent="0.2">
      <c r="A122" s="244"/>
      <c r="B122" s="244"/>
      <c r="C122" s="244"/>
      <c r="D122" s="244"/>
      <c r="E122" s="245"/>
      <c r="F122" s="246"/>
      <c r="G122" s="228"/>
      <c r="H122" s="246"/>
      <c r="I122" s="246"/>
      <c r="J122" s="246"/>
      <c r="N122" s="307"/>
      <c r="Q122" s="228"/>
      <c r="R122" s="228"/>
      <c r="S122" s="228"/>
      <c r="T122" s="228"/>
      <c r="U122" s="228"/>
      <c r="V122" s="312"/>
      <c r="W122" s="174"/>
      <c r="X122" s="175"/>
      <c r="Y122" s="247"/>
      <c r="Z122" s="247"/>
    </row>
    <row r="123" spans="1:26" ht="15" customHeight="1" x14ac:dyDescent="0.2">
      <c r="A123" s="244"/>
      <c r="B123" s="244"/>
      <c r="C123" s="244"/>
      <c r="D123" s="244"/>
      <c r="E123" s="245"/>
      <c r="F123" s="246"/>
      <c r="G123" s="228"/>
      <c r="H123" s="246"/>
      <c r="I123" s="246"/>
      <c r="J123" s="246"/>
      <c r="N123" s="307"/>
      <c r="Q123" s="228"/>
      <c r="R123" s="228"/>
      <c r="S123" s="228"/>
      <c r="T123" s="228"/>
      <c r="U123" s="228"/>
      <c r="V123" s="312"/>
      <c r="W123" s="174"/>
      <c r="X123" s="175"/>
      <c r="Y123" s="247"/>
      <c r="Z123" s="247"/>
    </row>
    <row r="124" spans="1:26" ht="15" customHeight="1" x14ac:dyDescent="0.2">
      <c r="A124" s="147" t="s">
        <v>364</v>
      </c>
      <c r="B124" s="147" t="s">
        <v>381</v>
      </c>
      <c r="C124" s="147">
        <v>120</v>
      </c>
      <c r="D124" s="147" t="s">
        <v>11</v>
      </c>
      <c r="E124" s="39" t="s">
        <v>385</v>
      </c>
      <c r="F124" s="187">
        <f>Schlitzwand!B3/Schlitzwand!B7</f>
        <v>54.87</v>
      </c>
      <c r="G124" s="307">
        <v>8</v>
      </c>
      <c r="H124" s="307">
        <v>150</v>
      </c>
      <c r="I124" s="307">
        <v>3.6669999999999998</v>
      </c>
      <c r="J124" s="13">
        <f>C124*(F124/H124)/G124*I124</f>
        <v>20.120828999999997</v>
      </c>
      <c r="N124" s="307"/>
      <c r="Q124" s="307" t="s">
        <v>151</v>
      </c>
      <c r="R124" s="307">
        <f>4952+282+98+43+20+0.5*(315+548)</f>
        <v>5826.5</v>
      </c>
      <c r="S124" s="307">
        <f>4952+282+98+43+20+1*(315+548)</f>
        <v>6258</v>
      </c>
      <c r="T124" s="307">
        <f>4952+282+98+43+20+1.5*(315+548)</f>
        <v>6689.5</v>
      </c>
      <c r="U124" s="307">
        <f>4952+282+98+43+20+2*(315+548)</f>
        <v>7121</v>
      </c>
      <c r="W124" s="100" t="s">
        <v>187</v>
      </c>
      <c r="X124" s="101" t="s">
        <v>223</v>
      </c>
      <c r="Y124" s="103">
        <v>0.27</v>
      </c>
      <c r="Z124" s="103">
        <v>0.42</v>
      </c>
    </row>
    <row r="125" spans="1:26" ht="15" customHeight="1" x14ac:dyDescent="0.2">
      <c r="A125" s="147"/>
      <c r="B125" s="147" t="s">
        <v>108</v>
      </c>
      <c r="C125" s="147">
        <v>30</v>
      </c>
      <c r="D125" s="147" t="s">
        <v>11</v>
      </c>
      <c r="E125" s="147" t="s">
        <v>121</v>
      </c>
      <c r="F125" s="187">
        <f>F124</f>
        <v>54.87</v>
      </c>
      <c r="G125" s="307">
        <v>15</v>
      </c>
      <c r="H125" s="307">
        <v>150</v>
      </c>
      <c r="I125" s="307">
        <v>3.6669999999999998</v>
      </c>
      <c r="J125" s="13">
        <f t="shared" ref="J125:J130" si="27">C125*(F125/H125)/G125*I125</f>
        <v>2.6827771999999994</v>
      </c>
      <c r="N125" s="307"/>
      <c r="Q125" s="307" t="s">
        <v>152</v>
      </c>
      <c r="R125" s="307">
        <f>3450+359+56+36+15+0.5*(35+501)</f>
        <v>4184</v>
      </c>
      <c r="S125" s="307">
        <f>3450+359+56+36+15+1*(35+501)</f>
        <v>4452</v>
      </c>
      <c r="T125" s="307">
        <f>3450+359+56+36+15+1.5*(35+501)</f>
        <v>4720</v>
      </c>
      <c r="U125" s="307">
        <f>3450+359+56+36+15+2*(35+501)</f>
        <v>4988</v>
      </c>
      <c r="W125" s="102"/>
      <c r="X125" s="102"/>
      <c r="Y125" s="39"/>
      <c r="Z125" s="39"/>
    </row>
    <row r="126" spans="1:26" ht="15" customHeight="1" x14ac:dyDescent="0.3">
      <c r="A126" s="147"/>
      <c r="B126" s="147" t="s">
        <v>382</v>
      </c>
      <c r="C126" s="147">
        <v>80</v>
      </c>
      <c r="D126" s="147" t="s">
        <v>117</v>
      </c>
      <c r="E126" s="147"/>
      <c r="F126" s="187">
        <f>F124</f>
        <v>54.87</v>
      </c>
      <c r="G126" s="307">
        <v>15</v>
      </c>
      <c r="H126" s="307">
        <v>150</v>
      </c>
      <c r="I126" s="307">
        <v>3.6669999999999998</v>
      </c>
      <c r="J126" s="13">
        <f t="shared" si="27"/>
        <v>7.1540725333333315</v>
      </c>
      <c r="N126" s="307"/>
      <c r="Q126" s="307" t="s">
        <v>153</v>
      </c>
      <c r="R126" s="307">
        <f>2618+319+78+35+20+0.5*(55+430)</f>
        <v>3312.5</v>
      </c>
      <c r="S126" s="307">
        <f>2618+319+78+35+20+1*(55+430)</f>
        <v>3555</v>
      </c>
      <c r="T126" s="307">
        <f>2618+319+78+35+20+1.5*(55+430)</f>
        <v>3797.5</v>
      </c>
      <c r="U126" s="307">
        <f t="shared" ref="U126" si="28">2618+319+78+35+20+0.5*(55+430)</f>
        <v>3312.5</v>
      </c>
      <c r="W126" s="117" t="s">
        <v>221</v>
      </c>
      <c r="X126" s="99"/>
      <c r="Y126" s="127" t="s">
        <v>224</v>
      </c>
      <c r="Z126" s="127" t="s">
        <v>225</v>
      </c>
    </row>
    <row r="127" spans="1:26" ht="15" customHeight="1" x14ac:dyDescent="0.25">
      <c r="B127" s="147" t="s">
        <v>119</v>
      </c>
      <c r="C127" s="147">
        <v>20</v>
      </c>
      <c r="D127" s="147" t="s">
        <v>11</v>
      </c>
      <c r="E127" s="147"/>
      <c r="F127" s="187">
        <f>F124</f>
        <v>54.87</v>
      </c>
      <c r="G127" s="307">
        <v>15</v>
      </c>
      <c r="H127" s="307">
        <v>150</v>
      </c>
      <c r="I127" s="307">
        <v>3.6669999999999998</v>
      </c>
      <c r="J127" s="13">
        <f t="shared" si="27"/>
        <v>1.7885181333333329</v>
      </c>
      <c r="N127" s="307"/>
      <c r="W127" s="117"/>
      <c r="X127" s="99"/>
      <c r="Y127" s="127"/>
      <c r="Z127" s="127"/>
    </row>
    <row r="128" spans="1:26" ht="15" customHeight="1" x14ac:dyDescent="0.25">
      <c r="B128" s="324" t="s">
        <v>383</v>
      </c>
      <c r="C128" s="147">
        <v>10</v>
      </c>
      <c r="D128" s="147" t="s">
        <v>11</v>
      </c>
      <c r="E128" s="147"/>
      <c r="F128" s="187">
        <f>F124</f>
        <v>54.87</v>
      </c>
      <c r="G128" s="307">
        <v>15</v>
      </c>
      <c r="H128" s="307">
        <v>150</v>
      </c>
      <c r="I128" s="307">
        <v>3.6669999999999998</v>
      </c>
      <c r="J128" s="13">
        <f t="shared" si="27"/>
        <v>0.89425906666666644</v>
      </c>
      <c r="N128" s="307"/>
      <c r="W128" s="117"/>
      <c r="X128" s="99"/>
      <c r="Y128" s="127"/>
      <c r="Z128" s="127"/>
    </row>
    <row r="129" spans="1:26" x14ac:dyDescent="0.2">
      <c r="B129" s="324" t="s">
        <v>384</v>
      </c>
      <c r="C129" s="147">
        <v>10</v>
      </c>
      <c r="D129" s="147" t="s">
        <v>11</v>
      </c>
      <c r="E129" s="147"/>
      <c r="F129" s="187">
        <f>F124</f>
        <v>54.87</v>
      </c>
      <c r="G129" s="307">
        <v>15</v>
      </c>
      <c r="H129" s="307">
        <v>150</v>
      </c>
      <c r="I129" s="307">
        <v>3.6669999999999998</v>
      </c>
      <c r="J129" s="13">
        <f t="shared" si="27"/>
        <v>0.89425906666666644</v>
      </c>
      <c r="N129" s="307"/>
    </row>
    <row r="130" spans="1:26" x14ac:dyDescent="0.2">
      <c r="B130" s="147" t="s">
        <v>158</v>
      </c>
      <c r="C130" s="147">
        <v>10</v>
      </c>
      <c r="D130" s="147" t="s">
        <v>11</v>
      </c>
      <c r="E130" s="147"/>
      <c r="F130" s="187">
        <f>F124</f>
        <v>54.87</v>
      </c>
      <c r="G130" s="307">
        <v>15</v>
      </c>
      <c r="H130" s="307">
        <v>150</v>
      </c>
      <c r="I130" s="307">
        <v>3.6669999999999998</v>
      </c>
      <c r="J130" s="13">
        <f t="shared" si="27"/>
        <v>0.89425906666666644</v>
      </c>
      <c r="N130" s="307"/>
    </row>
    <row r="131" spans="1:26" ht="15" thickBot="1" x14ac:dyDescent="0.25">
      <c r="B131" s="147" t="s">
        <v>159</v>
      </c>
      <c r="C131" s="147">
        <v>60</v>
      </c>
      <c r="D131" s="147" t="s">
        <v>11</v>
      </c>
      <c r="E131" s="147"/>
      <c r="F131" s="187">
        <f>F124</f>
        <v>54.87</v>
      </c>
      <c r="G131" s="307">
        <v>10</v>
      </c>
      <c r="H131" s="307">
        <v>150</v>
      </c>
      <c r="I131" s="307">
        <v>3.6669999999999998</v>
      </c>
      <c r="J131" s="13">
        <f>C131*(F131/H131)/G131*I131</f>
        <v>8.0483315999999991</v>
      </c>
      <c r="N131" s="307"/>
    </row>
    <row r="132" spans="1:26" ht="15" thickBot="1" x14ac:dyDescent="0.25">
      <c r="B132" s="39"/>
      <c r="C132" s="39"/>
      <c r="D132" s="39"/>
      <c r="E132" s="39"/>
      <c r="F132" s="309"/>
      <c r="J132" s="378">
        <f>SUM(J124:J130)</f>
        <v>34.428974066666655</v>
      </c>
      <c r="N132" s="307"/>
    </row>
    <row r="133" spans="1:26" ht="14.25" hidden="1" customHeight="1" thickBot="1" x14ac:dyDescent="0.25">
      <c r="A133" s="39" t="s">
        <v>91</v>
      </c>
      <c r="B133" s="39" t="s">
        <v>79</v>
      </c>
      <c r="C133" s="39">
        <v>9</v>
      </c>
      <c r="D133" s="39" t="s">
        <v>11</v>
      </c>
      <c r="E133" s="39" t="s">
        <v>122</v>
      </c>
      <c r="F133" s="50">
        <f>ROUNDUP($C$18/(10*90),0)</f>
        <v>0</v>
      </c>
      <c r="G133" s="39">
        <v>10</v>
      </c>
      <c r="H133" s="39">
        <v>150</v>
      </c>
      <c r="I133" s="39">
        <v>3.6669999999999998</v>
      </c>
      <c r="J133" s="49">
        <f>C133*(F133/H133)/G133*I133</f>
        <v>0</v>
      </c>
      <c r="N133" s="307"/>
    </row>
    <row r="134" spans="1:26" ht="34.5" hidden="1" customHeight="1" thickBot="1" x14ac:dyDescent="0.25">
      <c r="A134" s="39"/>
      <c r="B134" s="39" t="s">
        <v>80</v>
      </c>
      <c r="C134" s="39">
        <v>45</v>
      </c>
      <c r="D134" s="39" t="s">
        <v>11</v>
      </c>
      <c r="E134" s="39"/>
      <c r="F134" s="50">
        <f t="shared" ref="F134:F136" si="29">ROUNDUP($C$18/(10*90),0)</f>
        <v>0</v>
      </c>
      <c r="G134" s="39">
        <v>10</v>
      </c>
      <c r="H134" s="39">
        <v>150</v>
      </c>
      <c r="I134" s="39">
        <v>3.6669999999999998</v>
      </c>
      <c r="J134" s="49">
        <f t="shared" ref="J134:J142" si="30">C134*(F134/H134)/G134*I134</f>
        <v>0</v>
      </c>
      <c r="N134" s="307"/>
      <c r="W134" s="104" t="s">
        <v>218</v>
      </c>
      <c r="X134" s="108" t="s">
        <v>232</v>
      </c>
      <c r="Y134" s="116" t="s">
        <v>233</v>
      </c>
      <c r="Z134" s="112" t="s">
        <v>222</v>
      </c>
    </row>
    <row r="135" spans="1:26" hidden="1" x14ac:dyDescent="0.2">
      <c r="A135" s="39"/>
      <c r="B135" s="39" t="s">
        <v>81</v>
      </c>
      <c r="C135" s="39">
        <v>43</v>
      </c>
      <c r="D135" s="39" t="s">
        <v>11</v>
      </c>
      <c r="E135" s="39"/>
      <c r="F135" s="50">
        <f t="shared" si="29"/>
        <v>0</v>
      </c>
      <c r="G135" s="39">
        <v>10</v>
      </c>
      <c r="H135" s="39">
        <v>150</v>
      </c>
      <c r="I135" s="39">
        <v>3.6669999999999998</v>
      </c>
      <c r="J135" s="49">
        <f t="shared" si="30"/>
        <v>0</v>
      </c>
      <c r="N135" s="307"/>
      <c r="W135" s="105" t="s">
        <v>211</v>
      </c>
      <c r="X135" s="109">
        <f>B250</f>
        <v>0</v>
      </c>
      <c r="Y135" s="109">
        <f>B251</f>
        <v>0</v>
      </c>
      <c r="Z135" s="113" t="e">
        <f>1-(Y135/X135)</f>
        <v>#DIV/0!</v>
      </c>
    </row>
    <row r="136" spans="1:26" hidden="1" x14ac:dyDescent="0.2">
      <c r="A136" s="39"/>
      <c r="B136" s="39" t="s">
        <v>108</v>
      </c>
      <c r="C136" s="39">
        <v>30</v>
      </c>
      <c r="D136" s="39" t="s">
        <v>11</v>
      </c>
      <c r="E136" s="39" t="s">
        <v>121</v>
      </c>
      <c r="F136" s="50">
        <f t="shared" si="29"/>
        <v>0</v>
      </c>
      <c r="G136" s="39">
        <v>10</v>
      </c>
      <c r="H136" s="39">
        <v>150</v>
      </c>
      <c r="I136" s="39">
        <v>3.6669999999999998</v>
      </c>
      <c r="J136" s="49">
        <f t="shared" si="30"/>
        <v>0</v>
      </c>
      <c r="N136" s="307"/>
      <c r="W136" s="106" t="s">
        <v>214</v>
      </c>
      <c r="X136" s="110">
        <f>C250</f>
        <v>0</v>
      </c>
      <c r="Y136" s="110">
        <f>C251</f>
        <v>0</v>
      </c>
      <c r="Z136" s="114" t="e">
        <f t="shared" ref="Z136:Z141" si="31">1-(Y136/X136)</f>
        <v>#DIV/0!</v>
      </c>
    </row>
    <row r="137" spans="1:26" ht="15" hidden="1" thickBot="1" x14ac:dyDescent="0.25">
      <c r="A137" s="39"/>
      <c r="B137" s="39"/>
      <c r="C137" s="39"/>
      <c r="D137" s="39"/>
      <c r="E137" s="39"/>
      <c r="F137" s="39"/>
      <c r="G137" s="39"/>
      <c r="H137" s="39"/>
      <c r="I137" s="39"/>
      <c r="J137" s="160">
        <f>SUM(J133:J136)</f>
        <v>0</v>
      </c>
      <c r="N137" s="307"/>
      <c r="W137" s="106" t="s">
        <v>212</v>
      </c>
      <c r="X137" s="110">
        <f>E250</f>
        <v>0</v>
      </c>
      <c r="Y137" s="110">
        <f>E251</f>
        <v>0</v>
      </c>
      <c r="Z137" s="114" t="e">
        <f t="shared" si="31"/>
        <v>#DIV/0!</v>
      </c>
    </row>
    <row r="138" spans="1:26" hidden="1" x14ac:dyDescent="0.2">
      <c r="A138" s="39"/>
      <c r="B138" s="39"/>
      <c r="C138" s="39"/>
      <c r="D138" s="39"/>
      <c r="E138" s="39"/>
      <c r="J138" s="13"/>
      <c r="N138" s="307"/>
      <c r="W138" s="106" t="s">
        <v>220</v>
      </c>
      <c r="X138" s="110">
        <f>F250</f>
        <v>0</v>
      </c>
      <c r="Y138" s="110">
        <f>F251</f>
        <v>0</v>
      </c>
      <c r="Z138" s="114" t="e">
        <f t="shared" si="31"/>
        <v>#DIV/0!</v>
      </c>
    </row>
    <row r="139" spans="1:26" hidden="1" x14ac:dyDescent="0.2">
      <c r="A139" s="147" t="s">
        <v>92</v>
      </c>
      <c r="B139" s="147" t="s">
        <v>83</v>
      </c>
      <c r="C139" s="147">
        <v>140</v>
      </c>
      <c r="D139" s="147" t="s">
        <v>11</v>
      </c>
      <c r="E139" s="147" t="s">
        <v>265</v>
      </c>
      <c r="F139" s="187">
        <f>'MIP550-Verbauwand'!B3/200</f>
        <v>17.149999999999999</v>
      </c>
      <c r="G139" s="307">
        <v>10</v>
      </c>
      <c r="H139" s="307">
        <v>150</v>
      </c>
      <c r="I139" s="307">
        <v>3.6669999999999998</v>
      </c>
      <c r="J139" s="13">
        <f t="shared" si="30"/>
        <v>5.8696446666666668</v>
      </c>
      <c r="N139" s="307"/>
      <c r="W139" s="106" t="s">
        <v>217</v>
      </c>
      <c r="X139" s="110">
        <f>G250</f>
        <v>0</v>
      </c>
      <c r="Y139" s="110">
        <f>G251</f>
        <v>0</v>
      </c>
      <c r="Z139" s="114" t="e">
        <f t="shared" si="31"/>
        <v>#DIV/0!</v>
      </c>
    </row>
    <row r="140" spans="1:26" hidden="1" x14ac:dyDescent="0.2">
      <c r="A140" s="147"/>
      <c r="B140" s="147" t="s">
        <v>108</v>
      </c>
      <c r="C140" s="147">
        <v>30</v>
      </c>
      <c r="D140" s="147" t="s">
        <v>11</v>
      </c>
      <c r="E140" s="147" t="s">
        <v>121</v>
      </c>
      <c r="F140" s="187">
        <f>$F$139</f>
        <v>17.149999999999999</v>
      </c>
      <c r="G140" s="307">
        <v>10</v>
      </c>
      <c r="H140" s="307">
        <v>150</v>
      </c>
      <c r="I140" s="307">
        <v>3.6669999999999998</v>
      </c>
      <c r="J140" s="13">
        <f t="shared" si="30"/>
        <v>1.2577809999999998</v>
      </c>
      <c r="N140" s="307"/>
      <c r="W140" s="106" t="s">
        <v>213</v>
      </c>
      <c r="X140" s="110">
        <f>H250</f>
        <v>0</v>
      </c>
      <c r="Y140" s="110">
        <f>H251</f>
        <v>0</v>
      </c>
      <c r="Z140" s="114" t="e">
        <f t="shared" si="31"/>
        <v>#DIV/0!</v>
      </c>
    </row>
    <row r="141" spans="1:26" ht="15" hidden="1" thickBot="1" x14ac:dyDescent="0.25">
      <c r="A141" s="147"/>
      <c r="B141" s="147" t="s">
        <v>119</v>
      </c>
      <c r="C141" s="147">
        <v>20</v>
      </c>
      <c r="D141" s="147" t="s">
        <v>11</v>
      </c>
      <c r="E141" s="147"/>
      <c r="F141" s="187">
        <f>$F$139</f>
        <v>17.149999999999999</v>
      </c>
      <c r="G141" s="307">
        <v>10</v>
      </c>
      <c r="H141" s="307">
        <v>150</v>
      </c>
      <c r="I141" s="307">
        <v>3.6669999999999998</v>
      </c>
      <c r="J141" s="13">
        <f t="shared" si="30"/>
        <v>0.83852066666666658</v>
      </c>
      <c r="N141" s="307"/>
      <c r="S141" s="309"/>
      <c r="W141" s="107" t="s">
        <v>210</v>
      </c>
      <c r="X141" s="111">
        <f>I250</f>
        <v>0</v>
      </c>
      <c r="Y141" s="111">
        <f>I251</f>
        <v>0</v>
      </c>
      <c r="Z141" s="115" t="e">
        <f t="shared" si="31"/>
        <v>#DIV/0!</v>
      </c>
    </row>
    <row r="142" spans="1:26" ht="16.5" hidden="1" x14ac:dyDescent="0.2">
      <c r="A142" s="147"/>
      <c r="B142" s="147" t="s">
        <v>158</v>
      </c>
      <c r="C142" s="147">
        <v>22</v>
      </c>
      <c r="D142" s="147" t="s">
        <v>11</v>
      </c>
      <c r="E142" s="147"/>
      <c r="F142" s="187">
        <f t="shared" ref="F142:F145" si="32">$F$139</f>
        <v>17.149999999999999</v>
      </c>
      <c r="G142" s="307">
        <v>10</v>
      </c>
      <c r="H142" s="307">
        <v>150</v>
      </c>
      <c r="I142" s="307">
        <v>3.6669999999999998</v>
      </c>
      <c r="J142" s="13">
        <f t="shared" si="30"/>
        <v>0.92237273333333325</v>
      </c>
      <c r="N142" s="307"/>
      <c r="S142" s="309"/>
      <c r="W142" s="100" t="s">
        <v>187</v>
      </c>
      <c r="X142" s="101" t="s">
        <v>228</v>
      </c>
      <c r="Y142" s="101" t="s">
        <v>229</v>
      </c>
      <c r="Z142" s="102"/>
    </row>
    <row r="143" spans="1:26" ht="15" hidden="1" x14ac:dyDescent="0.2">
      <c r="A143" s="147"/>
      <c r="B143" s="147" t="s">
        <v>195</v>
      </c>
      <c r="C143" s="147">
        <v>18</v>
      </c>
      <c r="D143" s="147" t="s">
        <v>11</v>
      </c>
      <c r="E143" s="147"/>
      <c r="F143" s="187">
        <f t="shared" si="32"/>
        <v>17.149999999999999</v>
      </c>
      <c r="G143" s="307">
        <v>10</v>
      </c>
      <c r="H143" s="307">
        <v>150</v>
      </c>
      <c r="I143" s="307">
        <v>3.6669999999999998</v>
      </c>
      <c r="J143" s="13">
        <f>C143*(F143/H143)/G143*I143</f>
        <v>0.75466859999999991</v>
      </c>
      <c r="N143" s="307"/>
      <c r="S143" s="309"/>
      <c r="W143" s="100"/>
      <c r="X143" s="101"/>
      <c r="Y143" s="101"/>
      <c r="Z143" s="102"/>
    </row>
    <row r="144" spans="1:26" ht="16.5" hidden="1" x14ac:dyDescent="0.3">
      <c r="A144" s="147"/>
      <c r="B144" s="147" t="s">
        <v>209</v>
      </c>
      <c r="C144" s="147">
        <v>50</v>
      </c>
      <c r="D144" s="147" t="s">
        <v>11</v>
      </c>
      <c r="E144" s="147"/>
      <c r="F144" s="187">
        <f t="shared" si="32"/>
        <v>17.149999999999999</v>
      </c>
      <c r="G144" s="307">
        <v>10</v>
      </c>
      <c r="H144" s="307">
        <v>150</v>
      </c>
      <c r="I144" s="307">
        <v>3.6669999999999998</v>
      </c>
      <c r="J144" s="13">
        <f>C144*(F144/H144)/G144*I144</f>
        <v>2.0963016666666667</v>
      </c>
      <c r="N144" s="307"/>
      <c r="S144" s="309"/>
      <c r="W144" s="117" t="s">
        <v>221</v>
      </c>
      <c r="X144" s="348" t="s">
        <v>226</v>
      </c>
      <c r="Y144" s="348"/>
      <c r="Z144" s="118">
        <v>0.46</v>
      </c>
    </row>
    <row r="145" spans="1:27" hidden="1" x14ac:dyDescent="0.2">
      <c r="A145" s="147"/>
      <c r="B145" s="147" t="s">
        <v>81</v>
      </c>
      <c r="C145" s="147">
        <v>43</v>
      </c>
      <c r="D145" s="147" t="s">
        <v>11</v>
      </c>
      <c r="E145" s="147"/>
      <c r="F145" s="187">
        <f t="shared" si="32"/>
        <v>17.149999999999999</v>
      </c>
      <c r="G145" s="307">
        <v>10</v>
      </c>
      <c r="H145" s="307">
        <v>150</v>
      </c>
      <c r="I145" s="307">
        <v>3.6669999999999998</v>
      </c>
      <c r="J145" s="13">
        <f>C145*(F145/H145)/G145*I145</f>
        <v>1.8028194333333332</v>
      </c>
      <c r="N145" s="307"/>
      <c r="S145" s="309"/>
      <c r="W145" s="13"/>
    </row>
    <row r="146" spans="1:27" ht="15" hidden="1" thickBot="1" x14ac:dyDescent="0.25">
      <c r="A146" s="39"/>
      <c r="B146" s="39"/>
      <c r="C146" s="39"/>
      <c r="D146" s="39"/>
      <c r="E146" s="307"/>
      <c r="F146" s="309"/>
      <c r="J146" s="36">
        <f>SUM(J139:J145)</f>
        <v>13.542108766666667</v>
      </c>
      <c r="N146" s="307"/>
      <c r="S146" s="309"/>
      <c r="W146" s="13"/>
      <c r="X146" s="309">
        <f>SUM(X135:X141)</f>
        <v>0</v>
      </c>
      <c r="Y146" s="309">
        <f>SUM(Y135:Y141)</f>
        <v>0</v>
      </c>
      <c r="Z146" s="309">
        <f>X146-Y146</f>
        <v>0</v>
      </c>
      <c r="AA146" s="307" t="e">
        <f>1-(Y146/X146)</f>
        <v>#DIV/0!</v>
      </c>
    </row>
    <row r="147" spans="1:27" hidden="1" x14ac:dyDescent="0.2">
      <c r="A147" s="39"/>
      <c r="B147" s="39"/>
      <c r="C147" s="39"/>
      <c r="D147" s="39"/>
      <c r="E147" s="39"/>
      <c r="F147" s="309"/>
      <c r="J147" s="13"/>
      <c r="N147" s="307"/>
    </row>
    <row r="148" spans="1:27" hidden="1" x14ac:dyDescent="0.2">
      <c r="A148" s="39" t="s">
        <v>93</v>
      </c>
      <c r="B148" s="39" t="s">
        <v>88</v>
      </c>
      <c r="C148" s="39">
        <v>0</v>
      </c>
      <c r="D148" s="39" t="s">
        <v>11</v>
      </c>
      <c r="E148" s="39"/>
      <c r="F148" s="50">
        <f>ROUNDUP($C$183/40,0)</f>
        <v>0</v>
      </c>
      <c r="G148" s="39">
        <v>10</v>
      </c>
      <c r="H148" s="39">
        <v>150</v>
      </c>
      <c r="I148" s="39">
        <v>3.6669999999999998</v>
      </c>
      <c r="J148" s="49">
        <f>C148*(F148/H148)/G148*I148</f>
        <v>0</v>
      </c>
      <c r="N148" s="307"/>
    </row>
    <row r="149" spans="1:27" hidden="1" x14ac:dyDescent="0.2">
      <c r="A149" s="39"/>
      <c r="B149" s="39" t="s">
        <v>89</v>
      </c>
      <c r="C149" s="39">
        <v>0</v>
      </c>
      <c r="D149" s="39" t="s">
        <v>11</v>
      </c>
      <c r="E149" s="39"/>
      <c r="F149" s="50">
        <f>ROUND($C$183/40,0)</f>
        <v>0</v>
      </c>
      <c r="G149" s="39">
        <v>10</v>
      </c>
      <c r="H149" s="39">
        <v>150</v>
      </c>
      <c r="I149" s="39">
        <v>3.6669999999999998</v>
      </c>
      <c r="J149" s="49">
        <f>C149*(F149/H149)/G149*I149</f>
        <v>0</v>
      </c>
      <c r="N149" s="307"/>
    </row>
    <row r="150" spans="1:27" hidden="1" x14ac:dyDescent="0.2">
      <c r="A150" s="39"/>
      <c r="B150" s="39" t="s">
        <v>108</v>
      </c>
      <c r="C150" s="39">
        <v>0</v>
      </c>
      <c r="D150" s="39" t="s">
        <v>11</v>
      </c>
      <c r="E150" s="39" t="s">
        <v>121</v>
      </c>
      <c r="F150" s="50">
        <f>ROUND($C$183/40,0)</f>
        <v>0</v>
      </c>
      <c r="G150" s="39">
        <v>10</v>
      </c>
      <c r="H150" s="39">
        <v>150</v>
      </c>
      <c r="I150" s="39">
        <v>3.6669999999999998</v>
      </c>
      <c r="J150" s="49">
        <f t="shared" ref="J150:J151" si="33">C150*(F150/H150)/G150*I150</f>
        <v>0</v>
      </c>
      <c r="N150" s="307"/>
    </row>
    <row r="151" spans="1:27" hidden="1" x14ac:dyDescent="0.2">
      <c r="A151" s="39"/>
      <c r="B151" s="39" t="s">
        <v>119</v>
      </c>
      <c r="C151" s="39">
        <v>0</v>
      </c>
      <c r="D151" s="39" t="s">
        <v>11</v>
      </c>
      <c r="E151" s="39"/>
      <c r="F151" s="50">
        <f>ROUND($C$183/40,0)</f>
        <v>0</v>
      </c>
      <c r="G151" s="39">
        <v>10</v>
      </c>
      <c r="H151" s="39">
        <v>150</v>
      </c>
      <c r="I151" s="39">
        <v>3.6669999999999998</v>
      </c>
      <c r="J151" s="49">
        <f t="shared" si="33"/>
        <v>0</v>
      </c>
      <c r="N151" s="307"/>
    </row>
    <row r="152" spans="1:27" ht="15" hidden="1" thickBot="1" x14ac:dyDescent="0.25">
      <c r="A152" s="39"/>
      <c r="B152" s="39"/>
      <c r="C152" s="39"/>
      <c r="D152" s="39"/>
      <c r="E152" s="39"/>
      <c r="F152" s="50"/>
      <c r="G152" s="39"/>
      <c r="H152" s="39"/>
      <c r="I152" s="39"/>
      <c r="J152" s="160">
        <f>J148+J149+J150+J151</f>
        <v>0</v>
      </c>
      <c r="N152" s="307"/>
    </row>
    <row r="153" spans="1:27" hidden="1" x14ac:dyDescent="0.2">
      <c r="A153" s="39"/>
      <c r="B153" s="39"/>
      <c r="C153" s="39"/>
      <c r="D153" s="39"/>
      <c r="E153" s="40"/>
      <c r="F153" s="39"/>
      <c r="G153" s="39"/>
      <c r="H153" s="39"/>
      <c r="I153" s="39"/>
      <c r="J153" s="39"/>
      <c r="N153" s="307"/>
    </row>
    <row r="154" spans="1:27" hidden="1" x14ac:dyDescent="0.2">
      <c r="A154" s="39" t="s">
        <v>94</v>
      </c>
      <c r="B154" s="39" t="s">
        <v>120</v>
      </c>
      <c r="C154" s="39">
        <v>0</v>
      </c>
      <c r="D154" s="39" t="s">
        <v>11</v>
      </c>
      <c r="E154" s="39"/>
      <c r="F154" s="39">
        <f>ROUNDUP($C$188/40,0)</f>
        <v>0</v>
      </c>
      <c r="G154" s="39">
        <v>10</v>
      </c>
      <c r="H154" s="39">
        <v>150</v>
      </c>
      <c r="I154" s="39">
        <v>3.6669999999999998</v>
      </c>
      <c r="J154" s="49">
        <f>C154*(F154/H154)/G154*I154</f>
        <v>0</v>
      </c>
      <c r="N154" s="307"/>
    </row>
    <row r="155" spans="1:27" hidden="1" x14ac:dyDescent="0.2">
      <c r="A155" s="39"/>
      <c r="B155" s="39" t="s">
        <v>108</v>
      </c>
      <c r="C155" s="39">
        <v>0</v>
      </c>
      <c r="D155" s="39" t="s">
        <v>11</v>
      </c>
      <c r="E155" s="39" t="s">
        <v>121</v>
      </c>
      <c r="F155" s="39">
        <f>ROUNDUP($C$188/40,0)</f>
        <v>0</v>
      </c>
      <c r="G155" s="39">
        <v>10</v>
      </c>
      <c r="H155" s="39">
        <v>150</v>
      </c>
      <c r="I155" s="39">
        <v>3.6669999999999998</v>
      </c>
      <c r="J155" s="49">
        <f t="shared" ref="J155:J156" si="34">C155*(F155/H155)/G155*I155</f>
        <v>0</v>
      </c>
      <c r="N155" s="307"/>
    </row>
    <row r="156" spans="1:27" hidden="1" x14ac:dyDescent="0.2">
      <c r="A156" s="39"/>
      <c r="B156" s="39" t="s">
        <v>119</v>
      </c>
      <c r="C156" s="39">
        <v>0</v>
      </c>
      <c r="D156" s="39" t="s">
        <v>11</v>
      </c>
      <c r="E156" s="39"/>
      <c r="F156" s="39">
        <f>ROUNDUP($C$188/40,0)</f>
        <v>0</v>
      </c>
      <c r="G156" s="39">
        <v>10</v>
      </c>
      <c r="H156" s="39">
        <v>150</v>
      </c>
      <c r="I156" s="39">
        <v>3.6669999999999998</v>
      </c>
      <c r="J156" s="49">
        <f t="shared" si="34"/>
        <v>0</v>
      </c>
      <c r="N156" s="307"/>
    </row>
    <row r="157" spans="1:27" ht="15" hidden="1" thickBot="1" x14ac:dyDescent="0.25">
      <c r="A157" s="39"/>
      <c r="B157" s="39"/>
      <c r="C157" s="39">
        <v>0</v>
      </c>
      <c r="D157" s="39"/>
      <c r="E157" s="39"/>
      <c r="F157" s="39"/>
      <c r="G157" s="39"/>
      <c r="H157" s="39"/>
      <c r="I157" s="39"/>
      <c r="J157" s="160">
        <f>J154+J155+J156</f>
        <v>0</v>
      </c>
      <c r="N157" s="307"/>
    </row>
    <row r="158" spans="1:27" x14ac:dyDescent="0.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N158" s="307"/>
    </row>
    <row r="159" spans="1:27" x14ac:dyDescent="0.2">
      <c r="A159" s="39"/>
      <c r="B159" s="39"/>
      <c r="C159" s="39"/>
      <c r="D159" s="39"/>
      <c r="E159" s="40"/>
      <c r="J159" s="307"/>
      <c r="N159" s="307"/>
    </row>
    <row r="160" spans="1:27" ht="18.75" thickBot="1" x14ac:dyDescent="0.25">
      <c r="A160" s="39"/>
      <c r="B160" s="41"/>
      <c r="C160" s="41"/>
      <c r="D160" s="41"/>
      <c r="E160" s="41"/>
      <c r="F160" s="349" t="s">
        <v>162</v>
      </c>
      <c r="G160" s="349"/>
      <c r="H160" s="349"/>
      <c r="I160" s="349"/>
      <c r="J160" s="350"/>
      <c r="N160" s="307"/>
    </row>
    <row r="161" spans="1:16" ht="42.75" x14ac:dyDescent="0.2">
      <c r="A161" s="166" t="s">
        <v>33</v>
      </c>
      <c r="B161" s="167"/>
      <c r="C161" s="346"/>
      <c r="D161" s="347"/>
      <c r="E161" s="167" t="s">
        <v>196</v>
      </c>
      <c r="F161" s="167" t="s">
        <v>95</v>
      </c>
      <c r="G161" s="24" t="s">
        <v>97</v>
      </c>
      <c r="H161" s="24" t="s">
        <v>99</v>
      </c>
      <c r="I161" s="2" t="s">
        <v>101</v>
      </c>
      <c r="J161" s="28" t="s">
        <v>100</v>
      </c>
      <c r="K161" s="316" t="s">
        <v>2</v>
      </c>
      <c r="L161" s="2" t="s">
        <v>3</v>
      </c>
      <c r="N161" s="307"/>
    </row>
    <row r="162" spans="1:16" ht="16.5" thickBot="1" x14ac:dyDescent="0.25">
      <c r="A162" s="168"/>
      <c r="B162" s="169"/>
      <c r="C162" s="170"/>
      <c r="D162" s="171"/>
      <c r="E162" s="172"/>
      <c r="F162" s="169"/>
      <c r="G162" s="6"/>
      <c r="H162" s="6"/>
      <c r="I162" s="6"/>
      <c r="J162" s="19"/>
      <c r="K162" s="18" t="s">
        <v>109</v>
      </c>
      <c r="L162" s="6" t="s">
        <v>7</v>
      </c>
      <c r="N162" s="307"/>
    </row>
    <row r="163" spans="1:16" x14ac:dyDescent="0.2">
      <c r="A163" s="147" t="s">
        <v>364</v>
      </c>
      <c r="B163" s="147" t="s">
        <v>86</v>
      </c>
      <c r="C163" s="147"/>
      <c r="D163" s="147" t="s">
        <v>87</v>
      </c>
      <c r="E163" s="147"/>
      <c r="F163" s="147"/>
      <c r="G163" s="309">
        <f>F124</f>
        <v>54.87</v>
      </c>
      <c r="J163" s="307"/>
      <c r="N163" s="307"/>
    </row>
    <row r="164" spans="1:16" x14ac:dyDescent="0.2">
      <c r="A164" s="147"/>
      <c r="B164" s="147" t="s">
        <v>387</v>
      </c>
      <c r="C164" s="156">
        <f>F164*G163</f>
        <v>27435</v>
      </c>
      <c r="D164" s="147" t="s">
        <v>70</v>
      </c>
      <c r="E164" s="147" t="s">
        <v>274</v>
      </c>
      <c r="F164" s="156">
        <f>Schlitzwand!B21</f>
        <v>500</v>
      </c>
      <c r="J164" s="307"/>
      <c r="K164" s="307">
        <v>3.2</v>
      </c>
      <c r="L164" s="13">
        <f>C164*K164/1000</f>
        <v>87.792000000000002</v>
      </c>
      <c r="M164" s="147"/>
      <c r="N164" s="307"/>
    </row>
    <row r="165" spans="1:16" x14ac:dyDescent="0.2">
      <c r="A165" s="147"/>
      <c r="B165" s="147" t="s">
        <v>271</v>
      </c>
      <c r="C165" s="156"/>
      <c r="D165" s="147"/>
      <c r="E165" s="147" t="s">
        <v>273</v>
      </c>
      <c r="F165" s="147"/>
      <c r="J165" s="307"/>
      <c r="K165" s="307">
        <v>3.2</v>
      </c>
      <c r="L165" s="13">
        <f>C165*K165/1000</f>
        <v>0</v>
      </c>
      <c r="M165" s="147"/>
      <c r="N165" s="156"/>
      <c r="O165" s="147"/>
      <c r="P165" s="147"/>
    </row>
    <row r="166" spans="1:16" x14ac:dyDescent="0.2">
      <c r="A166" s="147"/>
      <c r="B166" s="147" t="s">
        <v>386</v>
      </c>
      <c r="C166" s="156"/>
      <c r="D166" s="147"/>
      <c r="E166" s="147" t="s">
        <v>275</v>
      </c>
      <c r="F166" s="147"/>
      <c r="J166" s="307"/>
      <c r="K166" s="307">
        <v>3.2</v>
      </c>
      <c r="L166" s="13">
        <f t="shared" ref="L166" si="35">C166*K166/1000</f>
        <v>0</v>
      </c>
      <c r="M166" s="147"/>
      <c r="N166" s="156"/>
      <c r="O166" s="147"/>
      <c r="P166" s="147"/>
    </row>
    <row r="167" spans="1:16" ht="15" thickBot="1" x14ac:dyDescent="0.25">
      <c r="A167" s="147"/>
      <c r="B167" s="147" t="s">
        <v>160</v>
      </c>
      <c r="C167" s="147">
        <f>G163*10*F167</f>
        <v>54869.999999999993</v>
      </c>
      <c r="D167" s="147" t="s">
        <v>143</v>
      </c>
      <c r="E167" s="147"/>
      <c r="F167" s="156">
        <f>Schlitzwand!B23</f>
        <v>100</v>
      </c>
      <c r="G167" s="307" t="s">
        <v>161</v>
      </c>
      <c r="J167" s="307"/>
      <c r="K167" s="307">
        <v>0.501</v>
      </c>
      <c r="L167" s="13">
        <f>C167*K167/1000</f>
        <v>27.489869999999996</v>
      </c>
      <c r="M167" s="147"/>
      <c r="N167" s="156"/>
      <c r="O167" s="147"/>
      <c r="P167" s="147"/>
    </row>
    <row r="168" spans="1:16" ht="15" thickBot="1" x14ac:dyDescent="0.25">
      <c r="A168" s="39"/>
      <c r="C168" s="39"/>
      <c r="D168" s="39"/>
      <c r="E168" s="39"/>
      <c r="J168" s="307"/>
      <c r="L168" s="36">
        <f>SUM(L164:L167)</f>
        <v>115.28187</v>
      </c>
      <c r="N168" s="307"/>
    </row>
    <row r="169" spans="1:16" hidden="1" x14ac:dyDescent="0.2">
      <c r="A169" s="39"/>
      <c r="B169" s="39"/>
      <c r="C169" s="39"/>
      <c r="D169" s="39"/>
      <c r="E169" s="39"/>
      <c r="J169" s="307"/>
      <c r="L169" s="13"/>
      <c r="N169" s="307"/>
    </row>
    <row r="170" spans="1:16" hidden="1" x14ac:dyDescent="0.2">
      <c r="A170" s="39" t="s">
        <v>91</v>
      </c>
      <c r="B170" s="39" t="s">
        <v>86</v>
      </c>
      <c r="C170" s="39">
        <v>0</v>
      </c>
      <c r="D170" s="39" t="s">
        <v>87</v>
      </c>
      <c r="E170" s="39"/>
      <c r="G170" s="309">
        <f>ROUNDUP(C18/(10*90),0)</f>
        <v>0</v>
      </c>
      <c r="J170" s="307"/>
      <c r="N170" s="307"/>
    </row>
    <row r="171" spans="1:16" hidden="1" x14ac:dyDescent="0.2">
      <c r="A171" s="39"/>
      <c r="B171" s="39" t="s">
        <v>85</v>
      </c>
      <c r="C171" s="50">
        <v>0</v>
      </c>
      <c r="D171" s="39" t="s">
        <v>70</v>
      </c>
      <c r="E171" s="39"/>
      <c r="J171" s="307"/>
      <c r="K171" s="307">
        <v>3.25</v>
      </c>
      <c r="L171" s="13">
        <f>C171*K171/1000</f>
        <v>0</v>
      </c>
      <c r="N171" s="307"/>
    </row>
    <row r="172" spans="1:16" hidden="1" x14ac:dyDescent="0.2">
      <c r="A172" s="39"/>
      <c r="B172" s="39"/>
      <c r="C172" s="50">
        <v>0</v>
      </c>
      <c r="D172" s="39"/>
      <c r="E172" s="39" t="s">
        <v>123</v>
      </c>
      <c r="H172" s="307">
        <v>150</v>
      </c>
      <c r="J172" s="307">
        <f>0.18*150*(G170*10)</f>
        <v>0</v>
      </c>
      <c r="K172" s="307">
        <v>0.501</v>
      </c>
      <c r="L172" s="13">
        <f>C172*K172/1000</f>
        <v>0</v>
      </c>
      <c r="N172" s="307"/>
    </row>
    <row r="173" spans="1:16" ht="15" hidden="1" thickBot="1" x14ac:dyDescent="0.25">
      <c r="A173" s="39"/>
      <c r="B173" s="39"/>
      <c r="C173" s="50"/>
      <c r="D173" s="39"/>
      <c r="E173" s="39"/>
      <c r="J173" s="307"/>
      <c r="L173" s="36">
        <f>L171+L172</f>
        <v>0</v>
      </c>
      <c r="N173" s="307"/>
    </row>
    <row r="174" spans="1:16" hidden="1" x14ac:dyDescent="0.2">
      <c r="A174" s="39"/>
      <c r="B174" s="39"/>
      <c r="C174" s="39"/>
      <c r="D174" s="39"/>
      <c r="E174" s="39"/>
      <c r="J174" s="307"/>
      <c r="N174" s="307"/>
    </row>
    <row r="175" spans="1:16" hidden="1" x14ac:dyDescent="0.2">
      <c r="A175" s="147" t="s">
        <v>92</v>
      </c>
      <c r="B175" s="147" t="s">
        <v>86</v>
      </c>
      <c r="C175" s="147"/>
      <c r="D175" s="147" t="s">
        <v>87</v>
      </c>
      <c r="E175" s="147"/>
      <c r="F175" s="147"/>
      <c r="G175" s="156">
        <f>F139</f>
        <v>17.149999999999999</v>
      </c>
      <c r="J175" s="307"/>
      <c r="N175" s="307"/>
    </row>
    <row r="176" spans="1:16" hidden="1" x14ac:dyDescent="0.2">
      <c r="A176" s="147"/>
      <c r="B176" s="147" t="s">
        <v>270</v>
      </c>
      <c r="C176" s="147">
        <f>'MIP550-Verbauwand'!B3*3.3</f>
        <v>11319</v>
      </c>
      <c r="D176" s="147" t="s">
        <v>70</v>
      </c>
      <c r="E176" s="147" t="s">
        <v>268</v>
      </c>
      <c r="F176" s="156">
        <f>C176+C177+C178</f>
        <v>14491.75</v>
      </c>
      <c r="G176" s="147"/>
      <c r="J176" s="307"/>
      <c r="K176" s="307">
        <v>3.2</v>
      </c>
      <c r="L176" s="13">
        <f>F176*K176/1000</f>
        <v>46.373600000000003</v>
      </c>
      <c r="N176" s="307"/>
    </row>
    <row r="177" spans="1:18" hidden="1" x14ac:dyDescent="0.2">
      <c r="A177" s="147"/>
      <c r="B177" s="147" t="s">
        <v>271</v>
      </c>
      <c r="C177" s="156">
        <f>'MIP550-Verbauwand'!B3*0.25</f>
        <v>857.5</v>
      </c>
      <c r="D177" s="147"/>
      <c r="E177" s="147" t="s">
        <v>269</v>
      </c>
      <c r="F177" s="147"/>
      <c r="G177" s="147"/>
      <c r="J177" s="307"/>
      <c r="K177" s="307">
        <v>3.2</v>
      </c>
      <c r="L177" s="13"/>
      <c r="N177" s="307"/>
    </row>
    <row r="178" spans="1:18" hidden="1" x14ac:dyDescent="0.2">
      <c r="A178" s="147"/>
      <c r="B178" s="147" t="s">
        <v>272</v>
      </c>
      <c r="C178" s="156">
        <f>G175*135</f>
        <v>2315.25</v>
      </c>
      <c r="D178" s="147"/>
      <c r="E178" s="147" t="s">
        <v>275</v>
      </c>
      <c r="F178" s="147"/>
      <c r="G178" s="147"/>
      <c r="J178" s="307"/>
      <c r="K178" s="307">
        <v>3.2</v>
      </c>
      <c r="L178" s="13"/>
      <c r="N178" s="307"/>
    </row>
    <row r="179" spans="1:18" hidden="1" x14ac:dyDescent="0.2">
      <c r="A179" s="147"/>
      <c r="B179" s="147" t="s">
        <v>160</v>
      </c>
      <c r="C179" s="156">
        <f>G175*10*F179</f>
        <v>13720</v>
      </c>
      <c r="D179" s="147" t="s">
        <v>143</v>
      </c>
      <c r="E179" s="147"/>
      <c r="F179" s="147">
        <v>80</v>
      </c>
      <c r="G179" s="147" t="s">
        <v>161</v>
      </c>
      <c r="J179" s="307"/>
      <c r="K179" s="307">
        <v>0.501</v>
      </c>
      <c r="L179" s="13">
        <f>C179*K179/1000</f>
        <v>6.8737200000000005</v>
      </c>
      <c r="N179" s="307"/>
    </row>
    <row r="180" spans="1:18" ht="15" hidden="1" thickBot="1" x14ac:dyDescent="0.25">
      <c r="A180" s="39"/>
      <c r="B180" s="39"/>
      <c r="D180" s="39"/>
      <c r="E180" s="39"/>
      <c r="J180" s="307"/>
      <c r="L180" s="36">
        <f>SUM(L176:L179)</f>
        <v>53.247320000000002</v>
      </c>
      <c r="N180" s="307"/>
      <c r="R180" s="307" t="s">
        <v>186</v>
      </c>
    </row>
    <row r="181" spans="1:18" hidden="1" x14ac:dyDescent="0.2">
      <c r="A181" s="39"/>
      <c r="B181" s="39"/>
      <c r="C181" s="39"/>
      <c r="D181" s="39"/>
      <c r="E181" s="39"/>
      <c r="J181" s="307"/>
      <c r="L181" s="13"/>
      <c r="N181" s="307"/>
    </row>
    <row r="182" spans="1:18" hidden="1" x14ac:dyDescent="0.2">
      <c r="A182" s="39"/>
      <c r="B182" s="39"/>
      <c r="C182" s="39"/>
      <c r="D182" s="39"/>
      <c r="E182" s="39"/>
      <c r="J182" s="307"/>
      <c r="L182" s="13"/>
      <c r="N182" s="307"/>
    </row>
    <row r="183" spans="1:18" hidden="1" x14ac:dyDescent="0.2">
      <c r="A183" s="39" t="s">
        <v>93</v>
      </c>
      <c r="B183" s="39" t="s">
        <v>86</v>
      </c>
      <c r="C183" s="50">
        <v>0</v>
      </c>
      <c r="D183" s="39" t="s">
        <v>87</v>
      </c>
      <c r="E183" s="39" t="s">
        <v>96</v>
      </c>
      <c r="F183" s="30">
        <f>2/3</f>
        <v>0.66666666666666663</v>
      </c>
      <c r="G183" s="309">
        <f>ROUNDUP($C$183/40,0)</f>
        <v>0</v>
      </c>
      <c r="J183" s="307"/>
      <c r="N183" s="307"/>
    </row>
    <row r="184" spans="1:18" hidden="1" x14ac:dyDescent="0.2">
      <c r="A184" s="39"/>
      <c r="B184" s="39" t="s">
        <v>85</v>
      </c>
      <c r="C184" s="50">
        <v>0</v>
      </c>
      <c r="D184" s="39" t="s">
        <v>70</v>
      </c>
      <c r="E184" s="39"/>
      <c r="J184" s="307"/>
      <c r="K184" s="307">
        <v>3.25</v>
      </c>
      <c r="L184" s="13">
        <f>C184*K184/1000</f>
        <v>0</v>
      </c>
      <c r="N184" s="307"/>
    </row>
    <row r="185" spans="1:18" hidden="1" x14ac:dyDescent="0.2">
      <c r="A185" s="39"/>
      <c r="B185" s="39"/>
      <c r="C185" s="39">
        <v>0</v>
      </c>
      <c r="D185" s="39" t="s">
        <v>143</v>
      </c>
      <c r="E185" s="39" t="s">
        <v>98</v>
      </c>
      <c r="F185" s="307">
        <v>47</v>
      </c>
      <c r="G185" s="307" t="s">
        <v>185</v>
      </c>
      <c r="H185" s="307">
        <v>500</v>
      </c>
      <c r="I185" s="31">
        <v>0.2</v>
      </c>
      <c r="J185" s="309">
        <f>0.18*H185*I185*10*$G$183</f>
        <v>0</v>
      </c>
      <c r="K185" s="307">
        <v>0.501</v>
      </c>
      <c r="L185" s="13">
        <f>C185*K185/1000</f>
        <v>0</v>
      </c>
      <c r="N185" s="307"/>
    </row>
    <row r="186" spans="1:18" ht="15" hidden="1" thickBot="1" x14ac:dyDescent="0.25">
      <c r="A186" s="39"/>
      <c r="B186" s="39"/>
      <c r="C186" s="39"/>
      <c r="D186" s="39"/>
      <c r="E186" s="40" t="s">
        <v>89</v>
      </c>
      <c r="H186" s="307">
        <v>100</v>
      </c>
      <c r="I186" s="31">
        <v>0.7</v>
      </c>
      <c r="J186" s="309">
        <f>0.18*H186*I186*10*$G$183</f>
        <v>0</v>
      </c>
      <c r="L186" s="36">
        <f>L184+L185</f>
        <v>0</v>
      </c>
      <c r="N186" s="307"/>
    </row>
    <row r="187" spans="1:18" hidden="1" x14ac:dyDescent="0.2">
      <c r="A187" s="39"/>
      <c r="B187" s="39"/>
      <c r="C187" s="39"/>
      <c r="D187" s="39"/>
      <c r="E187" s="40"/>
      <c r="J187" s="307"/>
      <c r="N187" s="307"/>
    </row>
    <row r="188" spans="1:18" hidden="1" x14ac:dyDescent="0.2">
      <c r="A188" s="39" t="s">
        <v>94</v>
      </c>
      <c r="B188" s="39" t="s">
        <v>86</v>
      </c>
      <c r="C188" s="39">
        <v>0</v>
      </c>
      <c r="D188" s="39" t="s">
        <v>87</v>
      </c>
      <c r="E188" s="39"/>
      <c r="G188" s="309">
        <f>ROUNDUP($C$188/40,0)</f>
        <v>0</v>
      </c>
      <c r="J188" s="307"/>
      <c r="N188" s="307"/>
    </row>
    <row r="189" spans="1:18" hidden="1" x14ac:dyDescent="0.2">
      <c r="A189" s="39"/>
      <c r="B189" s="39" t="s">
        <v>85</v>
      </c>
      <c r="C189" s="39">
        <v>0</v>
      </c>
      <c r="D189" s="39" t="s">
        <v>70</v>
      </c>
      <c r="E189" s="39"/>
      <c r="J189" s="307"/>
      <c r="K189" s="307">
        <v>3.25</v>
      </c>
      <c r="L189" s="13">
        <f>C189*K189/1000</f>
        <v>0</v>
      </c>
      <c r="N189" s="307"/>
    </row>
    <row r="190" spans="1:18" hidden="1" x14ac:dyDescent="0.2">
      <c r="A190" s="39"/>
      <c r="B190" s="39"/>
      <c r="C190" s="39">
        <v>0</v>
      </c>
      <c r="D190" s="39" t="s">
        <v>143</v>
      </c>
      <c r="E190" s="39"/>
      <c r="J190" s="307"/>
      <c r="K190" s="307">
        <v>0.501</v>
      </c>
      <c r="L190" s="13">
        <f>C190*K190/1000</f>
        <v>0</v>
      </c>
      <c r="N190" s="307"/>
    </row>
    <row r="191" spans="1:18" ht="15" hidden="1" thickBot="1" x14ac:dyDescent="0.25">
      <c r="A191" s="39"/>
      <c r="B191" s="39"/>
      <c r="C191" s="39"/>
      <c r="D191" s="39"/>
      <c r="E191" s="39"/>
      <c r="J191" s="307"/>
      <c r="L191" s="36">
        <f>L189+L190</f>
        <v>0</v>
      </c>
      <c r="N191" s="307"/>
    </row>
    <row r="192" spans="1:18" x14ac:dyDescent="0.2">
      <c r="A192" s="39"/>
      <c r="B192" s="39"/>
      <c r="C192" s="39"/>
      <c r="D192" s="39"/>
      <c r="E192" s="39"/>
      <c r="J192" s="307"/>
      <c r="L192" s="13"/>
      <c r="N192" s="307"/>
    </row>
    <row r="193" spans="1:14" ht="18.75" thickBot="1" x14ac:dyDescent="0.25">
      <c r="A193" s="39"/>
      <c r="B193" s="41"/>
      <c r="C193" s="41"/>
      <c r="D193" s="41"/>
      <c r="E193" s="41"/>
      <c r="F193" s="349" t="s">
        <v>163</v>
      </c>
      <c r="G193" s="349"/>
      <c r="H193" s="349"/>
      <c r="I193" s="349"/>
      <c r="J193" s="350"/>
      <c r="N193" s="307"/>
    </row>
    <row r="194" spans="1:14" ht="33" x14ac:dyDescent="0.2">
      <c r="A194" s="166" t="s">
        <v>33</v>
      </c>
      <c r="B194" s="167"/>
      <c r="C194" s="346" t="s">
        <v>54</v>
      </c>
      <c r="D194" s="347"/>
      <c r="E194" s="167" t="s">
        <v>19</v>
      </c>
      <c r="F194" s="22" t="s">
        <v>164</v>
      </c>
      <c r="G194" s="24" t="s">
        <v>165</v>
      </c>
      <c r="H194" s="24"/>
      <c r="I194" s="2" t="s">
        <v>167</v>
      </c>
      <c r="J194" s="28" t="s">
        <v>166</v>
      </c>
      <c r="K194" s="316" t="s">
        <v>2</v>
      </c>
      <c r="L194" s="2" t="s">
        <v>3</v>
      </c>
      <c r="N194" s="307"/>
    </row>
    <row r="195" spans="1:14" ht="16.5" thickBot="1" x14ac:dyDescent="0.25">
      <c r="A195" s="168"/>
      <c r="B195" s="169"/>
      <c r="C195" s="170"/>
      <c r="D195" s="171"/>
      <c r="E195" s="172"/>
      <c r="F195" s="6" t="s">
        <v>170</v>
      </c>
      <c r="G195" s="23"/>
      <c r="H195" s="6"/>
      <c r="I195" s="6" t="s">
        <v>60</v>
      </c>
      <c r="J195" s="19" t="s">
        <v>60</v>
      </c>
      <c r="K195" s="18" t="s">
        <v>62</v>
      </c>
      <c r="L195" s="6" t="s">
        <v>7</v>
      </c>
      <c r="N195" s="307"/>
    </row>
    <row r="196" spans="1:14" x14ac:dyDescent="0.2">
      <c r="A196" s="307" t="s">
        <v>364</v>
      </c>
      <c r="B196" s="147" t="s">
        <v>381</v>
      </c>
      <c r="C196" s="147">
        <v>120</v>
      </c>
      <c r="D196" s="147" t="s">
        <v>11</v>
      </c>
      <c r="E196" s="307" t="s">
        <v>168</v>
      </c>
      <c r="F196" s="307">
        <v>2</v>
      </c>
      <c r="G196" s="307">
        <v>4</v>
      </c>
      <c r="I196" s="309">
        <f>Schlitzwand!B25</f>
        <v>250</v>
      </c>
      <c r="J196" s="307">
        <f>F196*G196*I196</f>
        <v>2000</v>
      </c>
      <c r="K196" s="307">
        <f>2/1000</f>
        <v>2E-3</v>
      </c>
      <c r="L196" s="307">
        <f>J196*K196</f>
        <v>4</v>
      </c>
      <c r="N196" s="307"/>
    </row>
    <row r="197" spans="1:14" x14ac:dyDescent="0.2">
      <c r="B197" s="307" t="s">
        <v>174</v>
      </c>
      <c r="C197" s="307">
        <v>30</v>
      </c>
      <c r="D197" s="307" t="s">
        <v>11</v>
      </c>
      <c r="E197" s="307" t="s">
        <v>65</v>
      </c>
      <c r="F197" s="307">
        <v>1</v>
      </c>
      <c r="G197" s="307">
        <v>2</v>
      </c>
      <c r="I197" s="309">
        <f>I196</f>
        <v>250</v>
      </c>
      <c r="J197" s="307">
        <f>F197*G197*I197</f>
        <v>500</v>
      </c>
      <c r="K197" s="319">
        <v>9.3999999999999997E-4</v>
      </c>
      <c r="L197" s="307">
        <f t="shared" ref="L197" si="36">J197*K197</f>
        <v>0.47</v>
      </c>
      <c r="N197" s="307"/>
    </row>
    <row r="198" spans="1:14" x14ac:dyDescent="0.2">
      <c r="B198" s="307" t="s">
        <v>382</v>
      </c>
      <c r="C198" s="307">
        <v>80</v>
      </c>
      <c r="E198" s="307" t="s">
        <v>168</v>
      </c>
      <c r="F198" s="307">
        <v>1</v>
      </c>
      <c r="G198" s="307">
        <v>2</v>
      </c>
      <c r="I198" s="309">
        <f>I196</f>
        <v>250</v>
      </c>
      <c r="J198" s="307">
        <f>F198*G198*I198</f>
        <v>500</v>
      </c>
      <c r="K198" s="307">
        <f>2/1000</f>
        <v>2E-3</v>
      </c>
      <c r="L198" s="307">
        <f t="shared" ref="L198:L203" si="37">J198*K198</f>
        <v>1</v>
      </c>
      <c r="N198" s="307"/>
    </row>
    <row r="199" spans="1:14" x14ac:dyDescent="0.2">
      <c r="B199" s="307" t="s">
        <v>119</v>
      </c>
      <c r="C199" s="307">
        <v>20</v>
      </c>
      <c r="D199" s="307" t="s">
        <v>11</v>
      </c>
      <c r="E199" s="307" t="s">
        <v>65</v>
      </c>
      <c r="F199" s="307">
        <v>4</v>
      </c>
      <c r="G199" s="307">
        <v>2</v>
      </c>
      <c r="I199" s="309">
        <f>I196</f>
        <v>250</v>
      </c>
      <c r="J199" s="307">
        <f t="shared" ref="J199" si="38">F199*G199*I199</f>
        <v>2000</v>
      </c>
      <c r="K199" s="319">
        <v>9.3999999999999997E-4</v>
      </c>
      <c r="L199" s="307">
        <f t="shared" si="37"/>
        <v>1.88</v>
      </c>
      <c r="N199" s="307"/>
    </row>
    <row r="200" spans="1:14" x14ac:dyDescent="0.2">
      <c r="B200" s="324" t="s">
        <v>383</v>
      </c>
      <c r="C200" s="307">
        <v>10</v>
      </c>
      <c r="D200" s="307" t="s">
        <v>11</v>
      </c>
      <c r="E200" s="307" t="s">
        <v>65</v>
      </c>
      <c r="F200" s="307">
        <v>1</v>
      </c>
      <c r="G200" s="307">
        <v>2</v>
      </c>
      <c r="I200" s="309">
        <f>I196</f>
        <v>250</v>
      </c>
      <c r="J200" s="307">
        <f>F200*G200*I200</f>
        <v>500</v>
      </c>
      <c r="K200" s="319">
        <v>9.3999999999999997E-4</v>
      </c>
      <c r="L200" s="307">
        <f t="shared" si="37"/>
        <v>0.47</v>
      </c>
      <c r="N200" s="307"/>
    </row>
    <row r="201" spans="1:14" x14ac:dyDescent="0.2">
      <c r="B201" s="307" t="s">
        <v>384</v>
      </c>
      <c r="C201" s="307">
        <v>10</v>
      </c>
      <c r="E201" s="307" t="s">
        <v>65</v>
      </c>
      <c r="F201" s="307">
        <v>1</v>
      </c>
      <c r="G201" s="307">
        <v>2</v>
      </c>
      <c r="I201" s="309">
        <f>I196</f>
        <v>250</v>
      </c>
      <c r="J201" s="307">
        <f>F201*G201*I201</f>
        <v>500</v>
      </c>
      <c r="K201" s="319">
        <v>9.3999999999999997E-4</v>
      </c>
      <c r="L201" s="307">
        <f t="shared" si="37"/>
        <v>0.47</v>
      </c>
      <c r="N201" s="307"/>
    </row>
    <row r="202" spans="1:14" x14ac:dyDescent="0.2">
      <c r="B202" s="307" t="s">
        <v>158</v>
      </c>
      <c r="C202" s="307">
        <v>10</v>
      </c>
      <c r="D202" s="307" t="s">
        <v>11</v>
      </c>
      <c r="E202" s="307" t="s">
        <v>65</v>
      </c>
      <c r="F202" s="307">
        <v>1</v>
      </c>
      <c r="G202" s="307">
        <v>2</v>
      </c>
      <c r="I202" s="307">
        <v>20</v>
      </c>
      <c r="J202" s="307">
        <f>F202*G202*I202</f>
        <v>40</v>
      </c>
      <c r="K202" s="319">
        <v>9.3999999999999997E-4</v>
      </c>
      <c r="L202" s="307">
        <f t="shared" si="37"/>
        <v>3.7600000000000001E-2</v>
      </c>
      <c r="N202" s="307"/>
    </row>
    <row r="203" spans="1:14" ht="15" thickBot="1" x14ac:dyDescent="0.25">
      <c r="B203" s="307" t="s">
        <v>159</v>
      </c>
      <c r="C203" s="307">
        <v>60</v>
      </c>
      <c r="D203" s="307" t="s">
        <v>11</v>
      </c>
      <c r="E203" s="307" t="s">
        <v>169</v>
      </c>
      <c r="F203" s="307">
        <v>1</v>
      </c>
      <c r="G203" s="307">
        <v>2</v>
      </c>
      <c r="I203" s="309">
        <f>I196</f>
        <v>250</v>
      </c>
      <c r="J203" s="307">
        <f>F203*G203*I203</f>
        <v>500</v>
      </c>
      <c r="K203" s="307">
        <v>9.7999999999999997E-4</v>
      </c>
      <c r="L203" s="307">
        <f t="shared" si="37"/>
        <v>0.49</v>
      </c>
      <c r="N203" s="307"/>
    </row>
    <row r="204" spans="1:14" ht="15" thickBot="1" x14ac:dyDescent="0.25">
      <c r="E204" s="307"/>
      <c r="J204" s="307"/>
      <c r="L204" s="203">
        <f>SUM(L196:L200)</f>
        <v>7.8199999999999994</v>
      </c>
      <c r="N204" s="307"/>
    </row>
    <row r="205" spans="1:14" hidden="1" x14ac:dyDescent="0.2">
      <c r="E205" s="307"/>
      <c r="J205" s="307"/>
      <c r="N205" s="307"/>
    </row>
    <row r="206" spans="1:14" hidden="1" x14ac:dyDescent="0.2">
      <c r="A206" s="39" t="s">
        <v>91</v>
      </c>
      <c r="B206" s="39" t="s">
        <v>171</v>
      </c>
      <c r="C206" s="39">
        <v>45</v>
      </c>
      <c r="D206" s="39" t="s">
        <v>11</v>
      </c>
      <c r="E206" s="39" t="s">
        <v>169</v>
      </c>
      <c r="F206" s="39">
        <v>1</v>
      </c>
      <c r="G206" s="39">
        <v>2</v>
      </c>
      <c r="H206" s="39"/>
      <c r="I206" s="39">
        <v>0</v>
      </c>
      <c r="J206" s="39">
        <f>F206*G206*I206</f>
        <v>0</v>
      </c>
      <c r="K206" s="39">
        <f>2/1000</f>
        <v>2E-3</v>
      </c>
      <c r="L206" s="39">
        <f>J206*K206</f>
        <v>0</v>
      </c>
      <c r="N206" s="307"/>
    </row>
    <row r="207" spans="1:14" hidden="1" x14ac:dyDescent="0.2">
      <c r="A207" s="39"/>
      <c r="B207" s="39" t="s">
        <v>172</v>
      </c>
      <c r="C207" s="39">
        <v>43</v>
      </c>
      <c r="D207" s="39" t="s">
        <v>11</v>
      </c>
      <c r="E207" s="39" t="s">
        <v>169</v>
      </c>
      <c r="F207" s="39">
        <v>1</v>
      </c>
      <c r="G207" s="39">
        <v>2</v>
      </c>
      <c r="H207" s="39"/>
      <c r="I207" s="39">
        <v>0</v>
      </c>
      <c r="J207" s="39">
        <f>F207*G207*I207</f>
        <v>0</v>
      </c>
      <c r="K207" s="39">
        <f>2/1000</f>
        <v>2E-3</v>
      </c>
      <c r="L207" s="39">
        <f t="shared" ref="L207" si="39">J207*K207</f>
        <v>0</v>
      </c>
      <c r="N207" s="307"/>
    </row>
    <row r="208" spans="1:14" hidden="1" x14ac:dyDescent="0.2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>
        <f>SUM(L206:L207)</f>
        <v>0</v>
      </c>
      <c r="N208" s="307"/>
    </row>
    <row r="209" spans="1:14" x14ac:dyDescent="0.2">
      <c r="E209" s="307"/>
      <c r="J209" s="307"/>
      <c r="N209" s="307"/>
    </row>
    <row r="210" spans="1:14" x14ac:dyDescent="0.2">
      <c r="E210" s="307"/>
      <c r="J210" s="307"/>
      <c r="N210" s="307"/>
    </row>
    <row r="211" spans="1:14" hidden="1" x14ac:dyDescent="0.2">
      <c r="A211" s="307" t="s">
        <v>92</v>
      </c>
      <c r="B211" s="307" t="s">
        <v>173</v>
      </c>
      <c r="C211" s="307">
        <v>140</v>
      </c>
      <c r="D211" s="307" t="s">
        <v>11</v>
      </c>
      <c r="E211" s="307" t="s">
        <v>168</v>
      </c>
      <c r="F211" s="307">
        <v>1</v>
      </c>
      <c r="G211" s="307">
        <v>2</v>
      </c>
      <c r="I211" s="307">
        <v>100</v>
      </c>
      <c r="J211" s="307">
        <f t="shared" ref="J211:J216" si="40">F211*G211*I211</f>
        <v>200</v>
      </c>
      <c r="K211" s="307">
        <f>2/1000</f>
        <v>2E-3</v>
      </c>
      <c r="L211" s="307">
        <f t="shared" ref="L211:L216" si="41">J211*K211</f>
        <v>0.4</v>
      </c>
      <c r="N211" s="307"/>
    </row>
    <row r="212" spans="1:14" hidden="1" x14ac:dyDescent="0.2">
      <c r="B212" s="307" t="s">
        <v>119</v>
      </c>
      <c r="C212" s="307">
        <v>20</v>
      </c>
      <c r="D212" s="307" t="s">
        <v>11</v>
      </c>
      <c r="E212" s="307" t="s">
        <v>65</v>
      </c>
      <c r="F212" s="307">
        <v>2</v>
      </c>
      <c r="G212" s="307">
        <v>4</v>
      </c>
      <c r="I212" s="307">
        <v>100</v>
      </c>
      <c r="J212" s="307">
        <f t="shared" si="40"/>
        <v>800</v>
      </c>
      <c r="K212" s="307">
        <v>1.2199999999999999E-3</v>
      </c>
      <c r="L212" s="307">
        <f t="shared" si="41"/>
        <v>0.97599999999999998</v>
      </c>
      <c r="N212" s="307"/>
    </row>
    <row r="213" spans="1:14" hidden="1" x14ac:dyDescent="0.2">
      <c r="B213" s="307" t="s">
        <v>174</v>
      </c>
      <c r="C213" s="307">
        <v>30</v>
      </c>
      <c r="D213" s="307" t="s">
        <v>11</v>
      </c>
      <c r="E213" s="307" t="s">
        <v>65</v>
      </c>
      <c r="F213" s="307">
        <v>4</v>
      </c>
      <c r="G213" s="307">
        <v>4</v>
      </c>
      <c r="I213" s="307">
        <v>100</v>
      </c>
      <c r="J213" s="307">
        <f t="shared" si="40"/>
        <v>1600</v>
      </c>
      <c r="K213" s="307">
        <v>1.2199999999999999E-3</v>
      </c>
      <c r="L213" s="307">
        <f t="shared" si="41"/>
        <v>1.952</v>
      </c>
      <c r="N213" s="307"/>
    </row>
    <row r="214" spans="1:14" hidden="1" x14ac:dyDescent="0.2">
      <c r="B214" s="307" t="s">
        <v>195</v>
      </c>
      <c r="C214" s="307">
        <v>18</v>
      </c>
      <c r="D214" s="307" t="s">
        <v>11</v>
      </c>
      <c r="E214" s="307" t="s">
        <v>169</v>
      </c>
      <c r="F214" s="307">
        <v>1</v>
      </c>
      <c r="G214" s="307">
        <v>2</v>
      </c>
      <c r="I214" s="307">
        <v>100</v>
      </c>
      <c r="J214" s="307">
        <f t="shared" si="40"/>
        <v>200</v>
      </c>
      <c r="K214" s="307">
        <v>1.2199999999999999E-3</v>
      </c>
      <c r="L214" s="307">
        <f t="shared" si="41"/>
        <v>0.24399999999999999</v>
      </c>
      <c r="N214" s="307"/>
    </row>
    <row r="215" spans="1:14" hidden="1" x14ac:dyDescent="0.2">
      <c r="B215" s="307" t="s">
        <v>205</v>
      </c>
      <c r="D215" s="307" t="s">
        <v>11</v>
      </c>
      <c r="E215" s="307" t="s">
        <v>169</v>
      </c>
      <c r="F215" s="307">
        <v>1</v>
      </c>
      <c r="G215" s="307">
        <v>2</v>
      </c>
      <c r="I215" s="307">
        <v>100</v>
      </c>
      <c r="J215" s="307">
        <f t="shared" si="40"/>
        <v>200</v>
      </c>
      <c r="K215" s="307">
        <v>1.2199999999999999E-3</v>
      </c>
      <c r="L215" s="307">
        <f t="shared" si="41"/>
        <v>0.24399999999999999</v>
      </c>
      <c r="N215" s="307"/>
    </row>
    <row r="216" spans="1:14" hidden="1" x14ac:dyDescent="0.2">
      <c r="B216" s="307" t="s">
        <v>172</v>
      </c>
      <c r="C216" s="307">
        <v>43</v>
      </c>
      <c r="D216" s="307" t="s">
        <v>11</v>
      </c>
      <c r="E216" s="307" t="s">
        <v>169</v>
      </c>
      <c r="F216" s="307">
        <v>1</v>
      </c>
      <c r="G216" s="307">
        <v>2</v>
      </c>
      <c r="I216" s="307">
        <v>100</v>
      </c>
      <c r="J216" s="307">
        <f t="shared" si="40"/>
        <v>200</v>
      </c>
      <c r="K216" s="307">
        <f>2/1000</f>
        <v>2E-3</v>
      </c>
      <c r="L216" s="307">
        <f t="shared" si="41"/>
        <v>0.4</v>
      </c>
      <c r="N216" s="307"/>
    </row>
    <row r="217" spans="1:14" ht="15" hidden="1" thickBot="1" x14ac:dyDescent="0.25">
      <c r="E217" s="307"/>
      <c r="J217" s="307"/>
      <c r="L217" s="202">
        <f>SUM(L211:L216)</f>
        <v>4.2160000000000002</v>
      </c>
      <c r="N217" s="307"/>
    </row>
    <row r="218" spans="1:14" hidden="1" x14ac:dyDescent="0.2">
      <c r="E218" s="307"/>
      <c r="J218" s="307"/>
      <c r="N218" s="307"/>
    </row>
    <row r="219" spans="1:14" hidden="1" x14ac:dyDescent="0.2">
      <c r="A219" s="39" t="s">
        <v>93</v>
      </c>
      <c r="B219" s="39" t="s">
        <v>175</v>
      </c>
      <c r="C219" s="39">
        <v>40</v>
      </c>
      <c r="D219" s="39" t="s">
        <v>11</v>
      </c>
      <c r="E219" s="39" t="s">
        <v>169</v>
      </c>
      <c r="F219" s="39">
        <v>1</v>
      </c>
      <c r="G219" s="39">
        <v>2</v>
      </c>
      <c r="H219" s="39"/>
      <c r="I219" s="39">
        <v>0</v>
      </c>
      <c r="J219" s="39">
        <f>F219*G219*I219</f>
        <v>0</v>
      </c>
      <c r="K219" s="39">
        <f>2/1000</f>
        <v>2E-3</v>
      </c>
      <c r="L219" s="39">
        <f t="shared" ref="L219:L220" si="42">J219*K219</f>
        <v>0</v>
      </c>
    </row>
    <row r="220" spans="1:14" hidden="1" x14ac:dyDescent="0.2">
      <c r="A220" s="39"/>
      <c r="B220" s="39" t="s">
        <v>176</v>
      </c>
      <c r="C220" s="39">
        <v>15</v>
      </c>
      <c r="D220" s="39" t="s">
        <v>11</v>
      </c>
      <c r="E220" s="39" t="s">
        <v>65</v>
      </c>
      <c r="F220" s="39">
        <v>1</v>
      </c>
      <c r="G220" s="39">
        <v>2</v>
      </c>
      <c r="H220" s="39"/>
      <c r="I220" s="39">
        <v>0</v>
      </c>
      <c r="J220" s="39">
        <f>F220*G220*I220</f>
        <v>0</v>
      </c>
      <c r="K220" s="39">
        <v>1.2199999999999999E-3</v>
      </c>
      <c r="L220" s="39">
        <f t="shared" si="42"/>
        <v>0</v>
      </c>
      <c r="N220" s="312"/>
    </row>
    <row r="221" spans="1:14" hidden="1" x14ac:dyDescent="0.2">
      <c r="A221" s="39"/>
      <c r="B221" s="39"/>
      <c r="C221" s="39"/>
      <c r="D221" s="39"/>
      <c r="E221" s="40"/>
      <c r="F221" s="39"/>
      <c r="G221" s="39"/>
      <c r="H221" s="39"/>
      <c r="I221" s="39"/>
      <c r="J221" s="39"/>
      <c r="K221" s="39"/>
      <c r="L221" s="39">
        <f>SUM(L219:L220)</f>
        <v>0</v>
      </c>
      <c r="N221" s="312"/>
    </row>
    <row r="222" spans="1:14" hidden="1" x14ac:dyDescent="0.2">
      <c r="A222" s="39"/>
      <c r="B222" s="39"/>
      <c r="C222" s="39"/>
      <c r="D222" s="39"/>
      <c r="E222" s="40"/>
      <c r="F222" s="39"/>
      <c r="G222" s="39"/>
      <c r="H222" s="39"/>
      <c r="I222" s="39"/>
      <c r="J222" s="39"/>
      <c r="K222" s="39"/>
      <c r="L222" s="39"/>
      <c r="N222" s="312"/>
    </row>
    <row r="223" spans="1:14" hidden="1" x14ac:dyDescent="0.2">
      <c r="A223" s="39" t="s">
        <v>94</v>
      </c>
      <c r="B223" s="39" t="s">
        <v>120</v>
      </c>
      <c r="C223" s="39">
        <v>69</v>
      </c>
      <c r="D223" s="39" t="s">
        <v>11</v>
      </c>
      <c r="E223" s="39" t="s">
        <v>169</v>
      </c>
      <c r="F223" s="39">
        <v>1</v>
      </c>
      <c r="G223" s="39">
        <v>2</v>
      </c>
      <c r="H223" s="39"/>
      <c r="I223" s="39">
        <v>0</v>
      </c>
      <c r="J223" s="39">
        <f>F223*G223*I223</f>
        <v>0</v>
      </c>
      <c r="K223" s="39">
        <f>2/1000</f>
        <v>2E-3</v>
      </c>
      <c r="L223" s="39">
        <f t="shared" ref="L223" si="43">J223*K223</f>
        <v>0</v>
      </c>
      <c r="N223" s="312"/>
    </row>
    <row r="224" spans="1:14" hidden="1" x14ac:dyDescent="0.2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N224" s="312"/>
    </row>
    <row r="225" spans="1:14" x14ac:dyDescent="0.2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N225" s="312"/>
    </row>
    <row r="226" spans="1:14" x14ac:dyDescent="0.2">
      <c r="E226" s="307"/>
      <c r="J226" s="307"/>
      <c r="N226" s="312"/>
    </row>
    <row r="227" spans="1:14" ht="18.75" thickBot="1" x14ac:dyDescent="0.25">
      <c r="A227" s="39"/>
      <c r="B227" s="41"/>
      <c r="C227" s="41"/>
      <c r="D227" s="41"/>
      <c r="E227" s="41"/>
      <c r="F227" s="349" t="s">
        <v>177</v>
      </c>
      <c r="G227" s="349"/>
      <c r="H227" s="349"/>
      <c r="I227" s="349"/>
      <c r="J227" s="350"/>
      <c r="N227" s="312"/>
    </row>
    <row r="228" spans="1:14" ht="33" x14ac:dyDescent="0.2">
      <c r="A228" s="166" t="s">
        <v>33</v>
      </c>
      <c r="B228" s="167"/>
      <c r="C228" s="346"/>
      <c r="D228" s="347"/>
      <c r="E228" s="167" t="s">
        <v>19</v>
      </c>
      <c r="F228" s="22" t="s">
        <v>178</v>
      </c>
      <c r="G228" s="24" t="s">
        <v>179</v>
      </c>
      <c r="H228" s="24" t="s">
        <v>180</v>
      </c>
      <c r="I228" s="2" t="s">
        <v>167</v>
      </c>
      <c r="J228" s="28" t="s">
        <v>166</v>
      </c>
      <c r="K228" s="316" t="s">
        <v>2</v>
      </c>
      <c r="L228" s="2" t="s">
        <v>3</v>
      </c>
      <c r="N228" s="312"/>
    </row>
    <row r="229" spans="1:14" ht="16.5" thickBot="1" x14ac:dyDescent="0.25">
      <c r="A229" s="44"/>
      <c r="B229" s="45"/>
      <c r="C229" s="46"/>
      <c r="D229" s="47"/>
      <c r="E229" s="48"/>
      <c r="F229" s="6"/>
      <c r="G229" s="23"/>
      <c r="H229" s="6"/>
      <c r="I229" s="6" t="s">
        <v>60</v>
      </c>
      <c r="J229" s="19" t="s">
        <v>60</v>
      </c>
      <c r="K229" s="18" t="s">
        <v>62</v>
      </c>
      <c r="L229" s="6" t="s">
        <v>7</v>
      </c>
      <c r="N229" s="312"/>
    </row>
    <row r="230" spans="1:14" ht="15" thickBot="1" x14ac:dyDescent="0.25">
      <c r="A230" s="307" t="s">
        <v>364</v>
      </c>
      <c r="B230" s="147" t="s">
        <v>197</v>
      </c>
      <c r="E230" s="307"/>
      <c r="F230" s="309">
        <f>G163</f>
        <v>54.87</v>
      </c>
      <c r="G230" s="307">
        <v>4</v>
      </c>
      <c r="H230" s="307">
        <v>1</v>
      </c>
      <c r="I230" s="307">
        <v>50</v>
      </c>
      <c r="J230" s="307">
        <f>2*I230*F230*G230/H230</f>
        <v>21948</v>
      </c>
      <c r="K230" s="307">
        <v>2.1000000000000001E-4</v>
      </c>
      <c r="L230" s="201">
        <f>K230*J230</f>
        <v>4.6090800000000005</v>
      </c>
      <c r="N230" s="312"/>
    </row>
    <row r="231" spans="1:14" x14ac:dyDescent="0.2">
      <c r="B231" s="147"/>
      <c r="E231" s="307"/>
      <c r="J231" s="307"/>
      <c r="N231" s="312"/>
    </row>
    <row r="232" spans="1:14" hidden="1" x14ac:dyDescent="0.2">
      <c r="B232" s="147"/>
      <c r="E232" s="307"/>
      <c r="J232" s="307"/>
      <c r="N232" s="312"/>
    </row>
    <row r="233" spans="1:14" hidden="1" x14ac:dyDescent="0.2">
      <c r="A233" s="39" t="s">
        <v>91</v>
      </c>
      <c r="B233" s="147" t="s">
        <v>197</v>
      </c>
      <c r="C233" s="39"/>
      <c r="D233" s="39"/>
      <c r="E233" s="39"/>
      <c r="F233" s="50">
        <f>G170</f>
        <v>0</v>
      </c>
      <c r="G233" s="39">
        <v>4</v>
      </c>
      <c r="H233" s="39">
        <v>1</v>
      </c>
      <c r="I233" s="39">
        <v>0</v>
      </c>
      <c r="J233" s="39">
        <f>2*I233*F233*G233/H233</f>
        <v>0</v>
      </c>
      <c r="K233" s="39">
        <f>0.22/1000</f>
        <v>2.2000000000000001E-4</v>
      </c>
      <c r="L233" s="39">
        <f>K233*J233</f>
        <v>0</v>
      </c>
      <c r="N233" s="312"/>
    </row>
    <row r="234" spans="1:14" hidden="1" x14ac:dyDescent="0.2">
      <c r="B234" s="147"/>
      <c r="E234" s="307"/>
      <c r="J234" s="307"/>
      <c r="N234" s="312"/>
    </row>
    <row r="235" spans="1:14" x14ac:dyDescent="0.2">
      <c r="B235" s="147"/>
      <c r="E235" s="307"/>
      <c r="J235" s="307"/>
      <c r="N235" s="312"/>
    </row>
    <row r="236" spans="1:14" ht="15" hidden="1" thickBot="1" x14ac:dyDescent="0.25">
      <c r="A236" s="307" t="s">
        <v>92</v>
      </c>
      <c r="B236" s="147" t="s">
        <v>197</v>
      </c>
      <c r="D236" s="39"/>
      <c r="E236" s="307"/>
      <c r="F236" s="309">
        <f>G175</f>
        <v>17.149999999999999</v>
      </c>
      <c r="G236" s="307">
        <v>4</v>
      </c>
      <c r="H236" s="307">
        <v>1</v>
      </c>
      <c r="I236" s="307">
        <v>50</v>
      </c>
      <c r="J236" s="307">
        <f>2*I236*F236*G236/H236</f>
        <v>6859.9999999999991</v>
      </c>
      <c r="K236" s="307">
        <f>0.22/1000</f>
        <v>2.2000000000000001E-4</v>
      </c>
      <c r="L236" s="203">
        <f>K236*J236</f>
        <v>1.5091999999999999</v>
      </c>
      <c r="N236" s="312"/>
    </row>
    <row r="237" spans="1:14" hidden="1" x14ac:dyDescent="0.2">
      <c r="B237" s="147"/>
      <c r="D237" s="39"/>
      <c r="E237" s="307"/>
      <c r="J237" s="307"/>
      <c r="N237" s="312"/>
    </row>
    <row r="238" spans="1:14" hidden="1" x14ac:dyDescent="0.2">
      <c r="D238" s="39"/>
      <c r="E238" s="307"/>
      <c r="J238" s="307"/>
      <c r="N238" s="312"/>
    </row>
    <row r="239" spans="1:14" hidden="1" x14ac:dyDescent="0.2">
      <c r="A239" s="39" t="s">
        <v>93</v>
      </c>
      <c r="B239" s="39" t="s">
        <v>197</v>
      </c>
      <c r="C239" s="39"/>
      <c r="D239" s="39"/>
      <c r="E239" s="39"/>
      <c r="F239" s="50">
        <f>G183</f>
        <v>0</v>
      </c>
      <c r="G239" s="39">
        <v>4</v>
      </c>
      <c r="H239" s="39">
        <v>1</v>
      </c>
      <c r="I239" s="39">
        <v>0</v>
      </c>
      <c r="J239" s="50">
        <f>2*I239*F239*G239/H239</f>
        <v>0</v>
      </c>
      <c r="K239" s="39">
        <f>0.22/1000</f>
        <v>2.2000000000000001E-4</v>
      </c>
      <c r="L239" s="39">
        <f>K239*J239</f>
        <v>0</v>
      </c>
      <c r="N239" s="312"/>
    </row>
    <row r="240" spans="1:14" hidden="1" x14ac:dyDescent="0.2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N240" s="312"/>
    </row>
    <row r="241" spans="1:14" hidden="1" x14ac:dyDescent="0.2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N241" s="312"/>
    </row>
    <row r="242" spans="1:14" hidden="1" x14ac:dyDescent="0.2">
      <c r="A242" s="39" t="s">
        <v>94</v>
      </c>
      <c r="B242" s="39" t="s">
        <v>197</v>
      </c>
      <c r="C242" s="39"/>
      <c r="D242" s="39"/>
      <c r="E242" s="39"/>
      <c r="F242" s="50">
        <f>G188</f>
        <v>0</v>
      </c>
      <c r="G242" s="39">
        <v>4</v>
      </c>
      <c r="H242" s="39">
        <v>1</v>
      </c>
      <c r="I242" s="39">
        <v>0</v>
      </c>
      <c r="J242" s="39">
        <f>2*I242*F242*G242/H242</f>
        <v>0</v>
      </c>
      <c r="K242" s="39">
        <f>0.22/1000</f>
        <v>2.2000000000000001E-4</v>
      </c>
      <c r="L242" s="39">
        <f>K242*J242</f>
        <v>0</v>
      </c>
      <c r="N242" s="312"/>
    </row>
    <row r="243" spans="1:14" x14ac:dyDescent="0.2">
      <c r="A243" s="39"/>
      <c r="B243" s="39"/>
      <c r="C243" s="39"/>
      <c r="D243" s="39"/>
      <c r="E243" s="39"/>
      <c r="F243" s="50"/>
      <c r="G243" s="39"/>
      <c r="H243" s="39"/>
      <c r="I243" s="39"/>
      <c r="J243" s="39"/>
      <c r="K243" s="39"/>
      <c r="L243" s="39"/>
      <c r="N243" s="312"/>
    </row>
    <row r="244" spans="1:14" x14ac:dyDescent="0.2">
      <c r="A244" s="39"/>
      <c r="B244" s="39"/>
      <c r="C244" s="39"/>
      <c r="D244" s="39"/>
      <c r="E244" s="39"/>
      <c r="F244" s="50"/>
      <c r="G244" s="39"/>
      <c r="H244" s="39"/>
      <c r="I244" s="39"/>
      <c r="J244" s="39"/>
      <c r="K244" s="39"/>
      <c r="L244" s="39"/>
      <c r="N244" s="312"/>
    </row>
    <row r="245" spans="1:14" ht="15.75" thickBot="1" x14ac:dyDescent="0.25">
      <c r="B245" s="351" t="s">
        <v>116</v>
      </c>
      <c r="C245" s="351"/>
      <c r="D245" s="351"/>
      <c r="E245" s="351"/>
      <c r="F245" s="351"/>
      <c r="G245" s="351"/>
      <c r="H245" s="351"/>
      <c r="I245" s="351"/>
      <c r="J245" s="307"/>
      <c r="N245" s="307"/>
    </row>
    <row r="246" spans="1:14" ht="28.5" customHeight="1" thickBot="1" x14ac:dyDescent="0.25">
      <c r="B246" s="310" t="s">
        <v>211</v>
      </c>
      <c r="C246" s="340" t="s">
        <v>214</v>
      </c>
      <c r="D246" s="341"/>
      <c r="E246" s="89" t="s">
        <v>212</v>
      </c>
      <c r="F246" s="33" t="s">
        <v>215</v>
      </c>
      <c r="G246" s="33" t="s">
        <v>216</v>
      </c>
      <c r="H246" s="89" t="s">
        <v>213</v>
      </c>
      <c r="I246" s="33" t="s">
        <v>210</v>
      </c>
      <c r="L246" s="33" t="s">
        <v>97</v>
      </c>
      <c r="N246" s="307"/>
    </row>
    <row r="247" spans="1:14" x14ac:dyDescent="0.2">
      <c r="A247" s="307" t="s">
        <v>90</v>
      </c>
      <c r="B247" s="309">
        <f>L15</f>
        <v>1363.5327869599998</v>
      </c>
      <c r="C247" s="352">
        <f>L168</f>
        <v>115.28187</v>
      </c>
      <c r="D247" s="352"/>
      <c r="E247" s="90">
        <f>L51+L84+L90</f>
        <v>76.742799999999988</v>
      </c>
      <c r="F247" s="307">
        <f>L204</f>
        <v>7.8199999999999994</v>
      </c>
      <c r="G247" s="13">
        <f>L230</f>
        <v>4.6090800000000005</v>
      </c>
      <c r="H247" s="94">
        <f>J132</f>
        <v>34.428974066666655</v>
      </c>
      <c r="I247" s="309">
        <f>L103</f>
        <v>35.043199999999999</v>
      </c>
      <c r="J247" s="173">
        <f>E247+B247+I247</f>
        <v>1475.3187869599999</v>
      </c>
      <c r="L247" s="307">
        <f>G163</f>
        <v>54.87</v>
      </c>
      <c r="N247" s="307"/>
    </row>
    <row r="248" spans="1:14" x14ac:dyDescent="0.2">
      <c r="A248" s="307" t="s">
        <v>91</v>
      </c>
      <c r="B248" s="309">
        <f>L22</f>
        <v>0</v>
      </c>
      <c r="C248" s="339">
        <f>L173</f>
        <v>0</v>
      </c>
      <c r="D248" s="339"/>
      <c r="E248" s="90">
        <f>L57+L96</f>
        <v>0</v>
      </c>
      <c r="F248" s="307">
        <f>L208</f>
        <v>0</v>
      </c>
      <c r="G248" s="13">
        <f>L233</f>
        <v>0</v>
      </c>
      <c r="H248" s="95">
        <f>J137</f>
        <v>0</v>
      </c>
      <c r="I248" s="309">
        <v>0</v>
      </c>
      <c r="J248" s="173">
        <f t="shared" ref="J248:J250" si="44">E248+B248</f>
        <v>0</v>
      </c>
      <c r="L248" s="309">
        <f>G170</f>
        <v>0</v>
      </c>
      <c r="N248" s="307"/>
    </row>
    <row r="249" spans="1:14" x14ac:dyDescent="0.2">
      <c r="A249" s="312" t="s">
        <v>92</v>
      </c>
      <c r="B249" s="309" t="e">
        <f>L30</f>
        <v>#REF!</v>
      </c>
      <c r="C249" s="339">
        <f>L180</f>
        <v>53.247320000000002</v>
      </c>
      <c r="D249" s="339"/>
      <c r="E249" s="90" t="e">
        <f>L66</f>
        <v>#REF!</v>
      </c>
      <c r="F249" s="13">
        <f>L217</f>
        <v>4.2160000000000002</v>
      </c>
      <c r="G249" s="13">
        <f>L236</f>
        <v>1.5091999999999999</v>
      </c>
      <c r="H249" s="95">
        <f>J146</f>
        <v>13.542108766666667</v>
      </c>
      <c r="I249" s="309" t="e">
        <f>L108</f>
        <v>#REF!</v>
      </c>
      <c r="J249" s="173" t="e">
        <f>E249+B249+I249</f>
        <v>#REF!</v>
      </c>
      <c r="L249" s="309">
        <f>G175</f>
        <v>17.149999999999999</v>
      </c>
      <c r="N249" s="307"/>
    </row>
    <row r="250" spans="1:14" x14ac:dyDescent="0.2">
      <c r="A250" s="307" t="s">
        <v>93</v>
      </c>
      <c r="B250" s="309">
        <f>L34</f>
        <v>0</v>
      </c>
      <c r="C250" s="339">
        <f>L186</f>
        <v>0</v>
      </c>
      <c r="D250" s="339"/>
      <c r="E250" s="90">
        <f>L71</f>
        <v>0</v>
      </c>
      <c r="F250" s="307">
        <f>L221</f>
        <v>0</v>
      </c>
      <c r="G250" s="13">
        <f>L239</f>
        <v>0</v>
      </c>
      <c r="H250" s="95">
        <f>J152</f>
        <v>0</v>
      </c>
      <c r="I250" s="38">
        <f>L112</f>
        <v>0</v>
      </c>
      <c r="J250" s="173">
        <f t="shared" si="44"/>
        <v>0</v>
      </c>
      <c r="L250" s="309">
        <f>G183</f>
        <v>0</v>
      </c>
      <c r="N250" s="307"/>
    </row>
    <row r="251" spans="1:14" x14ac:dyDescent="0.2">
      <c r="A251" s="307" t="s">
        <v>94</v>
      </c>
      <c r="B251" s="309">
        <f>L40</f>
        <v>0</v>
      </c>
      <c r="C251" s="339">
        <f>L191</f>
        <v>0</v>
      </c>
      <c r="D251" s="339"/>
      <c r="E251" s="90">
        <f>L78</f>
        <v>0</v>
      </c>
      <c r="F251" s="307">
        <f>L223</f>
        <v>0</v>
      </c>
      <c r="G251" s="13">
        <f>L242</f>
        <v>0</v>
      </c>
      <c r="H251" s="95">
        <f>J157</f>
        <v>0</v>
      </c>
      <c r="I251" s="38">
        <f>L116</f>
        <v>0</v>
      </c>
      <c r="L251" s="309">
        <f>G188</f>
        <v>0</v>
      </c>
      <c r="N251" s="307"/>
    </row>
    <row r="252" spans="1:14" ht="15" thickBot="1" x14ac:dyDescent="0.25">
      <c r="C252" s="337"/>
      <c r="D252" s="337"/>
      <c r="E252" s="91"/>
      <c r="H252" s="96"/>
      <c r="I252" s="12"/>
      <c r="L252" s="32"/>
      <c r="N252" s="307"/>
    </row>
    <row r="253" spans="1:14" ht="29.25" customHeight="1" thickBot="1" x14ac:dyDescent="0.25">
      <c r="B253" s="310" t="s">
        <v>211</v>
      </c>
      <c r="C253" s="340" t="s">
        <v>214</v>
      </c>
      <c r="D253" s="341"/>
      <c r="E253" s="89" t="s">
        <v>212</v>
      </c>
      <c r="F253" s="33" t="s">
        <v>215</v>
      </c>
      <c r="G253" s="33" t="s">
        <v>216</v>
      </c>
      <c r="H253" s="89" t="s">
        <v>213</v>
      </c>
      <c r="I253" s="33" t="s">
        <v>210</v>
      </c>
      <c r="L253" s="33" t="s">
        <v>97</v>
      </c>
      <c r="N253" s="307"/>
    </row>
    <row r="254" spans="1:14" x14ac:dyDescent="0.2">
      <c r="A254" s="307" t="s">
        <v>239</v>
      </c>
      <c r="B254" s="309">
        <f>B247+B248</f>
        <v>1363.5327869599998</v>
      </c>
      <c r="C254" s="339">
        <f>C247+C248</f>
        <v>115.28187</v>
      </c>
      <c r="D254" s="337"/>
      <c r="E254" s="90">
        <f>E247+E248</f>
        <v>76.742799999999988</v>
      </c>
      <c r="F254" s="309">
        <f>F247+F248</f>
        <v>7.8199999999999994</v>
      </c>
      <c r="G254" s="309">
        <f>G247+G248</f>
        <v>4.6090800000000005</v>
      </c>
      <c r="H254" s="94">
        <f>H247+H248</f>
        <v>34.428974066666655</v>
      </c>
      <c r="I254" s="309">
        <f>I247+I248</f>
        <v>35.043199999999999</v>
      </c>
      <c r="L254" s="309">
        <f>L247+L248</f>
        <v>54.87</v>
      </c>
      <c r="M254" s="309">
        <f>SUM(B254:I254)</f>
        <v>1637.4587110266664</v>
      </c>
      <c r="N254" s="307"/>
    </row>
    <row r="255" spans="1:14" x14ac:dyDescent="0.2">
      <c r="A255" s="307" t="s">
        <v>240</v>
      </c>
      <c r="B255" s="309" t="e">
        <f>B249+B250</f>
        <v>#REF!</v>
      </c>
      <c r="C255" s="342">
        <f>C249+C250</f>
        <v>53.247320000000002</v>
      </c>
      <c r="D255" s="343"/>
      <c r="E255" s="90" t="e">
        <f>E249+E250</f>
        <v>#REF!</v>
      </c>
      <c r="F255" s="309">
        <f>F249+F250</f>
        <v>4.2160000000000002</v>
      </c>
      <c r="G255" s="309">
        <f>G249+G250</f>
        <v>1.5091999999999999</v>
      </c>
      <c r="H255" s="97">
        <f>H249+H250</f>
        <v>13.542108766666667</v>
      </c>
      <c r="I255" s="309" t="e">
        <f>I249+I250</f>
        <v>#REF!</v>
      </c>
      <c r="L255" s="309">
        <f>L249+L250</f>
        <v>17.149999999999999</v>
      </c>
      <c r="M255" s="309" t="e">
        <f>SUM(B255:I255)</f>
        <v>#REF!</v>
      </c>
      <c r="N255" s="307"/>
    </row>
    <row r="256" spans="1:14" x14ac:dyDescent="0.2">
      <c r="B256" s="309"/>
      <c r="C256" s="342"/>
      <c r="D256" s="343"/>
      <c r="E256" s="90"/>
      <c r="F256" s="309"/>
      <c r="G256" s="309"/>
      <c r="H256" s="97"/>
      <c r="I256" s="309"/>
      <c r="L256" s="309">
        <f>L249+L251</f>
        <v>17.149999999999999</v>
      </c>
      <c r="M256" s="309">
        <f>SUM(B256:I256)</f>
        <v>0</v>
      </c>
      <c r="N256" s="307"/>
    </row>
    <row r="257" spans="2:14" x14ac:dyDescent="0.2">
      <c r="C257" s="337"/>
      <c r="D257" s="337"/>
      <c r="E257" s="91"/>
      <c r="H257" s="32"/>
      <c r="I257" s="12"/>
      <c r="L257" s="32"/>
      <c r="N257" s="307"/>
    </row>
    <row r="258" spans="2:14" x14ac:dyDescent="0.2">
      <c r="B258" s="308">
        <f>B254/SUM(B254:H254)</f>
        <v>0.85092335762924909</v>
      </c>
      <c r="C258" s="338">
        <f>C254/SUM(B254:H254)</f>
        <v>7.1942557474458671E-2</v>
      </c>
      <c r="D258" s="338"/>
      <c r="E258" s="92">
        <f>E254/SUM(B254:H254)</f>
        <v>4.789194779500789E-2</v>
      </c>
      <c r="F258" s="64">
        <f>F254/SUM(B254:H254)</f>
        <v>4.8801324913472239E-3</v>
      </c>
      <c r="G258" s="64">
        <f>G254/SUM(B254:H254)</f>
        <v>2.8763326167798803E-3</v>
      </c>
      <c r="H258" s="98">
        <f>H254/SUM(B254:H254)</f>
        <v>2.1485671993157405E-2</v>
      </c>
      <c r="I258" s="64">
        <f>I254/SUM(B254:H254)</f>
        <v>2.1868984516723661E-2</v>
      </c>
      <c r="N258" s="307"/>
    </row>
    <row r="259" spans="2:14" x14ac:dyDescent="0.2">
      <c r="B259" s="308" t="e">
        <f>B255/SUM(B255:H255)</f>
        <v>#REF!</v>
      </c>
      <c r="C259" s="338" t="e">
        <f>C255/SUM(B255:H255)</f>
        <v>#REF!</v>
      </c>
      <c r="D259" s="338"/>
      <c r="E259" s="92" t="e">
        <f>E255/SUM(B255:H255)</f>
        <v>#REF!</v>
      </c>
      <c r="F259" s="64" t="e">
        <f>F255/SUM(B255:H255)</f>
        <v>#REF!</v>
      </c>
      <c r="G259" s="64" t="e">
        <f>G255/SUM(B255:H255)</f>
        <v>#REF!</v>
      </c>
      <c r="H259" s="98" t="e">
        <f>H255/SUM(B255:H255)</f>
        <v>#REF!</v>
      </c>
      <c r="I259" s="64" t="e">
        <f>I255/SUM(B255:H255)</f>
        <v>#REF!</v>
      </c>
      <c r="N259" s="307"/>
    </row>
    <row r="260" spans="2:14" x14ac:dyDescent="0.2">
      <c r="B260" s="308" t="e">
        <f>B256/SUM(B256:H256)</f>
        <v>#DIV/0!</v>
      </c>
      <c r="C260" s="338" t="e">
        <f>C256/SUM(B256:H256)</f>
        <v>#DIV/0!</v>
      </c>
      <c r="D260" s="338"/>
      <c r="E260" s="92" t="e">
        <f>E256/SUM(B256:H256)</f>
        <v>#DIV/0!</v>
      </c>
      <c r="F260" s="64" t="e">
        <f>F256/SUM(B256:H256)</f>
        <v>#DIV/0!</v>
      </c>
      <c r="G260" s="64" t="e">
        <f>G256/SUM(B256:H256)</f>
        <v>#DIV/0!</v>
      </c>
      <c r="H260" s="98" t="e">
        <f>H256/SUM(B256:H256)</f>
        <v>#DIV/0!</v>
      </c>
      <c r="I260" s="64" t="e">
        <f>I256/SUM(B256:H256)</f>
        <v>#DIV/0!</v>
      </c>
      <c r="N260" s="307"/>
    </row>
    <row r="261" spans="2:14" x14ac:dyDescent="0.2">
      <c r="C261" s="93"/>
      <c r="D261" s="93"/>
      <c r="F261" s="337"/>
      <c r="G261" s="337"/>
      <c r="H261" s="337"/>
      <c r="I261" s="337"/>
      <c r="J261" s="32"/>
      <c r="N261" s="307"/>
    </row>
    <row r="262" spans="2:14" x14ac:dyDescent="0.2">
      <c r="C262" s="93"/>
      <c r="D262" s="93"/>
      <c r="F262" s="337"/>
      <c r="G262" s="337"/>
      <c r="H262" s="337"/>
      <c r="I262" s="337"/>
      <c r="J262" s="32"/>
      <c r="N262" s="307"/>
    </row>
    <row r="263" spans="2:14" x14ac:dyDescent="0.2">
      <c r="C263" s="93"/>
      <c r="D263" s="93"/>
      <c r="F263" s="337"/>
      <c r="G263" s="337"/>
      <c r="H263" s="337"/>
      <c r="I263" s="337"/>
      <c r="J263" s="32"/>
      <c r="N263" s="307"/>
    </row>
    <row r="264" spans="2:14" x14ac:dyDescent="0.2">
      <c r="C264" s="93"/>
      <c r="D264" s="93"/>
      <c r="F264" s="337"/>
      <c r="G264" s="337"/>
      <c r="H264" s="337"/>
      <c r="I264" s="337"/>
      <c r="J264" s="32"/>
      <c r="N264" s="307"/>
    </row>
    <row r="265" spans="2:14" x14ac:dyDescent="0.2">
      <c r="C265" s="93"/>
      <c r="D265" s="93"/>
      <c r="F265" s="337"/>
      <c r="G265" s="337"/>
      <c r="H265" s="337"/>
      <c r="I265" s="337"/>
      <c r="J265" s="32"/>
      <c r="N265" s="307"/>
    </row>
    <row r="266" spans="2:14" x14ac:dyDescent="0.2">
      <c r="C266" s="93"/>
      <c r="D266" s="93"/>
      <c r="F266" s="337"/>
      <c r="G266" s="337"/>
      <c r="H266" s="337"/>
      <c r="I266" s="337"/>
      <c r="J266" s="32"/>
      <c r="N266" s="307"/>
    </row>
    <row r="267" spans="2:14" x14ac:dyDescent="0.2">
      <c r="C267" s="93"/>
      <c r="D267" s="93"/>
      <c r="F267" s="337"/>
      <c r="G267" s="337"/>
      <c r="H267" s="337"/>
      <c r="I267" s="337"/>
      <c r="J267" s="32"/>
      <c r="N267" s="307"/>
    </row>
    <row r="268" spans="2:14" x14ac:dyDescent="0.2">
      <c r="C268" s="93"/>
      <c r="D268" s="93"/>
      <c r="J268" s="307"/>
      <c r="N268" s="307"/>
    </row>
    <row r="269" spans="2:14" x14ac:dyDescent="0.2">
      <c r="C269" s="93">
        <v>0</v>
      </c>
      <c r="D269" s="93"/>
      <c r="J269" s="307"/>
      <c r="N269" s="307"/>
    </row>
    <row r="270" spans="2:14" x14ac:dyDescent="0.2">
      <c r="C270" s="309">
        <f>SUM(B254:I254)</f>
        <v>1637.4587110266664</v>
      </c>
      <c r="D270" s="93"/>
      <c r="J270" s="307"/>
      <c r="N270" s="307"/>
    </row>
    <row r="271" spans="2:14" x14ac:dyDescent="0.2">
      <c r="C271" s="309" t="e">
        <f t="shared" ref="C271:C272" si="45">SUM(B255:I255)</f>
        <v>#REF!</v>
      </c>
      <c r="D271" s="93"/>
      <c r="J271" s="307"/>
      <c r="N271" s="307"/>
    </row>
    <row r="272" spans="2:14" x14ac:dyDescent="0.2">
      <c r="C272" s="309">
        <f t="shared" si="45"/>
        <v>0</v>
      </c>
      <c r="D272" s="93"/>
      <c r="J272" s="307"/>
      <c r="N272" s="307"/>
    </row>
    <row r="273" spans="2:14" x14ac:dyDescent="0.2">
      <c r="B273" s="309"/>
      <c r="C273" s="93">
        <v>0</v>
      </c>
      <c r="D273" s="93"/>
      <c r="J273" s="307"/>
      <c r="N273" s="307"/>
    </row>
    <row r="274" spans="2:14" x14ac:dyDescent="0.2">
      <c r="B274" s="309"/>
      <c r="C274" s="93"/>
      <c r="D274" s="93"/>
      <c r="E274" s="307"/>
      <c r="J274" s="307"/>
      <c r="N274" s="307"/>
    </row>
    <row r="275" spans="2:14" x14ac:dyDescent="0.2">
      <c r="C275" s="93"/>
      <c r="D275" s="93"/>
      <c r="E275" s="307"/>
      <c r="J275" s="307"/>
      <c r="N275" s="307"/>
    </row>
    <row r="276" spans="2:14" x14ac:dyDescent="0.2">
      <c r="C276" s="93"/>
      <c r="D276" s="93"/>
      <c r="E276" s="307"/>
      <c r="J276" s="307"/>
      <c r="N276" s="307"/>
    </row>
    <row r="277" spans="2:14" x14ac:dyDescent="0.2">
      <c r="C277" s="93"/>
      <c r="D277" s="93"/>
      <c r="E277" s="307"/>
      <c r="J277" s="307"/>
      <c r="N277" s="307"/>
    </row>
    <row r="278" spans="2:14" x14ac:dyDescent="0.2">
      <c r="C278" s="93"/>
      <c r="D278" s="93"/>
      <c r="E278" s="307"/>
      <c r="J278" s="307"/>
      <c r="N278" s="307"/>
    </row>
    <row r="279" spans="2:14" x14ac:dyDescent="0.2">
      <c r="C279" s="93"/>
      <c r="D279" s="93"/>
      <c r="E279" s="307"/>
      <c r="J279" s="307"/>
      <c r="N279" s="307"/>
    </row>
    <row r="280" spans="2:14" x14ac:dyDescent="0.2">
      <c r="C280" s="93"/>
      <c r="D280" s="93"/>
      <c r="E280" s="307"/>
      <c r="J280" s="307"/>
      <c r="N280" s="307"/>
    </row>
    <row r="281" spans="2:14" x14ac:dyDescent="0.2">
      <c r="C281" s="93"/>
      <c r="D281" s="93"/>
      <c r="E281" s="307"/>
      <c r="J281" s="307"/>
      <c r="N281" s="307"/>
    </row>
    <row r="282" spans="2:14" x14ac:dyDescent="0.2">
      <c r="C282" s="93"/>
      <c r="D282" s="93"/>
      <c r="E282" s="307"/>
      <c r="J282" s="307"/>
      <c r="N282" s="307"/>
    </row>
    <row r="283" spans="2:14" x14ac:dyDescent="0.2">
      <c r="E283" s="307"/>
      <c r="J283" s="307"/>
      <c r="N283" s="307"/>
    </row>
    <row r="284" spans="2:14" x14ac:dyDescent="0.2">
      <c r="E284" s="307"/>
      <c r="J284" s="307"/>
      <c r="N284" s="307"/>
    </row>
    <row r="285" spans="2:14" x14ac:dyDescent="0.2">
      <c r="E285" s="307"/>
      <c r="J285" s="307"/>
      <c r="N285" s="307"/>
    </row>
    <row r="286" spans="2:14" x14ac:dyDescent="0.2">
      <c r="E286" s="307"/>
      <c r="J286" s="307"/>
      <c r="N286" s="307"/>
    </row>
    <row r="287" spans="2:14" x14ac:dyDescent="0.2">
      <c r="E287" s="307"/>
      <c r="J287" s="307"/>
      <c r="N287" s="307"/>
    </row>
    <row r="288" spans="2:14" x14ac:dyDescent="0.2">
      <c r="E288" s="307"/>
      <c r="J288" s="307"/>
      <c r="N288" s="307"/>
    </row>
    <row r="289" spans="5:14" s="307" customFormat="1" x14ac:dyDescent="0.2"/>
    <row r="290" spans="5:14" x14ac:dyDescent="0.2">
      <c r="E290" s="307"/>
      <c r="H290" s="309"/>
      <c r="I290" s="309"/>
      <c r="J290" s="309"/>
      <c r="N290" s="307"/>
    </row>
    <row r="291" spans="5:14" x14ac:dyDescent="0.2">
      <c r="E291" s="307"/>
      <c r="H291" s="309"/>
      <c r="I291" s="309"/>
      <c r="J291" s="309"/>
      <c r="N291" s="307"/>
    </row>
    <row r="292" spans="5:14" s="307" customFormat="1" x14ac:dyDescent="0.2"/>
    <row r="293" spans="5:14" s="307" customFormat="1" x14ac:dyDescent="0.2"/>
    <row r="294" spans="5:14" s="307" customFormat="1" x14ac:dyDescent="0.2"/>
    <row r="295" spans="5:14" s="307" customFormat="1" x14ac:dyDescent="0.2"/>
    <row r="296" spans="5:14" s="307" customFormat="1" x14ac:dyDescent="0.2"/>
    <row r="297" spans="5:14" s="307" customFormat="1" x14ac:dyDescent="0.2"/>
    <row r="298" spans="5:14" s="307" customFormat="1" x14ac:dyDescent="0.2"/>
    <row r="299" spans="5:14" s="307" customFormat="1" x14ac:dyDescent="0.2">
      <c r="H299" s="32"/>
    </row>
    <row r="300" spans="5:14" s="307" customFormat="1" x14ac:dyDescent="0.2">
      <c r="H300" s="32"/>
    </row>
    <row r="301" spans="5:14" s="307" customFormat="1" x14ac:dyDescent="0.2">
      <c r="H301" s="32"/>
    </row>
    <row r="302" spans="5:14" s="307" customFormat="1" x14ac:dyDescent="0.2"/>
    <row r="303" spans="5:14" s="307" customFormat="1" x14ac:dyDescent="0.2"/>
    <row r="304" spans="5:14" s="307" customFormat="1" x14ac:dyDescent="0.2"/>
    <row r="305" spans="5:14" x14ac:dyDescent="0.2">
      <c r="E305" s="307"/>
      <c r="J305" s="307"/>
      <c r="N305" s="307"/>
    </row>
    <row r="306" spans="5:14" x14ac:dyDescent="0.2">
      <c r="J306" s="307"/>
      <c r="N306" s="307"/>
    </row>
    <row r="307" spans="5:14" x14ac:dyDescent="0.2">
      <c r="J307" s="307"/>
      <c r="N307" s="307"/>
    </row>
    <row r="308" spans="5:14" x14ac:dyDescent="0.2">
      <c r="J308" s="307"/>
      <c r="N308" s="307"/>
    </row>
    <row r="309" spans="5:14" x14ac:dyDescent="0.2">
      <c r="J309" s="307"/>
      <c r="N309" s="307"/>
    </row>
    <row r="310" spans="5:14" x14ac:dyDescent="0.2">
      <c r="J310" s="307"/>
      <c r="N310" s="307"/>
    </row>
    <row r="311" spans="5:14" x14ac:dyDescent="0.2">
      <c r="J311" s="307"/>
      <c r="N311" s="307"/>
    </row>
    <row r="312" spans="5:14" x14ac:dyDescent="0.2">
      <c r="J312" s="307"/>
      <c r="N312" s="307"/>
    </row>
    <row r="313" spans="5:14" x14ac:dyDescent="0.2">
      <c r="J313" s="307"/>
      <c r="N313" s="307"/>
    </row>
    <row r="314" spans="5:14" x14ac:dyDescent="0.2">
      <c r="J314" s="307"/>
      <c r="N314" s="307"/>
    </row>
    <row r="315" spans="5:14" x14ac:dyDescent="0.2">
      <c r="J315" s="307"/>
      <c r="N315" s="307"/>
    </row>
    <row r="316" spans="5:14" x14ac:dyDescent="0.2">
      <c r="J316" s="307"/>
      <c r="N316" s="307"/>
    </row>
    <row r="317" spans="5:14" x14ac:dyDescent="0.2">
      <c r="J317" s="307"/>
      <c r="N317" s="307"/>
    </row>
    <row r="318" spans="5:14" x14ac:dyDescent="0.2">
      <c r="J318" s="307"/>
      <c r="N318" s="307"/>
    </row>
    <row r="319" spans="5:14" x14ac:dyDescent="0.2">
      <c r="J319" s="307"/>
      <c r="N319" s="307"/>
    </row>
    <row r="320" spans="5:14" x14ac:dyDescent="0.2">
      <c r="J320" s="307"/>
      <c r="N320" s="307"/>
    </row>
    <row r="321" spans="10:14" x14ac:dyDescent="0.2">
      <c r="J321" s="307"/>
      <c r="N321" s="307"/>
    </row>
    <row r="322" spans="10:14" x14ac:dyDescent="0.2">
      <c r="J322" s="307"/>
      <c r="N322" s="307"/>
    </row>
    <row r="323" spans="10:14" x14ac:dyDescent="0.2">
      <c r="J323" s="307"/>
      <c r="N323" s="307"/>
    </row>
    <row r="324" spans="10:14" x14ac:dyDescent="0.2">
      <c r="J324" s="307"/>
      <c r="N324" s="307"/>
    </row>
    <row r="325" spans="10:14" x14ac:dyDescent="0.2">
      <c r="J325" s="307"/>
      <c r="N325" s="307"/>
    </row>
    <row r="326" spans="10:14" x14ac:dyDescent="0.2">
      <c r="J326" s="307"/>
      <c r="N326" s="307"/>
    </row>
    <row r="327" spans="10:14" x14ac:dyDescent="0.2">
      <c r="J327" s="307"/>
      <c r="N327" s="307"/>
    </row>
    <row r="328" spans="10:14" x14ac:dyDescent="0.2">
      <c r="J328" s="307"/>
      <c r="N328" s="307"/>
    </row>
    <row r="329" spans="10:14" x14ac:dyDescent="0.2">
      <c r="J329" s="307"/>
      <c r="N329" s="307"/>
    </row>
    <row r="330" spans="10:14" x14ac:dyDescent="0.2">
      <c r="J330" s="307"/>
      <c r="N330" s="307"/>
    </row>
    <row r="331" spans="10:14" x14ac:dyDescent="0.2">
      <c r="J331" s="307"/>
      <c r="N331" s="307"/>
    </row>
    <row r="332" spans="10:14" x14ac:dyDescent="0.2">
      <c r="J332" s="307"/>
      <c r="N332" s="307"/>
    </row>
    <row r="333" spans="10:14" x14ac:dyDescent="0.2">
      <c r="J333" s="307"/>
      <c r="N333" s="307"/>
    </row>
    <row r="334" spans="10:14" x14ac:dyDescent="0.2">
      <c r="J334" s="307"/>
      <c r="N334" s="307"/>
    </row>
    <row r="335" spans="10:14" x14ac:dyDescent="0.2">
      <c r="J335" s="307"/>
      <c r="N335" s="307"/>
    </row>
    <row r="336" spans="10:14" x14ac:dyDescent="0.2">
      <c r="J336" s="307"/>
      <c r="N336" s="307"/>
    </row>
    <row r="337" spans="10:14" x14ac:dyDescent="0.2">
      <c r="J337" s="307"/>
      <c r="N337" s="307"/>
    </row>
    <row r="338" spans="10:14" x14ac:dyDescent="0.2">
      <c r="J338" s="307"/>
      <c r="N338" s="307"/>
    </row>
    <row r="339" spans="10:14" x14ac:dyDescent="0.2">
      <c r="J339" s="307"/>
      <c r="N339" s="307"/>
    </row>
    <row r="340" spans="10:14" x14ac:dyDescent="0.2">
      <c r="J340" s="307"/>
      <c r="N340" s="307"/>
    </row>
    <row r="341" spans="10:14" x14ac:dyDescent="0.2">
      <c r="J341" s="307"/>
      <c r="N341" s="307"/>
    </row>
    <row r="342" spans="10:14" x14ac:dyDescent="0.2">
      <c r="J342" s="307"/>
      <c r="N342" s="307"/>
    </row>
    <row r="343" spans="10:14" x14ac:dyDescent="0.2">
      <c r="J343" s="307"/>
      <c r="N343" s="307"/>
    </row>
    <row r="344" spans="10:14" x14ac:dyDescent="0.2">
      <c r="J344" s="307"/>
      <c r="N344" s="307"/>
    </row>
    <row r="345" spans="10:14" x14ac:dyDescent="0.2">
      <c r="J345" s="307"/>
      <c r="N345" s="307"/>
    </row>
    <row r="346" spans="10:14" x14ac:dyDescent="0.2">
      <c r="J346" s="307"/>
      <c r="N346" s="307"/>
    </row>
    <row r="347" spans="10:14" x14ac:dyDescent="0.2">
      <c r="J347" s="307"/>
      <c r="N347" s="307"/>
    </row>
    <row r="348" spans="10:14" x14ac:dyDescent="0.2">
      <c r="J348" s="307"/>
      <c r="N348" s="307"/>
    </row>
    <row r="349" spans="10:14" x14ac:dyDescent="0.2">
      <c r="J349" s="307"/>
      <c r="N349" s="307"/>
    </row>
    <row r="350" spans="10:14" x14ac:dyDescent="0.2">
      <c r="J350" s="307"/>
      <c r="N350" s="307"/>
    </row>
    <row r="351" spans="10:14" x14ac:dyDescent="0.2">
      <c r="J351" s="307"/>
      <c r="N351" s="307"/>
    </row>
    <row r="352" spans="10:14" x14ac:dyDescent="0.2">
      <c r="J352" s="307"/>
      <c r="N352" s="307"/>
    </row>
    <row r="353" spans="10:14" x14ac:dyDescent="0.2">
      <c r="J353" s="307"/>
      <c r="N353" s="307"/>
    </row>
    <row r="354" spans="10:14" x14ac:dyDescent="0.2">
      <c r="J354" s="307"/>
      <c r="N354" s="307"/>
    </row>
    <row r="355" spans="10:14" x14ac:dyDescent="0.2">
      <c r="J355" s="307"/>
      <c r="N355" s="307"/>
    </row>
    <row r="356" spans="10:14" x14ac:dyDescent="0.2">
      <c r="J356" s="307"/>
      <c r="N356" s="307"/>
    </row>
    <row r="357" spans="10:14" x14ac:dyDescent="0.2">
      <c r="J357" s="307"/>
      <c r="N357" s="307"/>
    </row>
    <row r="358" spans="10:14" x14ac:dyDescent="0.2">
      <c r="J358" s="307"/>
      <c r="N358" s="307"/>
    </row>
    <row r="359" spans="10:14" x14ac:dyDescent="0.2">
      <c r="J359" s="307"/>
      <c r="N359" s="307"/>
    </row>
    <row r="360" spans="10:14" x14ac:dyDescent="0.2">
      <c r="J360" s="307"/>
      <c r="N360" s="307"/>
    </row>
    <row r="361" spans="10:14" x14ac:dyDescent="0.2">
      <c r="J361" s="307"/>
      <c r="N361" s="307"/>
    </row>
    <row r="362" spans="10:14" x14ac:dyDescent="0.2">
      <c r="J362" s="307"/>
      <c r="N362" s="307"/>
    </row>
    <row r="363" spans="10:14" x14ac:dyDescent="0.2">
      <c r="J363" s="307"/>
      <c r="N363" s="307"/>
    </row>
    <row r="364" spans="10:14" x14ac:dyDescent="0.2">
      <c r="J364" s="307"/>
      <c r="N364" s="307"/>
    </row>
    <row r="365" spans="10:14" x14ac:dyDescent="0.2">
      <c r="J365" s="307"/>
      <c r="N365" s="307"/>
    </row>
    <row r="366" spans="10:14" x14ac:dyDescent="0.2">
      <c r="J366" s="307"/>
      <c r="N366" s="307"/>
    </row>
    <row r="367" spans="10:14" x14ac:dyDescent="0.2">
      <c r="J367" s="307"/>
      <c r="N367" s="307"/>
    </row>
    <row r="368" spans="10:14" x14ac:dyDescent="0.2">
      <c r="J368" s="307"/>
      <c r="N368" s="307"/>
    </row>
    <row r="369" spans="10:14" x14ac:dyDescent="0.2">
      <c r="J369" s="307"/>
      <c r="N369" s="307"/>
    </row>
    <row r="370" spans="10:14" x14ac:dyDescent="0.2">
      <c r="J370" s="307"/>
      <c r="N370" s="307"/>
    </row>
    <row r="371" spans="10:14" x14ac:dyDescent="0.2">
      <c r="J371" s="307"/>
      <c r="N371" s="307"/>
    </row>
    <row r="372" spans="10:14" x14ac:dyDescent="0.2">
      <c r="J372" s="307"/>
      <c r="N372" s="307"/>
    </row>
    <row r="373" spans="10:14" x14ac:dyDescent="0.2">
      <c r="J373" s="307"/>
      <c r="N373" s="307"/>
    </row>
    <row r="374" spans="10:14" x14ac:dyDescent="0.2">
      <c r="J374" s="307"/>
      <c r="N374" s="307"/>
    </row>
    <row r="375" spans="10:14" x14ac:dyDescent="0.2">
      <c r="J375" s="307"/>
      <c r="N375" s="307"/>
    </row>
    <row r="376" spans="10:14" x14ac:dyDescent="0.2">
      <c r="J376" s="307"/>
      <c r="N376" s="307"/>
    </row>
    <row r="377" spans="10:14" x14ac:dyDescent="0.2">
      <c r="J377" s="307"/>
      <c r="N377" s="307"/>
    </row>
    <row r="378" spans="10:14" x14ac:dyDescent="0.2">
      <c r="J378" s="307"/>
      <c r="N378" s="307"/>
    </row>
    <row r="379" spans="10:14" x14ac:dyDescent="0.2">
      <c r="J379" s="307"/>
      <c r="N379" s="307"/>
    </row>
    <row r="380" spans="10:14" x14ac:dyDescent="0.2">
      <c r="J380" s="307"/>
      <c r="N380" s="307"/>
    </row>
    <row r="381" spans="10:14" x14ac:dyDescent="0.2">
      <c r="J381" s="307"/>
      <c r="N381" s="307"/>
    </row>
    <row r="382" spans="10:14" x14ac:dyDescent="0.2">
      <c r="J382" s="307"/>
      <c r="N382" s="307"/>
    </row>
    <row r="383" spans="10:14" x14ac:dyDescent="0.2">
      <c r="J383" s="307"/>
      <c r="N383" s="307"/>
    </row>
    <row r="384" spans="10:14" x14ac:dyDescent="0.2">
      <c r="J384" s="307"/>
      <c r="N384" s="307"/>
    </row>
    <row r="385" spans="10:14" x14ac:dyDescent="0.2">
      <c r="J385" s="307"/>
      <c r="N385" s="307"/>
    </row>
    <row r="386" spans="10:14" x14ac:dyDescent="0.2">
      <c r="J386" s="307"/>
      <c r="N386" s="307"/>
    </row>
    <row r="387" spans="10:14" x14ac:dyDescent="0.2">
      <c r="J387" s="307"/>
      <c r="N387" s="307"/>
    </row>
    <row r="388" spans="10:14" x14ac:dyDescent="0.2">
      <c r="J388" s="307"/>
      <c r="N388" s="307"/>
    </row>
    <row r="389" spans="10:14" x14ac:dyDescent="0.2">
      <c r="J389" s="307"/>
      <c r="N389" s="307"/>
    </row>
    <row r="390" spans="10:14" x14ac:dyDescent="0.2">
      <c r="J390" s="307"/>
      <c r="N390" s="307"/>
    </row>
    <row r="391" spans="10:14" x14ac:dyDescent="0.2">
      <c r="J391" s="307"/>
      <c r="N391" s="307"/>
    </row>
    <row r="392" spans="10:14" x14ac:dyDescent="0.2">
      <c r="J392" s="307"/>
      <c r="N392" s="307"/>
    </row>
    <row r="393" spans="10:14" x14ac:dyDescent="0.2">
      <c r="J393" s="307"/>
      <c r="N393" s="307"/>
    </row>
    <row r="394" spans="10:14" x14ac:dyDescent="0.2">
      <c r="J394" s="307"/>
      <c r="N394" s="307"/>
    </row>
    <row r="395" spans="10:14" x14ac:dyDescent="0.2">
      <c r="J395" s="307"/>
      <c r="N395" s="307"/>
    </row>
    <row r="396" spans="10:14" x14ac:dyDescent="0.2">
      <c r="J396" s="307"/>
      <c r="N396" s="307"/>
    </row>
    <row r="397" spans="10:14" x14ac:dyDescent="0.2">
      <c r="J397" s="307"/>
      <c r="N397" s="307"/>
    </row>
    <row r="398" spans="10:14" x14ac:dyDescent="0.2">
      <c r="J398" s="307"/>
      <c r="N398" s="307"/>
    </row>
    <row r="399" spans="10:14" x14ac:dyDescent="0.2">
      <c r="J399" s="307"/>
      <c r="N399" s="307"/>
    </row>
    <row r="400" spans="10:14" x14ac:dyDescent="0.2">
      <c r="J400" s="307"/>
      <c r="N400" s="307"/>
    </row>
    <row r="401" spans="10:14" x14ac:dyDescent="0.2">
      <c r="J401" s="307"/>
      <c r="N401" s="307"/>
    </row>
    <row r="402" spans="10:14" x14ac:dyDescent="0.2">
      <c r="J402" s="307"/>
      <c r="N402" s="307"/>
    </row>
    <row r="403" spans="10:14" x14ac:dyDescent="0.2">
      <c r="J403" s="307"/>
      <c r="N403" s="307"/>
    </row>
    <row r="404" spans="10:14" x14ac:dyDescent="0.2">
      <c r="J404" s="307"/>
      <c r="N404" s="307"/>
    </row>
    <row r="405" spans="10:14" x14ac:dyDescent="0.2">
      <c r="J405" s="307"/>
      <c r="N405" s="307"/>
    </row>
    <row r="406" spans="10:14" x14ac:dyDescent="0.2">
      <c r="J406" s="307"/>
      <c r="N406" s="307"/>
    </row>
    <row r="407" spans="10:14" x14ac:dyDescent="0.2">
      <c r="J407" s="307"/>
      <c r="N407" s="307"/>
    </row>
    <row r="408" spans="10:14" x14ac:dyDescent="0.2">
      <c r="J408" s="307"/>
      <c r="N408" s="307"/>
    </row>
    <row r="409" spans="10:14" x14ac:dyDescent="0.2">
      <c r="J409" s="307"/>
      <c r="N409" s="307"/>
    </row>
    <row r="410" spans="10:14" x14ac:dyDescent="0.2">
      <c r="J410" s="307"/>
      <c r="N410" s="307"/>
    </row>
    <row r="411" spans="10:14" x14ac:dyDescent="0.2">
      <c r="J411" s="307"/>
      <c r="N411" s="307"/>
    </row>
    <row r="412" spans="10:14" x14ac:dyDescent="0.2">
      <c r="J412" s="307"/>
      <c r="N412" s="307"/>
    </row>
    <row r="413" spans="10:14" x14ac:dyDescent="0.2">
      <c r="J413" s="307"/>
      <c r="N413" s="307"/>
    </row>
    <row r="414" spans="10:14" x14ac:dyDescent="0.2">
      <c r="J414" s="307"/>
      <c r="N414" s="307"/>
    </row>
    <row r="415" spans="10:14" x14ac:dyDescent="0.2">
      <c r="J415" s="307"/>
      <c r="N415" s="307"/>
    </row>
    <row r="416" spans="10:14" x14ac:dyDescent="0.2">
      <c r="J416" s="307"/>
      <c r="N416" s="307"/>
    </row>
    <row r="417" spans="10:14" x14ac:dyDescent="0.2">
      <c r="J417" s="307"/>
      <c r="N417" s="307"/>
    </row>
    <row r="418" spans="10:14" x14ac:dyDescent="0.2">
      <c r="J418" s="307"/>
      <c r="N418" s="307"/>
    </row>
    <row r="419" spans="10:14" x14ac:dyDescent="0.2">
      <c r="J419" s="307"/>
      <c r="N419" s="307"/>
    </row>
    <row r="420" spans="10:14" x14ac:dyDescent="0.2">
      <c r="J420" s="307"/>
      <c r="N420" s="307"/>
    </row>
    <row r="421" spans="10:14" x14ac:dyDescent="0.2">
      <c r="J421" s="307"/>
      <c r="N421" s="307"/>
    </row>
    <row r="422" spans="10:14" x14ac:dyDescent="0.2">
      <c r="J422" s="307"/>
      <c r="N422" s="307"/>
    </row>
    <row r="423" spans="10:14" x14ac:dyDescent="0.2">
      <c r="J423" s="307"/>
      <c r="N423" s="307"/>
    </row>
    <row r="424" spans="10:14" x14ac:dyDescent="0.2">
      <c r="J424" s="307"/>
      <c r="N424" s="307"/>
    </row>
    <row r="425" spans="10:14" x14ac:dyDescent="0.2">
      <c r="J425" s="307"/>
      <c r="N425" s="307"/>
    </row>
    <row r="426" spans="10:14" x14ac:dyDescent="0.2">
      <c r="J426" s="307"/>
      <c r="N426" s="307"/>
    </row>
    <row r="427" spans="10:14" x14ac:dyDescent="0.2">
      <c r="J427" s="307"/>
      <c r="N427" s="307"/>
    </row>
    <row r="428" spans="10:14" x14ac:dyDescent="0.2">
      <c r="J428" s="307"/>
      <c r="N428" s="307"/>
    </row>
    <row r="429" spans="10:14" x14ac:dyDescent="0.2">
      <c r="J429" s="307"/>
      <c r="N429" s="307"/>
    </row>
    <row r="430" spans="10:14" x14ac:dyDescent="0.2">
      <c r="J430" s="307"/>
      <c r="N430" s="307"/>
    </row>
    <row r="431" spans="10:14" x14ac:dyDescent="0.2">
      <c r="J431" s="307"/>
      <c r="N431" s="307"/>
    </row>
    <row r="432" spans="10:14" x14ac:dyDescent="0.2">
      <c r="J432" s="307"/>
      <c r="N432" s="307"/>
    </row>
    <row r="433" spans="10:14" x14ac:dyDescent="0.2">
      <c r="J433" s="307"/>
      <c r="N433" s="307"/>
    </row>
    <row r="434" spans="10:14" x14ac:dyDescent="0.2">
      <c r="J434" s="307"/>
      <c r="N434" s="307"/>
    </row>
    <row r="435" spans="10:14" x14ac:dyDescent="0.2">
      <c r="J435" s="307"/>
      <c r="N435" s="307"/>
    </row>
    <row r="436" spans="10:14" x14ac:dyDescent="0.2">
      <c r="J436" s="307"/>
      <c r="N436" s="307"/>
    </row>
    <row r="437" spans="10:14" x14ac:dyDescent="0.2">
      <c r="J437" s="307"/>
      <c r="N437" s="307"/>
    </row>
    <row r="438" spans="10:14" x14ac:dyDescent="0.2">
      <c r="J438" s="307"/>
      <c r="N438" s="307"/>
    </row>
    <row r="439" spans="10:14" x14ac:dyDescent="0.2">
      <c r="J439" s="307"/>
      <c r="N439" s="307"/>
    </row>
    <row r="440" spans="10:14" x14ac:dyDescent="0.2">
      <c r="J440" s="307"/>
      <c r="N440" s="307"/>
    </row>
    <row r="441" spans="10:14" x14ac:dyDescent="0.2">
      <c r="J441" s="307"/>
      <c r="N441" s="307"/>
    </row>
    <row r="442" spans="10:14" x14ac:dyDescent="0.2">
      <c r="J442" s="307"/>
      <c r="N442" s="307"/>
    </row>
    <row r="443" spans="10:14" x14ac:dyDescent="0.2">
      <c r="J443" s="307"/>
      <c r="N443" s="307"/>
    </row>
    <row r="444" spans="10:14" x14ac:dyDescent="0.2">
      <c r="J444" s="307"/>
      <c r="N444" s="307"/>
    </row>
    <row r="445" spans="10:14" x14ac:dyDescent="0.2">
      <c r="J445" s="307"/>
      <c r="N445" s="307"/>
    </row>
    <row r="446" spans="10:14" x14ac:dyDescent="0.2">
      <c r="J446" s="307"/>
      <c r="N446" s="307"/>
    </row>
    <row r="447" spans="10:14" x14ac:dyDescent="0.2">
      <c r="J447" s="307"/>
      <c r="N447" s="307"/>
    </row>
    <row r="448" spans="10:14" x14ac:dyDescent="0.2">
      <c r="J448" s="307"/>
      <c r="N448" s="307"/>
    </row>
    <row r="449" spans="10:14" x14ac:dyDescent="0.2">
      <c r="J449" s="307"/>
      <c r="N449" s="307"/>
    </row>
    <row r="450" spans="10:14" x14ac:dyDescent="0.2">
      <c r="J450" s="307"/>
      <c r="N450" s="307"/>
    </row>
    <row r="451" spans="10:14" x14ac:dyDescent="0.2">
      <c r="J451" s="307"/>
      <c r="N451" s="307"/>
    </row>
    <row r="452" spans="10:14" x14ac:dyDescent="0.2">
      <c r="J452" s="307"/>
      <c r="N452" s="307"/>
    </row>
    <row r="453" spans="10:14" x14ac:dyDescent="0.2">
      <c r="J453" s="307"/>
      <c r="N453" s="307"/>
    </row>
    <row r="454" spans="10:14" x14ac:dyDescent="0.2">
      <c r="J454" s="307"/>
      <c r="N454" s="307"/>
    </row>
    <row r="455" spans="10:14" x14ac:dyDescent="0.2">
      <c r="J455" s="307"/>
      <c r="N455" s="307"/>
    </row>
    <row r="456" spans="10:14" x14ac:dyDescent="0.2">
      <c r="J456" s="307"/>
      <c r="N456" s="307"/>
    </row>
    <row r="457" spans="10:14" x14ac:dyDescent="0.2">
      <c r="J457" s="307"/>
      <c r="N457" s="307"/>
    </row>
    <row r="458" spans="10:14" x14ac:dyDescent="0.2">
      <c r="J458" s="307"/>
      <c r="N458" s="307"/>
    </row>
    <row r="459" spans="10:14" x14ac:dyDescent="0.2">
      <c r="J459" s="307"/>
      <c r="N459" s="307"/>
    </row>
    <row r="460" spans="10:14" x14ac:dyDescent="0.2">
      <c r="J460" s="307"/>
      <c r="N460" s="307"/>
    </row>
    <row r="461" spans="10:14" x14ac:dyDescent="0.2">
      <c r="J461" s="307"/>
      <c r="N461" s="307"/>
    </row>
    <row r="462" spans="10:14" x14ac:dyDescent="0.2">
      <c r="J462" s="307"/>
      <c r="N462" s="307"/>
    </row>
    <row r="463" spans="10:14" x14ac:dyDescent="0.2">
      <c r="J463" s="307"/>
      <c r="N463" s="307"/>
    </row>
    <row r="464" spans="10:14" x14ac:dyDescent="0.2">
      <c r="J464" s="307"/>
      <c r="N464" s="307"/>
    </row>
    <row r="465" spans="10:14" x14ac:dyDescent="0.2">
      <c r="J465" s="307"/>
      <c r="N465" s="307"/>
    </row>
    <row r="466" spans="10:14" x14ac:dyDescent="0.2">
      <c r="J466" s="307"/>
      <c r="N466" s="307"/>
    </row>
    <row r="467" spans="10:14" x14ac:dyDescent="0.2">
      <c r="J467" s="307"/>
      <c r="N467" s="307"/>
    </row>
    <row r="468" spans="10:14" x14ac:dyDescent="0.2">
      <c r="J468" s="307"/>
      <c r="N468" s="307"/>
    </row>
    <row r="469" spans="10:14" x14ac:dyDescent="0.2">
      <c r="J469" s="307"/>
      <c r="N469" s="307"/>
    </row>
    <row r="470" spans="10:14" x14ac:dyDescent="0.2">
      <c r="J470" s="307"/>
      <c r="N470" s="307"/>
    </row>
    <row r="471" spans="10:14" x14ac:dyDescent="0.2">
      <c r="J471" s="307"/>
      <c r="N471" s="307"/>
    </row>
    <row r="472" spans="10:14" x14ac:dyDescent="0.2">
      <c r="J472" s="307"/>
      <c r="N472" s="307"/>
    </row>
    <row r="473" spans="10:14" x14ac:dyDescent="0.2">
      <c r="J473" s="307"/>
      <c r="N473" s="307"/>
    </row>
    <row r="474" spans="10:14" x14ac:dyDescent="0.2">
      <c r="J474" s="307"/>
      <c r="N474" s="307"/>
    </row>
    <row r="475" spans="10:14" x14ac:dyDescent="0.2">
      <c r="J475" s="307"/>
      <c r="N475" s="307"/>
    </row>
    <row r="476" spans="10:14" x14ac:dyDescent="0.2">
      <c r="J476" s="307"/>
      <c r="N476" s="307"/>
    </row>
    <row r="477" spans="10:14" x14ac:dyDescent="0.2">
      <c r="J477" s="307"/>
      <c r="N477" s="307"/>
    </row>
    <row r="478" spans="10:14" x14ac:dyDescent="0.2">
      <c r="J478" s="307"/>
      <c r="N478" s="307"/>
    </row>
    <row r="479" spans="10:14" x14ac:dyDescent="0.2">
      <c r="J479" s="307"/>
      <c r="N479" s="307"/>
    </row>
    <row r="480" spans="10:14" x14ac:dyDescent="0.2">
      <c r="J480" s="307"/>
      <c r="N480" s="307"/>
    </row>
    <row r="481" spans="10:14" x14ac:dyDescent="0.2">
      <c r="J481" s="307"/>
      <c r="N481" s="307"/>
    </row>
    <row r="482" spans="10:14" x14ac:dyDescent="0.2">
      <c r="J482" s="307"/>
      <c r="N482" s="307"/>
    </row>
    <row r="483" spans="10:14" x14ac:dyDescent="0.2">
      <c r="J483" s="307"/>
      <c r="N483" s="307"/>
    </row>
    <row r="484" spans="10:14" x14ac:dyDescent="0.2">
      <c r="J484" s="307"/>
      <c r="N484" s="307"/>
    </row>
    <row r="485" spans="10:14" x14ac:dyDescent="0.2">
      <c r="J485" s="307"/>
      <c r="N485" s="307"/>
    </row>
    <row r="486" spans="10:14" x14ac:dyDescent="0.2">
      <c r="J486" s="307"/>
      <c r="N486" s="307"/>
    </row>
    <row r="487" spans="10:14" x14ac:dyDescent="0.2">
      <c r="J487" s="307"/>
      <c r="N487" s="307"/>
    </row>
    <row r="488" spans="10:14" x14ac:dyDescent="0.2">
      <c r="J488" s="307"/>
      <c r="N488" s="307"/>
    </row>
    <row r="489" spans="10:14" x14ac:dyDescent="0.2">
      <c r="J489" s="307"/>
      <c r="N489" s="307"/>
    </row>
    <row r="490" spans="10:14" x14ac:dyDescent="0.2">
      <c r="J490" s="307"/>
      <c r="N490" s="307"/>
    </row>
    <row r="491" spans="10:14" x14ac:dyDescent="0.2">
      <c r="J491" s="307"/>
      <c r="N491" s="307"/>
    </row>
    <row r="492" spans="10:14" x14ac:dyDescent="0.2">
      <c r="J492" s="307"/>
      <c r="N492" s="307"/>
    </row>
    <row r="493" spans="10:14" x14ac:dyDescent="0.2">
      <c r="J493" s="307"/>
      <c r="N493" s="307"/>
    </row>
    <row r="494" spans="10:14" x14ac:dyDescent="0.2">
      <c r="J494" s="307"/>
      <c r="N494" s="307"/>
    </row>
    <row r="495" spans="10:14" x14ac:dyDescent="0.2">
      <c r="J495" s="307"/>
      <c r="N495" s="307"/>
    </row>
    <row r="496" spans="10:14" x14ac:dyDescent="0.2">
      <c r="J496" s="307"/>
      <c r="N496" s="307"/>
    </row>
    <row r="497" spans="10:14" x14ac:dyDescent="0.2">
      <c r="J497" s="307"/>
      <c r="N497" s="307"/>
    </row>
    <row r="498" spans="10:14" x14ac:dyDescent="0.2">
      <c r="J498" s="307"/>
      <c r="N498" s="307"/>
    </row>
    <row r="499" spans="10:14" x14ac:dyDescent="0.2">
      <c r="J499" s="307"/>
      <c r="N499" s="307"/>
    </row>
    <row r="500" spans="10:14" x14ac:dyDescent="0.2">
      <c r="J500" s="307"/>
      <c r="N500" s="307"/>
    </row>
    <row r="501" spans="10:14" x14ac:dyDescent="0.2">
      <c r="J501" s="307"/>
      <c r="N501" s="307"/>
    </row>
    <row r="502" spans="10:14" x14ac:dyDescent="0.2">
      <c r="J502" s="307"/>
      <c r="N502" s="307"/>
    </row>
    <row r="503" spans="10:14" x14ac:dyDescent="0.2">
      <c r="J503" s="307"/>
      <c r="N503" s="307"/>
    </row>
    <row r="504" spans="10:14" x14ac:dyDescent="0.2">
      <c r="J504" s="307"/>
      <c r="N504" s="307"/>
    </row>
    <row r="505" spans="10:14" x14ac:dyDescent="0.2">
      <c r="J505" s="307"/>
      <c r="N505" s="307"/>
    </row>
    <row r="506" spans="10:14" x14ac:dyDescent="0.2">
      <c r="J506" s="307"/>
      <c r="N506" s="307"/>
    </row>
    <row r="507" spans="10:14" x14ac:dyDescent="0.2">
      <c r="J507" s="307"/>
      <c r="N507" s="307"/>
    </row>
    <row r="508" spans="10:14" x14ac:dyDescent="0.2">
      <c r="J508" s="307"/>
      <c r="N508" s="307"/>
    </row>
    <row r="509" spans="10:14" x14ac:dyDescent="0.2">
      <c r="J509" s="307"/>
      <c r="N509" s="307"/>
    </row>
    <row r="510" spans="10:14" x14ac:dyDescent="0.2">
      <c r="J510" s="307"/>
      <c r="N510" s="307"/>
    </row>
    <row r="511" spans="10:14" x14ac:dyDescent="0.2">
      <c r="J511" s="307"/>
      <c r="N511" s="307"/>
    </row>
    <row r="512" spans="10:14" x14ac:dyDescent="0.2">
      <c r="J512" s="307"/>
      <c r="N512" s="307"/>
    </row>
    <row r="513" spans="10:14" x14ac:dyDescent="0.2">
      <c r="J513" s="307"/>
      <c r="N513" s="307"/>
    </row>
    <row r="514" spans="10:14" x14ac:dyDescent="0.2">
      <c r="J514" s="307"/>
      <c r="N514" s="307"/>
    </row>
    <row r="515" spans="10:14" x14ac:dyDescent="0.2">
      <c r="J515" s="307"/>
      <c r="N515" s="307"/>
    </row>
    <row r="516" spans="10:14" x14ac:dyDescent="0.2">
      <c r="J516" s="307"/>
      <c r="N516" s="307"/>
    </row>
    <row r="517" spans="10:14" x14ac:dyDescent="0.2">
      <c r="J517" s="307"/>
      <c r="N517" s="307"/>
    </row>
    <row r="518" spans="10:14" x14ac:dyDescent="0.2">
      <c r="J518" s="307"/>
      <c r="N518" s="307"/>
    </row>
    <row r="519" spans="10:14" x14ac:dyDescent="0.2">
      <c r="J519" s="307"/>
      <c r="N519" s="307"/>
    </row>
    <row r="520" spans="10:14" x14ac:dyDescent="0.2">
      <c r="J520" s="307"/>
      <c r="N520" s="307"/>
    </row>
    <row r="521" spans="10:14" x14ac:dyDescent="0.2">
      <c r="J521" s="307"/>
      <c r="N521" s="307"/>
    </row>
    <row r="522" spans="10:14" x14ac:dyDescent="0.2">
      <c r="J522" s="307"/>
      <c r="N522" s="307"/>
    </row>
    <row r="523" spans="10:14" x14ac:dyDescent="0.2">
      <c r="J523" s="307"/>
      <c r="N523" s="307"/>
    </row>
    <row r="524" spans="10:14" x14ac:dyDescent="0.2">
      <c r="J524" s="307"/>
      <c r="N524" s="307"/>
    </row>
    <row r="525" spans="10:14" x14ac:dyDescent="0.2">
      <c r="J525" s="307"/>
      <c r="N525" s="307"/>
    </row>
    <row r="526" spans="10:14" x14ac:dyDescent="0.2">
      <c r="J526" s="307"/>
      <c r="N526" s="307"/>
    </row>
    <row r="527" spans="10:14" x14ac:dyDescent="0.2">
      <c r="J527" s="307"/>
      <c r="N527" s="307"/>
    </row>
    <row r="528" spans="10:14" x14ac:dyDescent="0.2">
      <c r="J528" s="307"/>
      <c r="N528" s="307"/>
    </row>
    <row r="529" spans="10:14" x14ac:dyDescent="0.2">
      <c r="J529" s="307"/>
      <c r="N529" s="307"/>
    </row>
    <row r="530" spans="10:14" x14ac:dyDescent="0.2">
      <c r="J530" s="307"/>
      <c r="N530" s="307"/>
    </row>
    <row r="531" spans="10:14" x14ac:dyDescent="0.2">
      <c r="J531" s="307"/>
      <c r="N531" s="307"/>
    </row>
    <row r="532" spans="10:14" x14ac:dyDescent="0.2">
      <c r="J532" s="307"/>
      <c r="N532" s="307"/>
    </row>
    <row r="533" spans="10:14" x14ac:dyDescent="0.2">
      <c r="J533" s="307"/>
      <c r="N533" s="307"/>
    </row>
    <row r="534" spans="10:14" x14ac:dyDescent="0.2">
      <c r="J534" s="307"/>
      <c r="N534" s="307"/>
    </row>
    <row r="535" spans="10:14" x14ac:dyDescent="0.2">
      <c r="J535" s="307"/>
      <c r="N535" s="307"/>
    </row>
    <row r="536" spans="10:14" x14ac:dyDescent="0.2">
      <c r="J536" s="307"/>
      <c r="N536" s="307"/>
    </row>
    <row r="537" spans="10:14" x14ac:dyDescent="0.2">
      <c r="J537" s="307"/>
      <c r="N537" s="307"/>
    </row>
    <row r="538" spans="10:14" x14ac:dyDescent="0.2">
      <c r="J538" s="307"/>
      <c r="N538" s="307"/>
    </row>
    <row r="539" spans="10:14" x14ac:dyDescent="0.2">
      <c r="J539" s="307"/>
      <c r="N539" s="307"/>
    </row>
    <row r="540" spans="10:14" x14ac:dyDescent="0.2">
      <c r="J540" s="307"/>
      <c r="N540" s="307"/>
    </row>
    <row r="541" spans="10:14" x14ac:dyDescent="0.2">
      <c r="J541" s="307"/>
      <c r="N541" s="307"/>
    </row>
    <row r="542" spans="10:14" x14ac:dyDescent="0.2">
      <c r="J542" s="307"/>
      <c r="N542" s="307"/>
    </row>
    <row r="543" spans="10:14" x14ac:dyDescent="0.2">
      <c r="J543" s="307"/>
      <c r="N543" s="307"/>
    </row>
    <row r="544" spans="10:14" x14ac:dyDescent="0.2">
      <c r="J544" s="307"/>
      <c r="N544" s="307"/>
    </row>
    <row r="545" spans="10:14" x14ac:dyDescent="0.2">
      <c r="J545" s="307"/>
      <c r="N545" s="307"/>
    </row>
    <row r="546" spans="10:14" x14ac:dyDescent="0.2">
      <c r="J546" s="307"/>
      <c r="N546" s="307"/>
    </row>
    <row r="547" spans="10:14" x14ac:dyDescent="0.2">
      <c r="J547" s="307"/>
      <c r="N547" s="307"/>
    </row>
    <row r="548" spans="10:14" x14ac:dyDescent="0.2">
      <c r="J548" s="307"/>
      <c r="N548" s="307"/>
    </row>
    <row r="549" spans="10:14" x14ac:dyDescent="0.2">
      <c r="J549" s="307"/>
      <c r="N549" s="307"/>
    </row>
    <row r="550" spans="10:14" x14ac:dyDescent="0.2">
      <c r="J550" s="307"/>
      <c r="N550" s="307"/>
    </row>
    <row r="551" spans="10:14" x14ac:dyDescent="0.2">
      <c r="J551" s="307"/>
      <c r="N551" s="307"/>
    </row>
    <row r="552" spans="10:14" x14ac:dyDescent="0.2">
      <c r="J552" s="307"/>
      <c r="N552" s="307"/>
    </row>
    <row r="553" spans="10:14" x14ac:dyDescent="0.2">
      <c r="J553" s="307"/>
      <c r="N553" s="307"/>
    </row>
    <row r="554" spans="10:14" x14ac:dyDescent="0.2">
      <c r="J554" s="307"/>
      <c r="N554" s="307"/>
    </row>
    <row r="555" spans="10:14" x14ac:dyDescent="0.2">
      <c r="J555" s="307"/>
      <c r="N555" s="307"/>
    </row>
    <row r="556" spans="10:14" x14ac:dyDescent="0.2">
      <c r="J556" s="307"/>
      <c r="N556" s="307"/>
    </row>
    <row r="557" spans="10:14" x14ac:dyDescent="0.2">
      <c r="J557" s="307"/>
      <c r="N557" s="307"/>
    </row>
    <row r="558" spans="10:14" x14ac:dyDescent="0.2">
      <c r="J558" s="307"/>
      <c r="N558" s="307"/>
    </row>
    <row r="559" spans="10:14" x14ac:dyDescent="0.2">
      <c r="J559" s="307"/>
      <c r="N559" s="307"/>
    </row>
    <row r="560" spans="10:14" x14ac:dyDescent="0.2">
      <c r="J560" s="307"/>
      <c r="N560" s="307"/>
    </row>
    <row r="561" spans="10:14" x14ac:dyDescent="0.2">
      <c r="J561" s="307"/>
      <c r="N561" s="307"/>
    </row>
    <row r="562" spans="10:14" x14ac:dyDescent="0.2">
      <c r="J562" s="307"/>
      <c r="N562" s="307"/>
    </row>
    <row r="563" spans="10:14" x14ac:dyDescent="0.2">
      <c r="J563" s="307"/>
      <c r="N563" s="307"/>
    </row>
    <row r="564" spans="10:14" x14ac:dyDescent="0.2">
      <c r="J564" s="307"/>
      <c r="N564" s="307"/>
    </row>
    <row r="565" spans="10:14" x14ac:dyDescent="0.2">
      <c r="J565" s="307"/>
      <c r="N565" s="307"/>
    </row>
    <row r="566" spans="10:14" x14ac:dyDescent="0.2">
      <c r="J566" s="307"/>
      <c r="N566" s="307"/>
    </row>
    <row r="567" spans="10:14" x14ac:dyDescent="0.2">
      <c r="J567" s="307"/>
      <c r="N567" s="307"/>
    </row>
    <row r="568" spans="10:14" x14ac:dyDescent="0.2">
      <c r="J568" s="307"/>
      <c r="N568" s="307"/>
    </row>
    <row r="569" spans="10:14" x14ac:dyDescent="0.2">
      <c r="J569" s="307"/>
      <c r="N569" s="307"/>
    </row>
    <row r="570" spans="10:14" x14ac:dyDescent="0.2">
      <c r="J570" s="307"/>
      <c r="N570" s="307"/>
    </row>
    <row r="571" spans="10:14" x14ac:dyDescent="0.2">
      <c r="J571" s="307"/>
      <c r="N571" s="307"/>
    </row>
    <row r="572" spans="10:14" x14ac:dyDescent="0.2">
      <c r="J572" s="307"/>
      <c r="N572" s="307"/>
    </row>
    <row r="573" spans="10:14" x14ac:dyDescent="0.2">
      <c r="J573" s="307"/>
      <c r="N573" s="307"/>
    </row>
    <row r="574" spans="10:14" x14ac:dyDescent="0.2">
      <c r="J574" s="307"/>
      <c r="N574" s="307"/>
    </row>
    <row r="575" spans="10:14" x14ac:dyDescent="0.2">
      <c r="J575" s="307"/>
      <c r="N575" s="307"/>
    </row>
    <row r="576" spans="10:14" x14ac:dyDescent="0.2">
      <c r="J576" s="307"/>
      <c r="N576" s="307"/>
    </row>
    <row r="577" spans="10:14" x14ac:dyDescent="0.2">
      <c r="J577" s="307"/>
      <c r="N577" s="307"/>
    </row>
    <row r="578" spans="10:14" x14ac:dyDescent="0.2">
      <c r="J578" s="307"/>
      <c r="N578" s="307"/>
    </row>
    <row r="579" spans="10:14" x14ac:dyDescent="0.2">
      <c r="J579" s="307"/>
      <c r="N579" s="307"/>
    </row>
    <row r="580" spans="10:14" x14ac:dyDescent="0.2">
      <c r="J580" s="307"/>
      <c r="N580" s="307"/>
    </row>
    <row r="581" spans="10:14" x14ac:dyDescent="0.2">
      <c r="J581" s="307"/>
      <c r="N581" s="307"/>
    </row>
    <row r="582" spans="10:14" x14ac:dyDescent="0.2">
      <c r="J582" s="307"/>
      <c r="N582" s="307"/>
    </row>
    <row r="583" spans="10:14" x14ac:dyDescent="0.2">
      <c r="J583" s="307"/>
      <c r="N583" s="307"/>
    </row>
    <row r="584" spans="10:14" x14ac:dyDescent="0.2">
      <c r="J584" s="307"/>
      <c r="N584" s="307"/>
    </row>
    <row r="585" spans="10:14" x14ac:dyDescent="0.2">
      <c r="J585" s="307"/>
      <c r="N585" s="307"/>
    </row>
    <row r="586" spans="10:14" x14ac:dyDescent="0.2">
      <c r="J586" s="307"/>
      <c r="N586" s="307"/>
    </row>
    <row r="587" spans="10:14" x14ac:dyDescent="0.2">
      <c r="J587" s="307"/>
      <c r="N587" s="307"/>
    </row>
    <row r="588" spans="10:14" x14ac:dyDescent="0.2">
      <c r="J588" s="307"/>
      <c r="N588" s="307"/>
    </row>
    <row r="589" spans="10:14" x14ac:dyDescent="0.2">
      <c r="J589" s="307"/>
      <c r="N589" s="307"/>
    </row>
    <row r="590" spans="10:14" x14ac:dyDescent="0.2">
      <c r="J590" s="307"/>
      <c r="N590" s="307"/>
    </row>
    <row r="591" spans="10:14" x14ac:dyDescent="0.2">
      <c r="J591" s="307"/>
      <c r="N591" s="307"/>
    </row>
    <row r="592" spans="10:14" x14ac:dyDescent="0.2">
      <c r="J592" s="307"/>
      <c r="N592" s="307"/>
    </row>
    <row r="593" spans="10:14" x14ac:dyDescent="0.2">
      <c r="J593" s="307"/>
      <c r="N593" s="307"/>
    </row>
    <row r="594" spans="10:14" x14ac:dyDescent="0.2">
      <c r="J594" s="307"/>
      <c r="N594" s="307"/>
    </row>
    <row r="595" spans="10:14" x14ac:dyDescent="0.2">
      <c r="J595" s="307"/>
      <c r="N595" s="307"/>
    </row>
    <row r="596" spans="10:14" x14ac:dyDescent="0.2">
      <c r="J596" s="307"/>
      <c r="N596" s="307"/>
    </row>
    <row r="597" spans="10:14" x14ac:dyDescent="0.2">
      <c r="J597" s="307"/>
      <c r="N597" s="307"/>
    </row>
    <row r="598" spans="10:14" x14ac:dyDescent="0.2">
      <c r="J598" s="307"/>
      <c r="N598" s="307"/>
    </row>
    <row r="599" spans="10:14" x14ac:dyDescent="0.2">
      <c r="J599" s="307"/>
      <c r="N599" s="307"/>
    </row>
    <row r="600" spans="10:14" x14ac:dyDescent="0.2">
      <c r="J600" s="307"/>
      <c r="N600" s="307"/>
    </row>
    <row r="601" spans="10:14" x14ac:dyDescent="0.2">
      <c r="J601" s="307"/>
      <c r="N601" s="307"/>
    </row>
    <row r="602" spans="10:14" x14ac:dyDescent="0.2">
      <c r="J602" s="307"/>
      <c r="N602" s="307"/>
    </row>
    <row r="603" spans="10:14" x14ac:dyDescent="0.2">
      <c r="J603" s="307"/>
      <c r="N603" s="307"/>
    </row>
    <row r="604" spans="10:14" x14ac:dyDescent="0.2">
      <c r="J604" s="307"/>
      <c r="N604" s="307"/>
    </row>
    <row r="605" spans="10:14" x14ac:dyDescent="0.2">
      <c r="J605" s="307"/>
      <c r="N605" s="307"/>
    </row>
    <row r="606" spans="10:14" x14ac:dyDescent="0.2">
      <c r="J606" s="307"/>
      <c r="N606" s="307"/>
    </row>
    <row r="607" spans="10:14" x14ac:dyDescent="0.2">
      <c r="J607" s="307"/>
      <c r="N607" s="307"/>
    </row>
    <row r="608" spans="10:14" x14ac:dyDescent="0.2">
      <c r="J608" s="307"/>
      <c r="N608" s="307"/>
    </row>
    <row r="609" spans="10:14" x14ac:dyDescent="0.2">
      <c r="J609" s="307"/>
      <c r="N609" s="307"/>
    </row>
    <row r="610" spans="10:14" x14ac:dyDescent="0.2">
      <c r="J610" s="307"/>
      <c r="N610" s="307"/>
    </row>
    <row r="611" spans="10:14" x14ac:dyDescent="0.2">
      <c r="J611" s="307"/>
      <c r="N611" s="307"/>
    </row>
    <row r="612" spans="10:14" x14ac:dyDescent="0.2">
      <c r="J612" s="307"/>
      <c r="N612" s="307"/>
    </row>
    <row r="613" spans="10:14" x14ac:dyDescent="0.2">
      <c r="J613" s="307"/>
      <c r="N613" s="307"/>
    </row>
    <row r="614" spans="10:14" x14ac:dyDescent="0.2">
      <c r="J614" s="307"/>
      <c r="N614" s="307"/>
    </row>
    <row r="615" spans="10:14" x14ac:dyDescent="0.2">
      <c r="J615" s="307"/>
      <c r="N615" s="307"/>
    </row>
    <row r="616" spans="10:14" x14ac:dyDescent="0.2">
      <c r="J616" s="307"/>
      <c r="N616" s="307"/>
    </row>
    <row r="617" spans="10:14" x14ac:dyDescent="0.2">
      <c r="J617" s="307"/>
      <c r="N617" s="307"/>
    </row>
    <row r="618" spans="10:14" x14ac:dyDescent="0.2">
      <c r="J618" s="307"/>
      <c r="N618" s="307"/>
    </row>
    <row r="619" spans="10:14" x14ac:dyDescent="0.2">
      <c r="J619" s="307"/>
      <c r="N619" s="307"/>
    </row>
    <row r="620" spans="10:14" x14ac:dyDescent="0.2">
      <c r="J620" s="307"/>
      <c r="N620" s="307"/>
    </row>
    <row r="621" spans="10:14" x14ac:dyDescent="0.2">
      <c r="J621" s="307"/>
      <c r="N621" s="307"/>
    </row>
    <row r="622" spans="10:14" x14ac:dyDescent="0.2">
      <c r="J622" s="307"/>
      <c r="N622" s="307"/>
    </row>
    <row r="623" spans="10:14" x14ac:dyDescent="0.2">
      <c r="J623" s="307"/>
      <c r="N623" s="307"/>
    </row>
    <row r="624" spans="10:14" x14ac:dyDescent="0.2">
      <c r="J624" s="307"/>
      <c r="N624" s="307"/>
    </row>
    <row r="625" spans="10:14" x14ac:dyDescent="0.2">
      <c r="J625" s="307"/>
      <c r="N625" s="307"/>
    </row>
    <row r="626" spans="10:14" x14ac:dyDescent="0.2">
      <c r="J626" s="307"/>
      <c r="N626" s="307"/>
    </row>
    <row r="627" spans="10:14" x14ac:dyDescent="0.2">
      <c r="J627" s="307"/>
      <c r="N627" s="307"/>
    </row>
    <row r="628" spans="10:14" x14ac:dyDescent="0.2">
      <c r="J628" s="307"/>
      <c r="N628" s="307"/>
    </row>
    <row r="629" spans="10:14" x14ac:dyDescent="0.2">
      <c r="J629" s="307"/>
      <c r="N629" s="307"/>
    </row>
    <row r="630" spans="10:14" x14ac:dyDescent="0.2">
      <c r="J630" s="307"/>
      <c r="N630" s="307"/>
    </row>
    <row r="631" spans="10:14" x14ac:dyDescent="0.2">
      <c r="J631" s="307"/>
      <c r="N631" s="307"/>
    </row>
    <row r="632" spans="10:14" x14ac:dyDescent="0.2">
      <c r="J632" s="307"/>
      <c r="N632" s="307"/>
    </row>
    <row r="633" spans="10:14" x14ac:dyDescent="0.2">
      <c r="J633" s="307"/>
      <c r="N633" s="307"/>
    </row>
    <row r="634" spans="10:14" x14ac:dyDescent="0.2">
      <c r="J634" s="307"/>
      <c r="N634" s="307"/>
    </row>
    <row r="635" spans="10:14" x14ac:dyDescent="0.2">
      <c r="J635" s="307"/>
      <c r="N635" s="307"/>
    </row>
    <row r="636" spans="10:14" x14ac:dyDescent="0.2">
      <c r="J636" s="307"/>
      <c r="N636" s="307"/>
    </row>
    <row r="637" spans="10:14" x14ac:dyDescent="0.2">
      <c r="J637" s="307"/>
      <c r="N637" s="307"/>
    </row>
    <row r="638" spans="10:14" x14ac:dyDescent="0.2">
      <c r="J638" s="307"/>
      <c r="N638" s="307"/>
    </row>
    <row r="639" spans="10:14" x14ac:dyDescent="0.2">
      <c r="J639" s="307"/>
      <c r="N639" s="307"/>
    </row>
    <row r="640" spans="10:14" x14ac:dyDescent="0.2">
      <c r="J640" s="307"/>
      <c r="N640" s="307"/>
    </row>
    <row r="641" spans="10:14" x14ac:dyDescent="0.2">
      <c r="J641" s="307"/>
      <c r="N641" s="307"/>
    </row>
    <row r="642" spans="10:14" x14ac:dyDescent="0.2">
      <c r="J642" s="307"/>
      <c r="N642" s="307"/>
    </row>
    <row r="643" spans="10:14" x14ac:dyDescent="0.2">
      <c r="J643" s="307"/>
      <c r="N643" s="307"/>
    </row>
    <row r="644" spans="10:14" x14ac:dyDescent="0.2">
      <c r="J644" s="307"/>
      <c r="N644" s="307"/>
    </row>
    <row r="645" spans="10:14" x14ac:dyDescent="0.2">
      <c r="J645" s="307"/>
      <c r="N645" s="307"/>
    </row>
    <row r="646" spans="10:14" x14ac:dyDescent="0.2">
      <c r="J646" s="307"/>
      <c r="N646" s="307"/>
    </row>
    <row r="647" spans="10:14" x14ac:dyDescent="0.2">
      <c r="J647" s="307"/>
      <c r="N647" s="307"/>
    </row>
    <row r="648" spans="10:14" x14ac:dyDescent="0.2">
      <c r="J648" s="307"/>
      <c r="N648" s="307"/>
    </row>
    <row r="649" spans="10:14" x14ac:dyDescent="0.2">
      <c r="J649" s="307"/>
      <c r="N649" s="307"/>
    </row>
    <row r="650" spans="10:14" x14ac:dyDescent="0.2">
      <c r="J650" s="307"/>
      <c r="N650" s="307"/>
    </row>
    <row r="651" spans="10:14" x14ac:dyDescent="0.2">
      <c r="J651" s="307"/>
      <c r="N651" s="307"/>
    </row>
    <row r="652" spans="10:14" x14ac:dyDescent="0.2">
      <c r="J652" s="307"/>
      <c r="N652" s="307"/>
    </row>
    <row r="653" spans="10:14" x14ac:dyDescent="0.2">
      <c r="J653" s="307"/>
      <c r="N653" s="307"/>
    </row>
    <row r="654" spans="10:14" x14ac:dyDescent="0.2">
      <c r="J654" s="307"/>
      <c r="N654" s="307"/>
    </row>
    <row r="655" spans="10:14" x14ac:dyDescent="0.2">
      <c r="J655" s="307"/>
      <c r="N655" s="307"/>
    </row>
    <row r="656" spans="10:14" x14ac:dyDescent="0.2">
      <c r="J656" s="307"/>
      <c r="N656" s="307"/>
    </row>
    <row r="657" spans="10:14" x14ac:dyDescent="0.2">
      <c r="J657" s="307"/>
      <c r="N657" s="307"/>
    </row>
    <row r="658" spans="10:14" x14ac:dyDescent="0.2">
      <c r="J658" s="307"/>
      <c r="N658" s="307"/>
    </row>
    <row r="659" spans="10:14" x14ac:dyDescent="0.2">
      <c r="J659" s="307"/>
      <c r="N659" s="307"/>
    </row>
    <row r="660" spans="10:14" x14ac:dyDescent="0.2">
      <c r="J660" s="307"/>
      <c r="N660" s="307"/>
    </row>
    <row r="661" spans="10:14" x14ac:dyDescent="0.2">
      <c r="J661" s="307"/>
      <c r="N661" s="307"/>
    </row>
    <row r="662" spans="10:14" x14ac:dyDescent="0.2">
      <c r="J662" s="307"/>
      <c r="N662" s="307"/>
    </row>
    <row r="663" spans="10:14" x14ac:dyDescent="0.2">
      <c r="J663" s="307"/>
      <c r="N663" s="307"/>
    </row>
    <row r="664" spans="10:14" x14ac:dyDescent="0.2">
      <c r="J664" s="307"/>
      <c r="N664" s="307"/>
    </row>
    <row r="665" spans="10:14" x14ac:dyDescent="0.2">
      <c r="J665" s="307"/>
      <c r="N665" s="307"/>
    </row>
    <row r="666" spans="10:14" x14ac:dyDescent="0.2">
      <c r="J666" s="307"/>
      <c r="N666" s="307"/>
    </row>
    <row r="667" spans="10:14" x14ac:dyDescent="0.2">
      <c r="J667" s="307"/>
      <c r="N667" s="307"/>
    </row>
    <row r="668" spans="10:14" x14ac:dyDescent="0.2">
      <c r="J668" s="307"/>
      <c r="N668" s="307"/>
    </row>
    <row r="669" spans="10:14" x14ac:dyDescent="0.2">
      <c r="J669" s="307"/>
      <c r="N669" s="307"/>
    </row>
    <row r="670" spans="10:14" x14ac:dyDescent="0.2">
      <c r="J670" s="307"/>
      <c r="N670" s="307"/>
    </row>
    <row r="671" spans="10:14" x14ac:dyDescent="0.2">
      <c r="J671" s="307"/>
      <c r="N671" s="307"/>
    </row>
    <row r="672" spans="10:14" x14ac:dyDescent="0.2">
      <c r="J672" s="307"/>
      <c r="N672" s="307"/>
    </row>
    <row r="673" spans="10:14" x14ac:dyDescent="0.2">
      <c r="J673" s="307"/>
      <c r="N673" s="307"/>
    </row>
    <row r="674" spans="10:14" x14ac:dyDescent="0.2">
      <c r="J674" s="307"/>
      <c r="N674" s="307"/>
    </row>
    <row r="675" spans="10:14" x14ac:dyDescent="0.2">
      <c r="J675" s="307"/>
      <c r="N675" s="307"/>
    </row>
    <row r="676" spans="10:14" x14ac:dyDescent="0.2">
      <c r="J676" s="307"/>
      <c r="N676" s="307"/>
    </row>
    <row r="677" spans="10:14" x14ac:dyDescent="0.2">
      <c r="J677" s="307"/>
      <c r="N677" s="307"/>
    </row>
    <row r="678" spans="10:14" x14ac:dyDescent="0.2">
      <c r="J678" s="307"/>
      <c r="N678" s="307"/>
    </row>
    <row r="679" spans="10:14" x14ac:dyDescent="0.2">
      <c r="J679" s="307"/>
      <c r="N679" s="307"/>
    </row>
    <row r="680" spans="10:14" x14ac:dyDescent="0.2">
      <c r="J680" s="307"/>
      <c r="N680" s="307"/>
    </row>
    <row r="681" spans="10:14" x14ac:dyDescent="0.2">
      <c r="J681" s="307"/>
      <c r="N681" s="307"/>
    </row>
    <row r="682" spans="10:14" x14ac:dyDescent="0.2">
      <c r="J682" s="307"/>
      <c r="N682" s="307"/>
    </row>
    <row r="683" spans="10:14" x14ac:dyDescent="0.2">
      <c r="J683" s="307"/>
      <c r="N683" s="307"/>
    </row>
    <row r="684" spans="10:14" x14ac:dyDescent="0.2">
      <c r="J684" s="307"/>
      <c r="N684" s="307"/>
    </row>
    <row r="685" spans="10:14" x14ac:dyDescent="0.2">
      <c r="J685" s="307"/>
      <c r="N685" s="307"/>
    </row>
    <row r="686" spans="10:14" x14ac:dyDescent="0.2">
      <c r="J686" s="307"/>
      <c r="N686" s="307"/>
    </row>
    <row r="687" spans="10:14" x14ac:dyDescent="0.2">
      <c r="J687" s="307"/>
      <c r="N687" s="307"/>
    </row>
    <row r="688" spans="10:14" x14ac:dyDescent="0.2">
      <c r="J688" s="307"/>
      <c r="N688" s="307"/>
    </row>
    <row r="689" spans="10:14" x14ac:dyDescent="0.2">
      <c r="J689" s="307"/>
      <c r="N689" s="307"/>
    </row>
    <row r="690" spans="10:14" x14ac:dyDescent="0.2">
      <c r="J690" s="307"/>
      <c r="N690" s="307"/>
    </row>
    <row r="691" spans="10:14" x14ac:dyDescent="0.2">
      <c r="J691" s="307"/>
      <c r="N691" s="307"/>
    </row>
    <row r="692" spans="10:14" x14ac:dyDescent="0.2">
      <c r="J692" s="307"/>
      <c r="N692" s="307"/>
    </row>
    <row r="693" spans="10:14" x14ac:dyDescent="0.2">
      <c r="J693" s="307"/>
      <c r="N693" s="307"/>
    </row>
    <row r="694" spans="10:14" x14ac:dyDescent="0.2">
      <c r="J694" s="307"/>
      <c r="N694" s="307"/>
    </row>
    <row r="695" spans="10:14" x14ac:dyDescent="0.2">
      <c r="J695" s="307"/>
      <c r="N695" s="307"/>
    </row>
    <row r="696" spans="10:14" x14ac:dyDescent="0.2">
      <c r="J696" s="307"/>
      <c r="N696" s="307"/>
    </row>
    <row r="697" spans="10:14" x14ac:dyDescent="0.2">
      <c r="J697" s="307"/>
      <c r="N697" s="307"/>
    </row>
    <row r="698" spans="10:14" x14ac:dyDescent="0.2">
      <c r="J698" s="307"/>
      <c r="N698" s="307"/>
    </row>
    <row r="699" spans="10:14" x14ac:dyDescent="0.2">
      <c r="J699" s="307"/>
      <c r="N699" s="307"/>
    </row>
    <row r="700" spans="10:14" x14ac:dyDescent="0.2">
      <c r="J700" s="307"/>
      <c r="N700" s="307"/>
    </row>
    <row r="701" spans="10:14" x14ac:dyDescent="0.2">
      <c r="J701" s="307"/>
      <c r="N701" s="307"/>
    </row>
    <row r="702" spans="10:14" x14ac:dyDescent="0.2">
      <c r="J702" s="307"/>
      <c r="N702" s="307"/>
    </row>
    <row r="703" spans="10:14" x14ac:dyDescent="0.2">
      <c r="J703" s="307"/>
      <c r="N703" s="307"/>
    </row>
    <row r="704" spans="10:14" x14ac:dyDescent="0.2">
      <c r="J704" s="307"/>
      <c r="N704" s="307"/>
    </row>
    <row r="705" spans="10:14" x14ac:dyDescent="0.2">
      <c r="J705" s="307"/>
      <c r="N705" s="307"/>
    </row>
    <row r="706" spans="10:14" x14ac:dyDescent="0.2">
      <c r="J706" s="307"/>
      <c r="N706" s="307"/>
    </row>
    <row r="707" spans="10:14" x14ac:dyDescent="0.2">
      <c r="J707" s="307"/>
      <c r="N707" s="307"/>
    </row>
    <row r="708" spans="10:14" x14ac:dyDescent="0.2">
      <c r="J708" s="307"/>
      <c r="N708" s="307"/>
    </row>
    <row r="709" spans="10:14" x14ac:dyDescent="0.2">
      <c r="J709" s="307"/>
      <c r="N709" s="307"/>
    </row>
    <row r="710" spans="10:14" x14ac:dyDescent="0.2">
      <c r="J710" s="307"/>
      <c r="N710" s="307"/>
    </row>
    <row r="711" spans="10:14" x14ac:dyDescent="0.2">
      <c r="J711" s="307"/>
      <c r="N711" s="307"/>
    </row>
    <row r="712" spans="10:14" x14ac:dyDescent="0.2">
      <c r="J712" s="307"/>
      <c r="N712" s="307"/>
    </row>
    <row r="713" spans="10:14" x14ac:dyDescent="0.2">
      <c r="J713" s="307"/>
      <c r="N713" s="307"/>
    </row>
    <row r="714" spans="10:14" x14ac:dyDescent="0.2">
      <c r="J714" s="307"/>
      <c r="N714" s="307"/>
    </row>
    <row r="715" spans="10:14" x14ac:dyDescent="0.2">
      <c r="J715" s="307"/>
      <c r="N715" s="307"/>
    </row>
    <row r="716" spans="10:14" x14ac:dyDescent="0.2">
      <c r="J716" s="307"/>
      <c r="N716" s="307"/>
    </row>
    <row r="717" spans="10:14" x14ac:dyDescent="0.2">
      <c r="J717" s="307"/>
      <c r="N717" s="307"/>
    </row>
    <row r="718" spans="10:14" x14ac:dyDescent="0.2">
      <c r="J718" s="307"/>
      <c r="N718" s="307"/>
    </row>
    <row r="719" spans="10:14" x14ac:dyDescent="0.2">
      <c r="J719" s="307"/>
      <c r="N719" s="307"/>
    </row>
    <row r="720" spans="10:14" x14ac:dyDescent="0.2">
      <c r="J720" s="307"/>
      <c r="N720" s="307"/>
    </row>
    <row r="721" spans="10:14" x14ac:dyDescent="0.2">
      <c r="J721" s="307"/>
      <c r="N721" s="307"/>
    </row>
    <row r="722" spans="10:14" x14ac:dyDescent="0.2">
      <c r="J722" s="307"/>
      <c r="N722" s="307"/>
    </row>
    <row r="723" spans="10:14" x14ac:dyDescent="0.2">
      <c r="J723" s="307"/>
      <c r="N723" s="307"/>
    </row>
    <row r="724" spans="10:14" x14ac:dyDescent="0.2">
      <c r="J724" s="307"/>
      <c r="N724" s="307"/>
    </row>
    <row r="725" spans="10:14" x14ac:dyDescent="0.2">
      <c r="J725" s="307"/>
      <c r="N725" s="307"/>
    </row>
    <row r="726" spans="10:14" x14ac:dyDescent="0.2">
      <c r="J726" s="307"/>
      <c r="N726" s="307"/>
    </row>
    <row r="727" spans="10:14" x14ac:dyDescent="0.2">
      <c r="J727" s="307"/>
      <c r="N727" s="307"/>
    </row>
    <row r="728" spans="10:14" x14ac:dyDescent="0.2">
      <c r="J728" s="307"/>
      <c r="N728" s="307"/>
    </row>
    <row r="729" spans="10:14" x14ac:dyDescent="0.2">
      <c r="J729" s="307"/>
      <c r="N729" s="307"/>
    </row>
    <row r="730" spans="10:14" x14ac:dyDescent="0.2">
      <c r="J730" s="307"/>
      <c r="N730" s="307"/>
    </row>
    <row r="731" spans="10:14" x14ac:dyDescent="0.2">
      <c r="J731" s="307"/>
      <c r="N731" s="307"/>
    </row>
    <row r="732" spans="10:14" x14ac:dyDescent="0.2">
      <c r="J732" s="307"/>
      <c r="N732" s="307"/>
    </row>
    <row r="733" spans="10:14" x14ac:dyDescent="0.2">
      <c r="J733" s="307"/>
      <c r="N733" s="307"/>
    </row>
    <row r="734" spans="10:14" x14ac:dyDescent="0.2">
      <c r="J734" s="307"/>
      <c r="N734" s="307"/>
    </row>
    <row r="735" spans="10:14" x14ac:dyDescent="0.2">
      <c r="J735" s="307"/>
      <c r="N735" s="307"/>
    </row>
    <row r="736" spans="10:14" x14ac:dyDescent="0.2">
      <c r="J736" s="307"/>
      <c r="N736" s="307"/>
    </row>
    <row r="737" spans="10:14" x14ac:dyDescent="0.2">
      <c r="J737" s="307"/>
      <c r="N737" s="307"/>
    </row>
    <row r="738" spans="10:14" x14ac:dyDescent="0.2">
      <c r="J738" s="307"/>
      <c r="N738" s="307"/>
    </row>
    <row r="739" spans="10:14" x14ac:dyDescent="0.2">
      <c r="J739" s="307"/>
      <c r="N739" s="307"/>
    </row>
    <row r="740" spans="10:14" x14ac:dyDescent="0.2">
      <c r="J740" s="307"/>
      <c r="N740" s="307"/>
    </row>
    <row r="741" spans="10:14" x14ac:dyDescent="0.2">
      <c r="J741" s="307"/>
      <c r="N741" s="307"/>
    </row>
    <row r="742" spans="10:14" x14ac:dyDescent="0.2">
      <c r="J742" s="307"/>
      <c r="N742" s="307"/>
    </row>
    <row r="743" spans="10:14" x14ac:dyDescent="0.2">
      <c r="J743" s="307"/>
      <c r="N743" s="307"/>
    </row>
    <row r="744" spans="10:14" x14ac:dyDescent="0.2">
      <c r="J744" s="307"/>
      <c r="N744" s="307"/>
    </row>
    <row r="745" spans="10:14" x14ac:dyDescent="0.2">
      <c r="J745" s="307"/>
      <c r="N745" s="307"/>
    </row>
    <row r="746" spans="10:14" x14ac:dyDescent="0.2">
      <c r="J746" s="307"/>
      <c r="N746" s="307"/>
    </row>
    <row r="747" spans="10:14" x14ac:dyDescent="0.2">
      <c r="J747" s="307"/>
      <c r="N747" s="307"/>
    </row>
    <row r="748" spans="10:14" x14ac:dyDescent="0.2">
      <c r="J748" s="307"/>
      <c r="N748" s="307"/>
    </row>
    <row r="749" spans="10:14" x14ac:dyDescent="0.2">
      <c r="J749" s="307"/>
      <c r="N749" s="307"/>
    </row>
    <row r="750" spans="10:14" x14ac:dyDescent="0.2">
      <c r="J750" s="307"/>
      <c r="N750" s="307"/>
    </row>
    <row r="751" spans="10:14" x14ac:dyDescent="0.2">
      <c r="J751" s="307"/>
      <c r="N751" s="307"/>
    </row>
    <row r="752" spans="10:14" x14ac:dyDescent="0.2">
      <c r="J752" s="307"/>
      <c r="N752" s="307"/>
    </row>
    <row r="753" spans="10:14" x14ac:dyDescent="0.2">
      <c r="J753" s="307"/>
      <c r="N753" s="307"/>
    </row>
    <row r="754" spans="10:14" x14ac:dyDescent="0.2">
      <c r="J754" s="307"/>
      <c r="N754" s="307"/>
    </row>
    <row r="755" spans="10:14" x14ac:dyDescent="0.2">
      <c r="J755" s="307"/>
      <c r="N755" s="307"/>
    </row>
    <row r="756" spans="10:14" x14ac:dyDescent="0.2">
      <c r="J756" s="307"/>
      <c r="N756" s="307"/>
    </row>
    <row r="757" spans="10:14" x14ac:dyDescent="0.2">
      <c r="J757" s="307"/>
      <c r="N757" s="307"/>
    </row>
    <row r="758" spans="10:14" x14ac:dyDescent="0.2">
      <c r="J758" s="307"/>
      <c r="N758" s="307"/>
    </row>
    <row r="759" spans="10:14" x14ac:dyDescent="0.2">
      <c r="J759" s="307"/>
      <c r="N759" s="307"/>
    </row>
    <row r="760" spans="10:14" x14ac:dyDescent="0.2">
      <c r="J760" s="307"/>
      <c r="N760" s="307"/>
    </row>
    <row r="761" spans="10:14" x14ac:dyDescent="0.2">
      <c r="J761" s="307"/>
      <c r="N761" s="307"/>
    </row>
    <row r="762" spans="10:14" x14ac:dyDescent="0.2">
      <c r="J762" s="307"/>
      <c r="N762" s="307"/>
    </row>
    <row r="763" spans="10:14" x14ac:dyDescent="0.2">
      <c r="J763" s="307"/>
      <c r="N763" s="307"/>
    </row>
    <row r="764" spans="10:14" x14ac:dyDescent="0.2">
      <c r="J764" s="307"/>
      <c r="N764" s="307"/>
    </row>
    <row r="765" spans="10:14" x14ac:dyDescent="0.2">
      <c r="J765" s="307"/>
      <c r="N765" s="307"/>
    </row>
    <row r="766" spans="10:14" x14ac:dyDescent="0.2">
      <c r="J766" s="307"/>
      <c r="N766" s="307"/>
    </row>
    <row r="767" spans="10:14" x14ac:dyDescent="0.2">
      <c r="J767" s="307"/>
      <c r="N767" s="307"/>
    </row>
    <row r="768" spans="10:14" x14ac:dyDescent="0.2">
      <c r="J768" s="307"/>
      <c r="N768" s="307"/>
    </row>
    <row r="769" spans="10:14" x14ac:dyDescent="0.2">
      <c r="J769" s="307"/>
      <c r="N769" s="307"/>
    </row>
    <row r="770" spans="10:14" x14ac:dyDescent="0.2">
      <c r="J770" s="307"/>
      <c r="N770" s="307"/>
    </row>
    <row r="771" spans="10:14" x14ac:dyDescent="0.2">
      <c r="J771" s="307"/>
      <c r="N771" s="307"/>
    </row>
    <row r="772" spans="10:14" x14ac:dyDescent="0.2">
      <c r="J772" s="307"/>
      <c r="N772" s="307"/>
    </row>
    <row r="773" spans="10:14" x14ac:dyDescent="0.2">
      <c r="J773" s="307"/>
      <c r="N773" s="307"/>
    </row>
    <row r="774" spans="10:14" x14ac:dyDescent="0.2">
      <c r="J774" s="307"/>
      <c r="N774" s="307"/>
    </row>
    <row r="775" spans="10:14" x14ac:dyDescent="0.2">
      <c r="J775" s="307"/>
      <c r="N775" s="307"/>
    </row>
    <row r="776" spans="10:14" x14ac:dyDescent="0.2">
      <c r="J776" s="307"/>
      <c r="N776" s="307"/>
    </row>
    <row r="777" spans="10:14" x14ac:dyDescent="0.2">
      <c r="J777" s="307"/>
      <c r="N777" s="307"/>
    </row>
    <row r="778" spans="10:14" x14ac:dyDescent="0.2">
      <c r="J778" s="307"/>
      <c r="N778" s="307"/>
    </row>
    <row r="779" spans="10:14" x14ac:dyDescent="0.2">
      <c r="J779" s="307"/>
      <c r="N779" s="307"/>
    </row>
    <row r="780" spans="10:14" x14ac:dyDescent="0.2">
      <c r="J780" s="307"/>
      <c r="N780" s="307"/>
    </row>
    <row r="781" spans="10:14" x14ac:dyDescent="0.2">
      <c r="J781" s="307"/>
      <c r="N781" s="307"/>
    </row>
    <row r="782" spans="10:14" x14ac:dyDescent="0.2">
      <c r="J782" s="307"/>
      <c r="N782" s="307"/>
    </row>
    <row r="783" spans="10:14" x14ac:dyDescent="0.2">
      <c r="J783" s="307"/>
      <c r="N783" s="307"/>
    </row>
    <row r="784" spans="10:14" x14ac:dyDescent="0.2">
      <c r="J784" s="307"/>
      <c r="N784" s="307"/>
    </row>
    <row r="785" spans="10:14" x14ac:dyDescent="0.2">
      <c r="J785" s="307"/>
      <c r="N785" s="307"/>
    </row>
    <row r="786" spans="10:14" x14ac:dyDescent="0.2">
      <c r="J786" s="307"/>
      <c r="N786" s="307"/>
    </row>
    <row r="787" spans="10:14" x14ac:dyDescent="0.2">
      <c r="J787" s="307"/>
      <c r="N787" s="307"/>
    </row>
    <row r="788" spans="10:14" x14ac:dyDescent="0.2">
      <c r="J788" s="307"/>
      <c r="N788" s="307"/>
    </row>
    <row r="789" spans="10:14" x14ac:dyDescent="0.2">
      <c r="J789" s="307"/>
      <c r="N789" s="307"/>
    </row>
    <row r="790" spans="10:14" x14ac:dyDescent="0.2">
      <c r="J790" s="307"/>
      <c r="N790" s="307"/>
    </row>
    <row r="791" spans="10:14" x14ac:dyDescent="0.2">
      <c r="J791" s="307"/>
      <c r="N791" s="307"/>
    </row>
    <row r="792" spans="10:14" x14ac:dyDescent="0.2">
      <c r="J792" s="307"/>
      <c r="N792" s="307"/>
    </row>
    <row r="793" spans="10:14" x14ac:dyDescent="0.2">
      <c r="J793" s="307"/>
      <c r="N793" s="307"/>
    </row>
    <row r="794" spans="10:14" x14ac:dyDescent="0.2">
      <c r="J794" s="307"/>
      <c r="N794" s="307"/>
    </row>
    <row r="795" spans="10:14" x14ac:dyDescent="0.2">
      <c r="J795" s="307"/>
      <c r="N795" s="307"/>
    </row>
    <row r="796" spans="10:14" x14ac:dyDescent="0.2">
      <c r="J796" s="307"/>
      <c r="N796" s="307"/>
    </row>
    <row r="797" spans="10:14" x14ac:dyDescent="0.2">
      <c r="J797" s="307"/>
      <c r="N797" s="307"/>
    </row>
    <row r="798" spans="10:14" x14ac:dyDescent="0.2">
      <c r="J798" s="307"/>
      <c r="N798" s="307"/>
    </row>
    <row r="799" spans="10:14" x14ac:dyDescent="0.2">
      <c r="J799" s="307"/>
      <c r="N799" s="307"/>
    </row>
    <row r="800" spans="10:14" x14ac:dyDescent="0.2">
      <c r="J800" s="307"/>
      <c r="N800" s="307"/>
    </row>
    <row r="801" spans="10:14" x14ac:dyDescent="0.2">
      <c r="J801" s="307"/>
      <c r="N801" s="307"/>
    </row>
    <row r="802" spans="10:14" x14ac:dyDescent="0.2">
      <c r="J802" s="307"/>
      <c r="N802" s="307"/>
    </row>
    <row r="803" spans="10:14" x14ac:dyDescent="0.2">
      <c r="J803" s="307"/>
      <c r="N803" s="307"/>
    </row>
    <row r="804" spans="10:14" x14ac:dyDescent="0.2">
      <c r="J804" s="307"/>
      <c r="N804" s="307"/>
    </row>
    <row r="805" spans="10:14" x14ac:dyDescent="0.2">
      <c r="J805" s="307"/>
      <c r="N805" s="307"/>
    </row>
    <row r="806" spans="10:14" x14ac:dyDescent="0.2">
      <c r="J806" s="307"/>
      <c r="N806" s="307"/>
    </row>
    <row r="807" spans="10:14" x14ac:dyDescent="0.2">
      <c r="J807" s="307"/>
      <c r="N807" s="307"/>
    </row>
    <row r="808" spans="10:14" x14ac:dyDescent="0.2">
      <c r="J808" s="307"/>
      <c r="N808" s="307"/>
    </row>
    <row r="809" spans="10:14" x14ac:dyDescent="0.2">
      <c r="J809" s="307"/>
      <c r="N809" s="307"/>
    </row>
    <row r="810" spans="10:14" x14ac:dyDescent="0.2">
      <c r="J810" s="307"/>
      <c r="N810" s="307"/>
    </row>
    <row r="811" spans="10:14" x14ac:dyDescent="0.2">
      <c r="J811" s="307"/>
      <c r="N811" s="307"/>
    </row>
    <row r="812" spans="10:14" x14ac:dyDescent="0.2">
      <c r="J812" s="307"/>
      <c r="N812" s="307"/>
    </row>
    <row r="813" spans="10:14" x14ac:dyDescent="0.2">
      <c r="J813" s="307"/>
      <c r="N813" s="307"/>
    </row>
    <row r="814" spans="10:14" x14ac:dyDescent="0.2">
      <c r="J814" s="307"/>
      <c r="N814" s="307"/>
    </row>
    <row r="815" spans="10:14" x14ac:dyDescent="0.2">
      <c r="J815" s="307"/>
      <c r="N815" s="307"/>
    </row>
    <row r="816" spans="10:14" x14ac:dyDescent="0.2">
      <c r="J816" s="307"/>
      <c r="N816" s="307"/>
    </row>
    <row r="817" spans="10:14" x14ac:dyDescent="0.2">
      <c r="J817" s="307"/>
      <c r="N817" s="307"/>
    </row>
    <row r="818" spans="10:14" x14ac:dyDescent="0.2">
      <c r="J818" s="307"/>
      <c r="N818" s="307"/>
    </row>
    <row r="819" spans="10:14" x14ac:dyDescent="0.2">
      <c r="J819" s="307"/>
      <c r="N819" s="307"/>
    </row>
    <row r="820" spans="10:14" x14ac:dyDescent="0.2">
      <c r="J820" s="307"/>
      <c r="N820" s="307"/>
    </row>
    <row r="821" spans="10:14" x14ac:dyDescent="0.2">
      <c r="J821" s="307"/>
      <c r="N821" s="307"/>
    </row>
    <row r="822" spans="10:14" x14ac:dyDescent="0.2">
      <c r="J822" s="307"/>
      <c r="N822" s="307"/>
    </row>
    <row r="823" spans="10:14" x14ac:dyDescent="0.2">
      <c r="J823" s="307"/>
      <c r="N823" s="307"/>
    </row>
    <row r="824" spans="10:14" x14ac:dyDescent="0.2">
      <c r="J824" s="307"/>
      <c r="N824" s="307"/>
    </row>
    <row r="825" spans="10:14" x14ac:dyDescent="0.2">
      <c r="J825" s="307"/>
      <c r="N825" s="307"/>
    </row>
    <row r="826" spans="10:14" x14ac:dyDescent="0.2">
      <c r="J826" s="307"/>
      <c r="N826" s="307"/>
    </row>
    <row r="827" spans="10:14" x14ac:dyDescent="0.2">
      <c r="J827" s="307"/>
      <c r="N827" s="307"/>
    </row>
    <row r="828" spans="10:14" x14ac:dyDescent="0.2">
      <c r="J828" s="307"/>
      <c r="N828" s="307"/>
    </row>
    <row r="829" spans="10:14" x14ac:dyDescent="0.2">
      <c r="J829" s="307"/>
      <c r="N829" s="307"/>
    </row>
    <row r="830" spans="10:14" x14ac:dyDescent="0.2">
      <c r="J830" s="307"/>
      <c r="N830" s="307"/>
    </row>
    <row r="831" spans="10:14" x14ac:dyDescent="0.2">
      <c r="J831" s="307"/>
      <c r="N831" s="307"/>
    </row>
    <row r="832" spans="10:14" x14ac:dyDescent="0.2">
      <c r="J832" s="307"/>
      <c r="N832" s="307"/>
    </row>
    <row r="833" spans="10:14" x14ac:dyDescent="0.2">
      <c r="J833" s="307"/>
      <c r="N833" s="307"/>
    </row>
    <row r="834" spans="10:14" x14ac:dyDescent="0.2">
      <c r="J834" s="307"/>
      <c r="N834" s="307"/>
    </row>
    <row r="835" spans="10:14" x14ac:dyDescent="0.2">
      <c r="J835" s="307"/>
      <c r="N835" s="307"/>
    </row>
    <row r="836" spans="10:14" x14ac:dyDescent="0.2">
      <c r="J836" s="307"/>
      <c r="N836" s="307"/>
    </row>
    <row r="837" spans="10:14" x14ac:dyDescent="0.2">
      <c r="J837" s="307"/>
      <c r="N837" s="307"/>
    </row>
    <row r="838" spans="10:14" x14ac:dyDescent="0.2">
      <c r="J838" s="307"/>
      <c r="N838" s="307"/>
    </row>
    <row r="839" spans="10:14" x14ac:dyDescent="0.2">
      <c r="J839" s="307"/>
      <c r="N839" s="307"/>
    </row>
    <row r="840" spans="10:14" x14ac:dyDescent="0.2">
      <c r="J840" s="307"/>
      <c r="N840" s="307"/>
    </row>
    <row r="841" spans="10:14" x14ac:dyDescent="0.2">
      <c r="J841" s="307"/>
      <c r="N841" s="307"/>
    </row>
    <row r="842" spans="10:14" x14ac:dyDescent="0.2">
      <c r="J842" s="307"/>
      <c r="N842" s="307"/>
    </row>
    <row r="843" spans="10:14" x14ac:dyDescent="0.2">
      <c r="J843" s="307"/>
      <c r="N843" s="307"/>
    </row>
    <row r="844" spans="10:14" x14ac:dyDescent="0.2">
      <c r="J844" s="307"/>
      <c r="N844" s="307"/>
    </row>
    <row r="845" spans="10:14" x14ac:dyDescent="0.2">
      <c r="J845" s="307"/>
      <c r="N845" s="307"/>
    </row>
    <row r="846" spans="10:14" x14ac:dyDescent="0.2">
      <c r="J846" s="307"/>
      <c r="N846" s="307"/>
    </row>
    <row r="847" spans="10:14" x14ac:dyDescent="0.2">
      <c r="J847" s="307"/>
      <c r="N847" s="307"/>
    </row>
    <row r="848" spans="10:14" x14ac:dyDescent="0.2">
      <c r="J848" s="307"/>
      <c r="N848" s="307"/>
    </row>
    <row r="849" spans="10:14" x14ac:dyDescent="0.2">
      <c r="J849" s="307"/>
      <c r="N849" s="307"/>
    </row>
    <row r="850" spans="10:14" x14ac:dyDescent="0.2">
      <c r="J850" s="307"/>
      <c r="N850" s="307"/>
    </row>
    <row r="851" spans="10:14" x14ac:dyDescent="0.2">
      <c r="J851" s="307"/>
      <c r="N851" s="307"/>
    </row>
    <row r="852" spans="10:14" x14ac:dyDescent="0.2">
      <c r="J852" s="307"/>
      <c r="N852" s="307"/>
    </row>
    <row r="853" spans="10:14" x14ac:dyDescent="0.2">
      <c r="J853" s="307"/>
      <c r="N853" s="307"/>
    </row>
    <row r="854" spans="10:14" x14ac:dyDescent="0.2">
      <c r="J854" s="307"/>
      <c r="N854" s="307"/>
    </row>
    <row r="855" spans="10:14" x14ac:dyDescent="0.2">
      <c r="J855" s="307"/>
      <c r="N855" s="307"/>
    </row>
    <row r="856" spans="10:14" x14ac:dyDescent="0.2">
      <c r="J856" s="307"/>
      <c r="N856" s="307"/>
    </row>
    <row r="857" spans="10:14" x14ac:dyDescent="0.2">
      <c r="J857" s="307"/>
      <c r="N857" s="307"/>
    </row>
    <row r="858" spans="10:14" x14ac:dyDescent="0.2">
      <c r="J858" s="307"/>
      <c r="N858" s="307"/>
    </row>
    <row r="859" spans="10:14" x14ac:dyDescent="0.2">
      <c r="J859" s="307"/>
      <c r="N859" s="307"/>
    </row>
    <row r="860" spans="10:14" x14ac:dyDescent="0.2">
      <c r="J860" s="307"/>
      <c r="N860" s="307"/>
    </row>
    <row r="861" spans="10:14" x14ac:dyDescent="0.2">
      <c r="J861" s="307"/>
      <c r="N861" s="307"/>
    </row>
    <row r="862" spans="10:14" x14ac:dyDescent="0.2">
      <c r="J862" s="307"/>
      <c r="N862" s="307"/>
    </row>
    <row r="863" spans="10:14" x14ac:dyDescent="0.2">
      <c r="J863" s="307"/>
      <c r="N863" s="307"/>
    </row>
    <row r="864" spans="10:14" x14ac:dyDescent="0.2">
      <c r="J864" s="307"/>
      <c r="N864" s="307"/>
    </row>
    <row r="865" spans="10:14" x14ac:dyDescent="0.2">
      <c r="J865" s="307"/>
      <c r="N865" s="307"/>
    </row>
    <row r="866" spans="10:14" x14ac:dyDescent="0.2">
      <c r="J866" s="307"/>
      <c r="N866" s="307"/>
    </row>
    <row r="867" spans="10:14" x14ac:dyDescent="0.2">
      <c r="J867" s="307"/>
      <c r="N867" s="307"/>
    </row>
    <row r="868" spans="10:14" x14ac:dyDescent="0.2">
      <c r="J868" s="307"/>
      <c r="N868" s="307"/>
    </row>
    <row r="869" spans="10:14" x14ac:dyDescent="0.2">
      <c r="J869" s="307"/>
      <c r="N869" s="307"/>
    </row>
    <row r="870" spans="10:14" x14ac:dyDescent="0.2">
      <c r="J870" s="307"/>
      <c r="N870" s="307"/>
    </row>
    <row r="871" spans="10:14" x14ac:dyDescent="0.2">
      <c r="J871" s="307"/>
      <c r="N871" s="307"/>
    </row>
    <row r="872" spans="10:14" x14ac:dyDescent="0.2">
      <c r="J872" s="307"/>
      <c r="N872" s="307"/>
    </row>
    <row r="873" spans="10:14" x14ac:dyDescent="0.2">
      <c r="J873" s="307"/>
      <c r="N873" s="307"/>
    </row>
    <row r="874" spans="10:14" x14ac:dyDescent="0.2">
      <c r="J874" s="307"/>
      <c r="N874" s="307"/>
    </row>
    <row r="875" spans="10:14" x14ac:dyDescent="0.2">
      <c r="J875" s="307"/>
      <c r="N875" s="307"/>
    </row>
    <row r="876" spans="10:14" x14ac:dyDescent="0.2">
      <c r="J876" s="307"/>
      <c r="N876" s="307"/>
    </row>
    <row r="877" spans="10:14" x14ac:dyDescent="0.2">
      <c r="J877" s="307"/>
      <c r="N877" s="307"/>
    </row>
    <row r="878" spans="10:14" x14ac:dyDescent="0.2">
      <c r="J878" s="307"/>
      <c r="N878" s="307"/>
    </row>
    <row r="879" spans="10:14" x14ac:dyDescent="0.2">
      <c r="J879" s="307"/>
      <c r="N879" s="307"/>
    </row>
    <row r="880" spans="10:14" x14ac:dyDescent="0.2">
      <c r="J880" s="307"/>
      <c r="N880" s="307"/>
    </row>
    <row r="881" spans="10:14" x14ac:dyDescent="0.2">
      <c r="J881" s="307"/>
      <c r="N881" s="307"/>
    </row>
    <row r="882" spans="10:14" x14ac:dyDescent="0.2">
      <c r="J882" s="307"/>
      <c r="N882" s="307"/>
    </row>
    <row r="883" spans="10:14" x14ac:dyDescent="0.2">
      <c r="J883" s="307"/>
      <c r="N883" s="307"/>
    </row>
    <row r="884" spans="10:14" x14ac:dyDescent="0.2">
      <c r="J884" s="307"/>
      <c r="N884" s="307"/>
    </row>
    <row r="885" spans="10:14" x14ac:dyDescent="0.2">
      <c r="J885" s="307"/>
      <c r="N885" s="307"/>
    </row>
    <row r="886" spans="10:14" x14ac:dyDescent="0.2">
      <c r="J886" s="307"/>
      <c r="N886" s="307"/>
    </row>
    <row r="887" spans="10:14" x14ac:dyDescent="0.2">
      <c r="J887" s="307"/>
      <c r="N887" s="307"/>
    </row>
    <row r="888" spans="10:14" x14ac:dyDescent="0.2">
      <c r="J888" s="307"/>
      <c r="N888" s="307"/>
    </row>
    <row r="889" spans="10:14" x14ac:dyDescent="0.2">
      <c r="J889" s="307"/>
      <c r="N889" s="307"/>
    </row>
    <row r="890" spans="10:14" x14ac:dyDescent="0.2">
      <c r="J890" s="307"/>
      <c r="N890" s="307"/>
    </row>
    <row r="891" spans="10:14" x14ac:dyDescent="0.2">
      <c r="J891" s="307"/>
      <c r="N891" s="307"/>
    </row>
    <row r="892" spans="10:14" x14ac:dyDescent="0.2">
      <c r="J892" s="307"/>
      <c r="N892" s="307"/>
    </row>
    <row r="893" spans="10:14" x14ac:dyDescent="0.2">
      <c r="J893" s="307"/>
      <c r="N893" s="307"/>
    </row>
    <row r="894" spans="10:14" x14ac:dyDescent="0.2">
      <c r="J894" s="307"/>
      <c r="N894" s="307"/>
    </row>
    <row r="895" spans="10:14" x14ac:dyDescent="0.2">
      <c r="J895" s="307"/>
      <c r="N895" s="307"/>
    </row>
    <row r="896" spans="10:14" x14ac:dyDescent="0.2">
      <c r="J896" s="307"/>
      <c r="N896" s="307"/>
    </row>
    <row r="897" spans="10:14" x14ac:dyDescent="0.2">
      <c r="J897" s="307"/>
      <c r="N897" s="307"/>
    </row>
    <row r="898" spans="10:14" x14ac:dyDescent="0.2">
      <c r="J898" s="307"/>
      <c r="N898" s="307"/>
    </row>
    <row r="899" spans="10:14" x14ac:dyDescent="0.2">
      <c r="J899" s="307"/>
      <c r="N899" s="307"/>
    </row>
    <row r="900" spans="10:14" x14ac:dyDescent="0.2">
      <c r="J900" s="307"/>
      <c r="N900" s="307"/>
    </row>
    <row r="901" spans="10:14" x14ac:dyDescent="0.2">
      <c r="J901" s="307"/>
      <c r="N901" s="307"/>
    </row>
    <row r="902" spans="10:14" x14ac:dyDescent="0.2">
      <c r="J902" s="307"/>
      <c r="N902" s="307"/>
    </row>
    <row r="903" spans="10:14" x14ac:dyDescent="0.2">
      <c r="J903" s="307"/>
      <c r="N903" s="307"/>
    </row>
    <row r="904" spans="10:14" x14ac:dyDescent="0.2">
      <c r="J904" s="307"/>
      <c r="N904" s="307"/>
    </row>
    <row r="905" spans="10:14" x14ac:dyDescent="0.2">
      <c r="J905" s="307"/>
      <c r="N905" s="307"/>
    </row>
    <row r="906" spans="10:14" x14ac:dyDescent="0.2">
      <c r="J906" s="307"/>
      <c r="N906" s="307"/>
    </row>
    <row r="907" spans="10:14" x14ac:dyDescent="0.2">
      <c r="J907" s="307"/>
      <c r="N907" s="307"/>
    </row>
    <row r="908" spans="10:14" x14ac:dyDescent="0.2">
      <c r="J908" s="307"/>
      <c r="N908" s="307"/>
    </row>
    <row r="909" spans="10:14" x14ac:dyDescent="0.2">
      <c r="J909" s="307"/>
      <c r="N909" s="307"/>
    </row>
    <row r="910" spans="10:14" x14ac:dyDescent="0.2">
      <c r="J910" s="307"/>
      <c r="N910" s="307"/>
    </row>
    <row r="911" spans="10:14" x14ac:dyDescent="0.2">
      <c r="J911" s="307"/>
      <c r="N911" s="307"/>
    </row>
    <row r="912" spans="10:14" x14ac:dyDescent="0.2">
      <c r="J912" s="307"/>
      <c r="N912" s="307"/>
    </row>
    <row r="913" spans="10:14" x14ac:dyDescent="0.2">
      <c r="J913" s="307"/>
      <c r="N913" s="307"/>
    </row>
    <row r="914" spans="10:14" x14ac:dyDescent="0.2">
      <c r="J914" s="307"/>
      <c r="N914" s="307"/>
    </row>
    <row r="915" spans="10:14" x14ac:dyDescent="0.2">
      <c r="J915" s="307"/>
      <c r="N915" s="307"/>
    </row>
    <row r="916" spans="10:14" x14ac:dyDescent="0.2">
      <c r="J916" s="307"/>
      <c r="N916" s="307"/>
    </row>
    <row r="917" spans="10:14" x14ac:dyDescent="0.2">
      <c r="J917" s="307"/>
      <c r="N917" s="307"/>
    </row>
    <row r="918" spans="10:14" x14ac:dyDescent="0.2">
      <c r="J918" s="307"/>
      <c r="N918" s="307"/>
    </row>
    <row r="919" spans="10:14" x14ac:dyDescent="0.2">
      <c r="J919" s="307"/>
      <c r="N919" s="307"/>
    </row>
    <row r="920" spans="10:14" x14ac:dyDescent="0.2">
      <c r="J920" s="307"/>
      <c r="N920" s="307"/>
    </row>
    <row r="921" spans="10:14" x14ac:dyDescent="0.2">
      <c r="J921" s="307"/>
      <c r="N921" s="307"/>
    </row>
    <row r="922" spans="10:14" x14ac:dyDescent="0.2">
      <c r="J922" s="307"/>
      <c r="N922" s="307"/>
    </row>
    <row r="923" spans="10:14" x14ac:dyDescent="0.2">
      <c r="J923" s="307"/>
      <c r="N923" s="307"/>
    </row>
    <row r="924" spans="10:14" x14ac:dyDescent="0.2">
      <c r="J924" s="307"/>
      <c r="N924" s="307"/>
    </row>
    <row r="925" spans="10:14" x14ac:dyDescent="0.2">
      <c r="J925" s="307"/>
      <c r="N925" s="307"/>
    </row>
    <row r="926" spans="10:14" x14ac:dyDescent="0.2">
      <c r="J926" s="307"/>
      <c r="N926" s="307"/>
    </row>
    <row r="927" spans="10:14" x14ac:dyDescent="0.2">
      <c r="J927" s="307"/>
      <c r="N927" s="307"/>
    </row>
    <row r="928" spans="10:14" x14ac:dyDescent="0.2">
      <c r="J928" s="307"/>
      <c r="N928" s="307"/>
    </row>
    <row r="929" spans="10:14" x14ac:dyDescent="0.2">
      <c r="J929" s="307"/>
      <c r="N929" s="307"/>
    </row>
    <row r="930" spans="10:14" x14ac:dyDescent="0.2">
      <c r="J930" s="307"/>
      <c r="N930" s="307"/>
    </row>
    <row r="931" spans="10:14" x14ac:dyDescent="0.2">
      <c r="J931" s="307"/>
      <c r="N931" s="307"/>
    </row>
    <row r="932" spans="10:14" x14ac:dyDescent="0.2">
      <c r="J932" s="307"/>
      <c r="N932" s="307"/>
    </row>
    <row r="933" spans="10:14" x14ac:dyDescent="0.2">
      <c r="J933" s="307"/>
      <c r="N933" s="307"/>
    </row>
    <row r="934" spans="10:14" x14ac:dyDescent="0.2">
      <c r="J934" s="307"/>
      <c r="N934" s="307"/>
    </row>
    <row r="935" spans="10:14" x14ac:dyDescent="0.2">
      <c r="J935" s="307"/>
      <c r="N935" s="307"/>
    </row>
    <row r="936" spans="10:14" x14ac:dyDescent="0.2">
      <c r="J936" s="307"/>
      <c r="N936" s="307"/>
    </row>
    <row r="937" spans="10:14" x14ac:dyDescent="0.2">
      <c r="J937" s="307"/>
      <c r="N937" s="307"/>
    </row>
    <row r="938" spans="10:14" x14ac:dyDescent="0.2">
      <c r="J938" s="307"/>
      <c r="N938" s="307"/>
    </row>
    <row r="939" spans="10:14" x14ac:dyDescent="0.2">
      <c r="J939" s="307"/>
      <c r="N939" s="307"/>
    </row>
    <row r="940" spans="10:14" x14ac:dyDescent="0.2">
      <c r="J940" s="307"/>
      <c r="N940" s="307"/>
    </row>
    <row r="941" spans="10:14" x14ac:dyDescent="0.2">
      <c r="J941" s="307"/>
      <c r="N941" s="307"/>
    </row>
    <row r="942" spans="10:14" x14ac:dyDescent="0.2">
      <c r="J942" s="307"/>
      <c r="N942" s="307"/>
    </row>
    <row r="943" spans="10:14" x14ac:dyDescent="0.2">
      <c r="J943" s="307"/>
      <c r="N943" s="307"/>
    </row>
    <row r="944" spans="10:14" x14ac:dyDescent="0.2">
      <c r="J944" s="307"/>
      <c r="N944" s="307"/>
    </row>
    <row r="945" spans="10:14" x14ac:dyDescent="0.2">
      <c r="J945" s="307"/>
      <c r="N945" s="307"/>
    </row>
    <row r="946" spans="10:14" x14ac:dyDescent="0.2">
      <c r="J946" s="307"/>
      <c r="N946" s="307"/>
    </row>
    <row r="947" spans="10:14" x14ac:dyDescent="0.2">
      <c r="J947" s="307"/>
      <c r="N947" s="307"/>
    </row>
    <row r="948" spans="10:14" x14ac:dyDescent="0.2">
      <c r="J948" s="307"/>
      <c r="N948" s="307"/>
    </row>
    <row r="949" spans="10:14" x14ac:dyDescent="0.2">
      <c r="J949" s="307"/>
      <c r="N949" s="307"/>
    </row>
    <row r="950" spans="10:14" x14ac:dyDescent="0.2">
      <c r="J950" s="307"/>
      <c r="N950" s="307"/>
    </row>
    <row r="951" spans="10:14" x14ac:dyDescent="0.2">
      <c r="J951" s="307"/>
      <c r="N951" s="307"/>
    </row>
    <row r="952" spans="10:14" x14ac:dyDescent="0.2">
      <c r="J952" s="307"/>
      <c r="N952" s="307"/>
    </row>
    <row r="953" spans="10:14" x14ac:dyDescent="0.2">
      <c r="J953" s="307"/>
      <c r="N953" s="307"/>
    </row>
    <row r="954" spans="10:14" x14ac:dyDescent="0.2">
      <c r="J954" s="307"/>
      <c r="N954" s="307"/>
    </row>
    <row r="955" spans="10:14" x14ac:dyDescent="0.2">
      <c r="J955" s="307"/>
      <c r="N955" s="307"/>
    </row>
    <row r="956" spans="10:14" x14ac:dyDescent="0.2">
      <c r="J956" s="307"/>
      <c r="N956" s="307"/>
    </row>
    <row r="957" spans="10:14" x14ac:dyDescent="0.2">
      <c r="J957" s="307"/>
      <c r="N957" s="307"/>
    </row>
    <row r="958" spans="10:14" x14ac:dyDescent="0.2">
      <c r="J958" s="307"/>
      <c r="N958" s="307"/>
    </row>
    <row r="959" spans="10:14" x14ac:dyDescent="0.2">
      <c r="J959" s="307"/>
      <c r="N959" s="307"/>
    </row>
    <row r="960" spans="10:14" x14ac:dyDescent="0.2">
      <c r="J960" s="307"/>
      <c r="N960" s="307"/>
    </row>
    <row r="961" spans="10:14" x14ac:dyDescent="0.2">
      <c r="J961" s="307"/>
      <c r="N961" s="307"/>
    </row>
    <row r="962" spans="10:14" x14ac:dyDescent="0.2">
      <c r="J962" s="307"/>
      <c r="N962" s="307"/>
    </row>
    <row r="963" spans="10:14" x14ac:dyDescent="0.2">
      <c r="J963" s="307"/>
      <c r="N963" s="307"/>
    </row>
    <row r="964" spans="10:14" x14ac:dyDescent="0.2">
      <c r="J964" s="307"/>
      <c r="N964" s="307"/>
    </row>
    <row r="965" spans="10:14" x14ac:dyDescent="0.2">
      <c r="J965" s="307"/>
      <c r="N965" s="307"/>
    </row>
    <row r="966" spans="10:14" x14ac:dyDescent="0.2">
      <c r="J966" s="307"/>
      <c r="N966" s="307"/>
    </row>
    <row r="967" spans="10:14" x14ac:dyDescent="0.2">
      <c r="J967" s="307"/>
      <c r="N967" s="307"/>
    </row>
    <row r="968" spans="10:14" x14ac:dyDescent="0.2">
      <c r="J968" s="307"/>
      <c r="N968" s="307"/>
    </row>
    <row r="969" spans="10:14" x14ac:dyDescent="0.2">
      <c r="J969" s="307"/>
      <c r="N969" s="307"/>
    </row>
    <row r="970" spans="10:14" x14ac:dyDescent="0.2">
      <c r="J970" s="307"/>
      <c r="N970" s="307"/>
    </row>
    <row r="971" spans="10:14" x14ac:dyDescent="0.2">
      <c r="J971" s="307"/>
      <c r="N971" s="307"/>
    </row>
    <row r="972" spans="10:14" x14ac:dyDescent="0.2">
      <c r="J972" s="307"/>
      <c r="N972" s="307"/>
    </row>
    <row r="973" spans="10:14" x14ac:dyDescent="0.2">
      <c r="J973" s="307"/>
      <c r="N973" s="307"/>
    </row>
    <row r="974" spans="10:14" x14ac:dyDescent="0.2">
      <c r="J974" s="307"/>
      <c r="N974" s="307"/>
    </row>
    <row r="975" spans="10:14" x14ac:dyDescent="0.2">
      <c r="J975" s="307"/>
      <c r="N975" s="307"/>
    </row>
    <row r="976" spans="10:14" x14ac:dyDescent="0.2">
      <c r="J976" s="307"/>
      <c r="N976" s="307"/>
    </row>
    <row r="977" spans="10:14" x14ac:dyDescent="0.2">
      <c r="J977" s="307"/>
      <c r="N977" s="307"/>
    </row>
    <row r="978" spans="10:14" x14ac:dyDescent="0.2">
      <c r="J978" s="307"/>
      <c r="N978" s="307"/>
    </row>
    <row r="979" spans="10:14" x14ac:dyDescent="0.2">
      <c r="J979" s="307"/>
      <c r="N979" s="307"/>
    </row>
    <row r="980" spans="10:14" x14ac:dyDescent="0.2">
      <c r="J980" s="307"/>
      <c r="N980" s="307"/>
    </row>
    <row r="981" spans="10:14" x14ac:dyDescent="0.2">
      <c r="J981" s="307"/>
      <c r="N981" s="307"/>
    </row>
    <row r="982" spans="10:14" x14ac:dyDescent="0.2">
      <c r="J982" s="307"/>
      <c r="N982" s="307"/>
    </row>
    <row r="983" spans="10:14" x14ac:dyDescent="0.2">
      <c r="J983" s="307"/>
      <c r="N983" s="307"/>
    </row>
    <row r="984" spans="10:14" x14ac:dyDescent="0.2">
      <c r="J984" s="307"/>
      <c r="N984" s="307"/>
    </row>
    <row r="985" spans="10:14" x14ac:dyDescent="0.2">
      <c r="J985" s="307"/>
      <c r="N985" s="307"/>
    </row>
    <row r="986" spans="10:14" x14ac:dyDescent="0.2">
      <c r="J986" s="307"/>
      <c r="N986" s="307"/>
    </row>
    <row r="987" spans="10:14" x14ac:dyDescent="0.2">
      <c r="J987" s="307"/>
      <c r="N987" s="307"/>
    </row>
    <row r="988" spans="10:14" x14ac:dyDescent="0.2">
      <c r="J988" s="307"/>
      <c r="N988" s="307"/>
    </row>
    <row r="989" spans="10:14" x14ac:dyDescent="0.2">
      <c r="J989" s="307"/>
      <c r="N989" s="307"/>
    </row>
    <row r="990" spans="10:14" x14ac:dyDescent="0.2">
      <c r="J990" s="307"/>
      <c r="N990" s="307"/>
    </row>
    <row r="991" spans="10:14" x14ac:dyDescent="0.2">
      <c r="J991" s="307"/>
      <c r="N991" s="307"/>
    </row>
    <row r="992" spans="10:14" x14ac:dyDescent="0.2">
      <c r="J992" s="307"/>
      <c r="N992" s="307"/>
    </row>
    <row r="993" spans="10:14" x14ac:dyDescent="0.2">
      <c r="J993" s="307"/>
      <c r="N993" s="307"/>
    </row>
    <row r="994" spans="10:14" x14ac:dyDescent="0.2">
      <c r="J994" s="307"/>
      <c r="N994" s="307"/>
    </row>
    <row r="995" spans="10:14" x14ac:dyDescent="0.2">
      <c r="J995" s="307"/>
      <c r="N995" s="307"/>
    </row>
    <row r="996" spans="10:14" x14ac:dyDescent="0.2">
      <c r="J996" s="307"/>
      <c r="N996" s="307"/>
    </row>
    <row r="997" spans="10:14" x14ac:dyDescent="0.2">
      <c r="J997" s="307"/>
      <c r="N997" s="307"/>
    </row>
    <row r="998" spans="10:14" x14ac:dyDescent="0.2">
      <c r="J998" s="307"/>
      <c r="N998" s="307"/>
    </row>
    <row r="999" spans="10:14" x14ac:dyDescent="0.2">
      <c r="J999" s="307"/>
      <c r="N999" s="307"/>
    </row>
    <row r="1000" spans="10:14" x14ac:dyDescent="0.2">
      <c r="J1000" s="307"/>
      <c r="N1000" s="307"/>
    </row>
    <row r="1001" spans="10:14" x14ac:dyDescent="0.2">
      <c r="J1001" s="307"/>
      <c r="N1001" s="307"/>
    </row>
    <row r="1002" spans="10:14" x14ac:dyDescent="0.2">
      <c r="J1002" s="307"/>
      <c r="N1002" s="307"/>
    </row>
    <row r="1003" spans="10:14" x14ac:dyDescent="0.2">
      <c r="J1003" s="307"/>
      <c r="N1003" s="307"/>
    </row>
    <row r="1004" spans="10:14" x14ac:dyDescent="0.2">
      <c r="J1004" s="307"/>
      <c r="N1004" s="307"/>
    </row>
    <row r="1005" spans="10:14" x14ac:dyDescent="0.2">
      <c r="J1005" s="307"/>
      <c r="N1005" s="307"/>
    </row>
    <row r="1006" spans="10:14" x14ac:dyDescent="0.2">
      <c r="J1006" s="307"/>
      <c r="N1006" s="307"/>
    </row>
    <row r="1007" spans="10:14" x14ac:dyDescent="0.2">
      <c r="J1007" s="307"/>
      <c r="N1007" s="307"/>
    </row>
    <row r="1008" spans="10:14" x14ac:dyDescent="0.2">
      <c r="J1008" s="307"/>
      <c r="N1008" s="307"/>
    </row>
    <row r="1009" spans="10:14" x14ac:dyDescent="0.2">
      <c r="J1009" s="307"/>
      <c r="N1009" s="307"/>
    </row>
    <row r="1010" spans="10:14" x14ac:dyDescent="0.2">
      <c r="J1010" s="307"/>
      <c r="N1010" s="307"/>
    </row>
    <row r="1011" spans="10:14" x14ac:dyDescent="0.2">
      <c r="J1011" s="307"/>
      <c r="N1011" s="307"/>
    </row>
    <row r="1012" spans="10:14" x14ac:dyDescent="0.2">
      <c r="J1012" s="307"/>
      <c r="N1012" s="307"/>
    </row>
    <row r="1013" spans="10:14" x14ac:dyDescent="0.2">
      <c r="J1013" s="307"/>
      <c r="N1013" s="307"/>
    </row>
    <row r="1014" spans="10:14" x14ac:dyDescent="0.2">
      <c r="J1014" s="307"/>
      <c r="N1014" s="307"/>
    </row>
    <row r="1015" spans="10:14" x14ac:dyDescent="0.2">
      <c r="J1015" s="307"/>
      <c r="N1015" s="307"/>
    </row>
    <row r="1016" spans="10:14" x14ac:dyDescent="0.2">
      <c r="J1016" s="307"/>
      <c r="N1016" s="307"/>
    </row>
    <row r="1017" spans="10:14" x14ac:dyDescent="0.2">
      <c r="J1017" s="307"/>
      <c r="N1017" s="307"/>
    </row>
    <row r="1018" spans="10:14" x14ac:dyDescent="0.2">
      <c r="J1018" s="307"/>
      <c r="N1018" s="307"/>
    </row>
    <row r="1019" spans="10:14" x14ac:dyDescent="0.2">
      <c r="J1019" s="307"/>
      <c r="N1019" s="307"/>
    </row>
    <row r="1020" spans="10:14" x14ac:dyDescent="0.2">
      <c r="J1020" s="307"/>
      <c r="N1020" s="307"/>
    </row>
    <row r="1021" spans="10:14" x14ac:dyDescent="0.2">
      <c r="J1021" s="307"/>
      <c r="N1021" s="307"/>
    </row>
    <row r="1022" spans="10:14" x14ac:dyDescent="0.2">
      <c r="J1022" s="307"/>
      <c r="N1022" s="307"/>
    </row>
    <row r="1023" spans="10:14" x14ac:dyDescent="0.2">
      <c r="J1023" s="307"/>
      <c r="N1023" s="307"/>
    </row>
    <row r="1024" spans="10:14" x14ac:dyDescent="0.2">
      <c r="J1024" s="307"/>
      <c r="N1024" s="307"/>
    </row>
    <row r="1025" spans="10:14" x14ac:dyDescent="0.2">
      <c r="J1025" s="307"/>
      <c r="N1025" s="307"/>
    </row>
    <row r="1026" spans="10:14" x14ac:dyDescent="0.2">
      <c r="J1026" s="307"/>
      <c r="N1026" s="307"/>
    </row>
    <row r="1027" spans="10:14" x14ac:dyDescent="0.2">
      <c r="J1027" s="307"/>
      <c r="N1027" s="307"/>
    </row>
    <row r="1028" spans="10:14" x14ac:dyDescent="0.2">
      <c r="J1028" s="307"/>
      <c r="N1028" s="307"/>
    </row>
    <row r="1029" spans="10:14" x14ac:dyDescent="0.2">
      <c r="J1029" s="307"/>
      <c r="N1029" s="307"/>
    </row>
  </sheetData>
  <mergeCells count="50">
    <mergeCell ref="C44:D44"/>
    <mergeCell ref="F97:J97"/>
    <mergeCell ref="F1:J1"/>
    <mergeCell ref="K1:N1"/>
    <mergeCell ref="C2:D2"/>
    <mergeCell ref="I2:J2"/>
    <mergeCell ref="F43:J43"/>
    <mergeCell ref="K43:N43"/>
    <mergeCell ref="W97:X97"/>
    <mergeCell ref="C98:D98"/>
    <mergeCell ref="X108:Y108"/>
    <mergeCell ref="C248:D248"/>
    <mergeCell ref="C120:D120"/>
    <mergeCell ref="X144:Y144"/>
    <mergeCell ref="F160:J160"/>
    <mergeCell ref="C161:D161"/>
    <mergeCell ref="F193:J193"/>
    <mergeCell ref="C194:D194"/>
    <mergeCell ref="F227:J227"/>
    <mergeCell ref="C228:D228"/>
    <mergeCell ref="B245:I245"/>
    <mergeCell ref="C246:D246"/>
    <mergeCell ref="C247:D247"/>
    <mergeCell ref="F119:J119"/>
    <mergeCell ref="C260:D260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F261:G261"/>
    <mergeCell ref="H261:I261"/>
    <mergeCell ref="F262:G262"/>
    <mergeCell ref="H262:I262"/>
    <mergeCell ref="F263:G263"/>
    <mergeCell ref="H263:I263"/>
    <mergeCell ref="F267:G267"/>
    <mergeCell ref="H267:I267"/>
    <mergeCell ref="F264:G264"/>
    <mergeCell ref="H264:I264"/>
    <mergeCell ref="F265:G265"/>
    <mergeCell ref="H265:I265"/>
    <mergeCell ref="F266:G266"/>
    <mergeCell ref="H266:I266"/>
  </mergeCells>
  <pageMargins left="0.7" right="0.7" top="0.78740157499999996" bottom="0.78740157499999996" header="0.3" footer="0.3"/>
  <pageSetup paperSize="9" scale="34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7CA9-6C6A-496B-8E9A-D981BA17F1AD}">
  <sheetPr codeName="Tabelle9">
    <pageSetUpPr fitToPage="1"/>
  </sheetPr>
  <dimension ref="A1:AD1019"/>
  <sheetViews>
    <sheetView zoomScale="85" zoomScaleNormal="85" workbookViewId="0">
      <selection activeCell="C41" sqref="C41"/>
    </sheetView>
  </sheetViews>
  <sheetFormatPr baseColWidth="10" defaultRowHeight="14.25" x14ac:dyDescent="0.2"/>
  <cols>
    <col min="1" max="1" width="16" style="206" customWidth="1"/>
    <col min="2" max="2" width="28.75" style="206" customWidth="1"/>
    <col min="3" max="3" width="17" style="206" customWidth="1"/>
    <col min="4" max="4" width="7.25" style="206" customWidth="1"/>
    <col min="5" max="5" width="35.125" style="12" customWidth="1"/>
    <col min="6" max="6" width="11.625" style="206" customWidth="1"/>
    <col min="7" max="7" width="10.75" style="206" customWidth="1"/>
    <col min="8" max="8" width="9.625" style="206" customWidth="1"/>
    <col min="9" max="9" width="10" style="206" customWidth="1"/>
    <col min="10" max="10" width="15.25" style="20" customWidth="1"/>
    <col min="11" max="11" width="11" style="206"/>
    <col min="12" max="12" width="9" style="206" customWidth="1"/>
    <col min="13" max="13" width="18.625" style="206" customWidth="1"/>
    <col min="14" max="14" width="26.25" style="20" customWidth="1"/>
    <col min="15" max="15" width="11" style="206"/>
    <col min="16" max="16" width="10.625" style="206" customWidth="1"/>
    <col min="17" max="17" width="25.375" style="206" customWidth="1"/>
    <col min="18" max="18" width="20.625" style="206" customWidth="1"/>
    <col min="19" max="19" width="17.75" style="206" customWidth="1"/>
    <col min="20" max="21" width="11" style="206"/>
    <col min="22" max="22" width="31.5" style="206" customWidth="1"/>
    <col min="23" max="23" width="21" style="206" customWidth="1"/>
    <col min="24" max="24" width="17.125" style="206" customWidth="1"/>
    <col min="25" max="25" width="17.5" style="206" customWidth="1"/>
    <col min="26" max="26" width="22.375" style="206" customWidth="1"/>
    <col min="27" max="27" width="22.5" style="206" customWidth="1"/>
    <col min="28" max="28" width="20.5" style="206" customWidth="1"/>
    <col min="29" max="16384" width="11" style="206"/>
  </cols>
  <sheetData>
    <row r="1" spans="1:27" ht="18.75" thickBot="1" x14ac:dyDescent="0.25">
      <c r="B1" s="16"/>
      <c r="C1" s="16"/>
      <c r="D1" s="16"/>
      <c r="E1" s="16"/>
      <c r="F1" s="355" t="s">
        <v>111</v>
      </c>
      <c r="G1" s="355"/>
      <c r="H1" s="355"/>
      <c r="I1" s="355"/>
      <c r="J1" s="355"/>
      <c r="K1" s="351" t="s">
        <v>40</v>
      </c>
      <c r="L1" s="351"/>
      <c r="M1" s="351"/>
      <c r="N1" s="351"/>
    </row>
    <row r="2" spans="1:27" ht="57" x14ac:dyDescent="0.2">
      <c r="A2" s="1" t="s">
        <v>33</v>
      </c>
      <c r="B2" s="2"/>
      <c r="C2" s="356" t="s">
        <v>0</v>
      </c>
      <c r="D2" s="357"/>
      <c r="E2" s="214" t="s">
        <v>19</v>
      </c>
      <c r="F2" s="2" t="s">
        <v>1</v>
      </c>
      <c r="G2" s="2" t="s">
        <v>24</v>
      </c>
      <c r="H2" s="2" t="s">
        <v>22</v>
      </c>
      <c r="I2" s="356" t="s">
        <v>35</v>
      </c>
      <c r="J2" s="358"/>
      <c r="K2" s="215" t="s">
        <v>2</v>
      </c>
      <c r="L2" s="2" t="s">
        <v>3</v>
      </c>
      <c r="M2" s="2" t="s">
        <v>4</v>
      </c>
      <c r="N2" s="10" t="s">
        <v>5</v>
      </c>
      <c r="Z2" s="206" t="s">
        <v>134</v>
      </c>
      <c r="AA2" s="206" t="s">
        <v>131</v>
      </c>
    </row>
    <row r="3" spans="1:27" ht="16.5" thickBot="1" x14ac:dyDescent="0.25">
      <c r="A3" s="5"/>
      <c r="B3" s="6"/>
      <c r="C3" s="7" t="s">
        <v>35</v>
      </c>
      <c r="D3" s="37" t="s">
        <v>115</v>
      </c>
      <c r="E3" s="11"/>
      <c r="F3" s="6" t="s">
        <v>6</v>
      </c>
      <c r="G3" s="6" t="s">
        <v>23</v>
      </c>
      <c r="H3" s="6"/>
      <c r="I3" s="7" t="s">
        <v>35</v>
      </c>
      <c r="J3" s="37" t="s">
        <v>115</v>
      </c>
      <c r="K3" s="18" t="s">
        <v>34</v>
      </c>
      <c r="L3" s="6" t="s">
        <v>7</v>
      </c>
      <c r="M3" s="6"/>
      <c r="N3" s="8"/>
    </row>
    <row r="4" spans="1:27" x14ac:dyDescent="0.2">
      <c r="A4" s="147" t="s">
        <v>90</v>
      </c>
      <c r="B4" s="147"/>
      <c r="C4" s="147"/>
      <c r="D4" s="147"/>
      <c r="E4" s="148"/>
      <c r="F4" s="208"/>
      <c r="K4" s="17"/>
      <c r="L4" s="13"/>
      <c r="N4" s="206"/>
      <c r="U4" s="206" t="s">
        <v>124</v>
      </c>
      <c r="W4" s="206">
        <v>300</v>
      </c>
      <c r="X4" s="206" t="s">
        <v>130</v>
      </c>
      <c r="Y4" s="206" t="s">
        <v>125</v>
      </c>
      <c r="Z4" s="206">
        <v>466</v>
      </c>
      <c r="AA4" s="206">
        <f>W4/1000*Z4/1000</f>
        <v>0.13979999999999998</v>
      </c>
    </row>
    <row r="5" spans="1:27" ht="14.25" customHeight="1" x14ac:dyDescent="0.2">
      <c r="A5" s="161" t="s">
        <v>239</v>
      </c>
      <c r="B5" s="147" t="s">
        <v>14</v>
      </c>
      <c r="C5" s="147">
        <f>1395+927+1122</f>
        <v>3444</v>
      </c>
      <c r="D5" s="147" t="s">
        <v>10</v>
      </c>
      <c r="E5" s="149" t="s">
        <v>262</v>
      </c>
      <c r="F5" s="208">
        <f>C5</f>
        <v>3444</v>
      </c>
      <c r="I5" s="206">
        <f>C5</f>
        <v>3444</v>
      </c>
      <c r="J5" s="20" t="s">
        <v>10</v>
      </c>
      <c r="K5" s="17">
        <f>AA27</f>
        <v>0.15598800000000002</v>
      </c>
      <c r="L5" s="208">
        <f>I5*K5</f>
        <v>537.2226720000001</v>
      </c>
      <c r="N5" s="206" t="s">
        <v>49</v>
      </c>
      <c r="W5" s="206">
        <v>100</v>
      </c>
      <c r="X5" s="206" t="s">
        <v>130</v>
      </c>
      <c r="Y5" s="206" t="s">
        <v>126</v>
      </c>
      <c r="Z5" s="206">
        <v>0.1</v>
      </c>
      <c r="AA5" s="206">
        <f t="shared" ref="AA5:AA10" si="0">W5/1000*Z5/1000</f>
        <v>1.0000000000000003E-5</v>
      </c>
    </row>
    <row r="6" spans="1:27" x14ac:dyDescent="0.2">
      <c r="A6" s="147"/>
      <c r="B6" s="147" t="s">
        <v>247</v>
      </c>
      <c r="C6" s="150">
        <v>198</v>
      </c>
      <c r="D6" s="147" t="s">
        <v>12</v>
      </c>
      <c r="E6" s="149" t="s">
        <v>38</v>
      </c>
      <c r="F6" s="208">
        <f>C6*0.4</f>
        <v>79.2</v>
      </c>
      <c r="I6" s="208">
        <f>F6</f>
        <v>79.2</v>
      </c>
      <c r="J6" s="20" t="s">
        <v>10</v>
      </c>
      <c r="K6" s="17">
        <f>AA12</f>
        <v>0.14654999999999999</v>
      </c>
      <c r="L6" s="208">
        <f t="shared" ref="L6:L9" si="1">I6*K6</f>
        <v>11.60676</v>
      </c>
      <c r="N6" s="206" t="s">
        <v>49</v>
      </c>
      <c r="W6" s="206">
        <f>650+340+680</f>
        <v>1670</v>
      </c>
      <c r="X6" s="206" t="s">
        <v>130</v>
      </c>
      <c r="Y6" s="206" t="s">
        <v>127</v>
      </c>
      <c r="Z6" s="206">
        <v>4</v>
      </c>
      <c r="AA6" s="206">
        <f t="shared" si="0"/>
        <v>6.6799999999999993E-3</v>
      </c>
    </row>
    <row r="7" spans="1:27" x14ac:dyDescent="0.2">
      <c r="A7" s="147"/>
      <c r="B7" s="147" t="s">
        <v>249</v>
      </c>
      <c r="C7" s="147">
        <v>233</v>
      </c>
      <c r="D7" s="147" t="s">
        <v>11</v>
      </c>
      <c r="E7" s="149"/>
      <c r="F7" s="208" t="s">
        <v>25</v>
      </c>
      <c r="H7" s="206">
        <f>C7</f>
        <v>233</v>
      </c>
      <c r="I7" s="206">
        <f>H7</f>
        <v>233</v>
      </c>
      <c r="J7" s="20" t="s">
        <v>11</v>
      </c>
      <c r="K7" s="206">
        <v>0.65600000000000003</v>
      </c>
      <c r="L7" s="208">
        <f t="shared" si="1"/>
        <v>152.84800000000001</v>
      </c>
      <c r="M7" s="206" t="s">
        <v>41</v>
      </c>
      <c r="N7" s="206" t="s">
        <v>194</v>
      </c>
      <c r="W7" s="206">
        <f>200</f>
        <v>200</v>
      </c>
      <c r="X7" s="206" t="s">
        <v>130</v>
      </c>
      <c r="Y7" s="206" t="s">
        <v>128</v>
      </c>
      <c r="Z7" s="206">
        <v>0.3</v>
      </c>
      <c r="AA7" s="206">
        <f t="shared" si="0"/>
        <v>5.9999999999999995E-5</v>
      </c>
    </row>
    <row r="8" spans="1:27" x14ac:dyDescent="0.2">
      <c r="A8" s="147"/>
      <c r="B8" s="147" t="s">
        <v>188</v>
      </c>
      <c r="C8" s="147">
        <v>18</v>
      </c>
      <c r="D8" s="147" t="s">
        <v>11</v>
      </c>
      <c r="E8" s="149"/>
      <c r="F8" s="208"/>
      <c r="H8" s="150">
        <f>C8</f>
        <v>18</v>
      </c>
      <c r="I8" s="150">
        <f>H8</f>
        <v>18</v>
      </c>
      <c r="J8" s="20" t="s">
        <v>11</v>
      </c>
      <c r="K8" s="206">
        <v>2.5049999999999999</v>
      </c>
      <c r="L8" s="208">
        <f t="shared" si="1"/>
        <v>45.089999999999996</v>
      </c>
      <c r="M8" s="206" t="s">
        <v>193</v>
      </c>
      <c r="N8" s="206" t="s">
        <v>194</v>
      </c>
    </row>
    <row r="9" spans="1:27" ht="15" thickBot="1" x14ac:dyDescent="0.25">
      <c r="A9" s="147"/>
      <c r="B9" s="147" t="s">
        <v>189</v>
      </c>
      <c r="C9" s="147">
        <v>2906</v>
      </c>
      <c r="D9" s="147" t="s">
        <v>191</v>
      </c>
      <c r="E9" s="149" t="s">
        <v>192</v>
      </c>
      <c r="F9" s="208"/>
      <c r="I9" s="208">
        <f>C9*22/1000</f>
        <v>63.932000000000002</v>
      </c>
      <c r="J9" s="20" t="s">
        <v>11</v>
      </c>
      <c r="K9" s="206">
        <v>0.86</v>
      </c>
      <c r="L9" s="208">
        <f t="shared" si="1"/>
        <v>54.981520000000003</v>
      </c>
      <c r="M9" s="206" t="s">
        <v>48</v>
      </c>
      <c r="N9" s="206" t="s">
        <v>49</v>
      </c>
    </row>
    <row r="10" spans="1:27" ht="15" thickBot="1" x14ac:dyDescent="0.25">
      <c r="A10" s="39"/>
      <c r="E10" s="40"/>
      <c r="F10" s="208"/>
      <c r="J10" s="26"/>
      <c r="L10" s="36">
        <f>SUM(L4:L9)</f>
        <v>801.74895200000026</v>
      </c>
      <c r="N10" s="206"/>
      <c r="W10" s="206">
        <v>2.5</v>
      </c>
      <c r="X10" s="206" t="s">
        <v>130</v>
      </c>
      <c r="Y10" s="206" t="s">
        <v>129</v>
      </c>
      <c r="AA10" s="206">
        <f t="shared" si="0"/>
        <v>0</v>
      </c>
    </row>
    <row r="11" spans="1:27" ht="13.5" hidden="1" customHeight="1" x14ac:dyDescent="0.2">
      <c r="A11" s="39"/>
      <c r="B11" s="39">
        <v>0.9</v>
      </c>
      <c r="C11" s="39">
        <f>B11*C6*8</f>
        <v>1425.6000000000001</v>
      </c>
      <c r="D11" s="39"/>
      <c r="E11" s="39"/>
      <c r="J11" s="26"/>
      <c r="N11" s="206"/>
    </row>
    <row r="12" spans="1:27" hidden="1" x14ac:dyDescent="0.2">
      <c r="A12" s="39"/>
      <c r="B12" s="39"/>
      <c r="C12" s="39"/>
      <c r="D12" s="39"/>
      <c r="E12" s="39"/>
      <c r="J12" s="26"/>
      <c r="N12" s="206"/>
      <c r="Z12" s="55" t="s">
        <v>132</v>
      </c>
      <c r="AA12" s="56">
        <f>SUM(AA4:AA10)</f>
        <v>0.14654999999999999</v>
      </c>
    </row>
    <row r="13" spans="1:27" hidden="1" x14ac:dyDescent="0.2">
      <c r="A13" s="39" t="s">
        <v>91</v>
      </c>
      <c r="B13" s="39" t="s">
        <v>16</v>
      </c>
      <c r="C13" s="39">
        <v>0</v>
      </c>
      <c r="D13" s="39" t="s">
        <v>10</v>
      </c>
      <c r="E13" s="40" t="s">
        <v>39</v>
      </c>
      <c r="F13" s="50">
        <f>C13</f>
        <v>0</v>
      </c>
      <c r="G13" s="39"/>
      <c r="H13" s="39"/>
      <c r="I13" s="39">
        <v>0</v>
      </c>
      <c r="J13" s="157" t="s">
        <v>10</v>
      </c>
      <c r="K13" s="158">
        <f>AA38</f>
        <v>0.16428880000000001</v>
      </c>
      <c r="L13" s="50">
        <f>I13*K13</f>
        <v>0</v>
      </c>
      <c r="M13" s="39"/>
      <c r="N13" s="39"/>
    </row>
    <row r="14" spans="1:27" hidden="1" x14ac:dyDescent="0.2">
      <c r="A14" s="39"/>
      <c r="B14" s="39" t="s">
        <v>17</v>
      </c>
      <c r="C14" s="39">
        <v>0</v>
      </c>
      <c r="D14" s="39" t="s">
        <v>18</v>
      </c>
      <c r="E14" s="40" t="s">
        <v>190</v>
      </c>
      <c r="F14" s="50" t="s">
        <v>25</v>
      </c>
      <c r="G14" s="39"/>
      <c r="H14" s="39"/>
      <c r="I14" s="39">
        <f>15/1000*C14</f>
        <v>0</v>
      </c>
      <c r="J14" s="157" t="s">
        <v>11</v>
      </c>
      <c r="K14" s="39">
        <v>2.3140000000000001</v>
      </c>
      <c r="L14" s="50">
        <f>I14*K14</f>
        <v>0</v>
      </c>
      <c r="M14" s="39" t="s">
        <v>42</v>
      </c>
      <c r="N14" s="39" t="s">
        <v>194</v>
      </c>
    </row>
    <row r="15" spans="1:27" hidden="1" x14ac:dyDescent="0.2">
      <c r="A15" s="39"/>
      <c r="B15" s="39" t="s">
        <v>20</v>
      </c>
      <c r="C15" s="39">
        <v>0</v>
      </c>
      <c r="D15" s="39" t="s">
        <v>12</v>
      </c>
      <c r="E15" s="40"/>
      <c r="F15" s="49">
        <f>PI()*0.025^2*C15</f>
        <v>0</v>
      </c>
      <c r="G15" s="39">
        <v>7.8</v>
      </c>
      <c r="H15" s="49">
        <f>C15*21/1000</f>
        <v>0</v>
      </c>
      <c r="I15" s="49">
        <f>H15</f>
        <v>0</v>
      </c>
      <c r="J15" s="157" t="s">
        <v>11</v>
      </c>
      <c r="K15" s="39">
        <v>2.266</v>
      </c>
      <c r="L15" s="50">
        <f>I15*K15</f>
        <v>0</v>
      </c>
      <c r="M15" s="39" t="s">
        <v>41</v>
      </c>
      <c r="N15" s="39" t="s">
        <v>194</v>
      </c>
    </row>
    <row r="16" spans="1:27" ht="14.25" hidden="1" customHeight="1" thickBot="1" x14ac:dyDescent="0.25">
      <c r="A16" s="39"/>
      <c r="B16" s="39" t="s">
        <v>9</v>
      </c>
      <c r="C16" s="39">
        <v>0</v>
      </c>
      <c r="D16" s="39" t="s">
        <v>11</v>
      </c>
      <c r="E16" s="40" t="s">
        <v>21</v>
      </c>
      <c r="F16" s="49"/>
      <c r="G16" s="39"/>
      <c r="H16" s="49">
        <f>C16</f>
        <v>0</v>
      </c>
      <c r="I16" s="49">
        <f>H16</f>
        <v>0</v>
      </c>
      <c r="J16" s="157" t="s">
        <v>11</v>
      </c>
      <c r="K16" s="39">
        <v>0.91300000000000003</v>
      </c>
      <c r="L16" s="50">
        <f>I16*K16</f>
        <v>0</v>
      </c>
      <c r="M16" s="39" t="s">
        <v>48</v>
      </c>
      <c r="N16" s="39" t="s">
        <v>49</v>
      </c>
      <c r="Z16" s="206" t="s">
        <v>134</v>
      </c>
      <c r="AA16" s="206" t="s">
        <v>131</v>
      </c>
    </row>
    <row r="17" spans="1:27" ht="15" hidden="1" thickBot="1" x14ac:dyDescent="0.25">
      <c r="A17" s="39"/>
      <c r="B17" s="39"/>
      <c r="C17" s="39"/>
      <c r="D17" s="39"/>
      <c r="E17" s="40"/>
      <c r="F17" s="49"/>
      <c r="G17" s="39"/>
      <c r="H17" s="39"/>
      <c r="I17" s="39"/>
      <c r="J17" s="159"/>
      <c r="K17" s="39"/>
      <c r="L17" s="160">
        <f>SUM(L13:L16)</f>
        <v>0</v>
      </c>
      <c r="M17" s="39"/>
      <c r="N17" s="39"/>
    </row>
    <row r="18" spans="1:27" x14ac:dyDescent="0.2">
      <c r="A18" s="39"/>
      <c r="B18" s="39"/>
      <c r="C18" s="39"/>
      <c r="D18" s="39"/>
      <c r="E18" s="39"/>
      <c r="J18" s="26"/>
      <c r="N18" s="206"/>
      <c r="U18" s="206" t="s">
        <v>133</v>
      </c>
      <c r="W18" s="206">
        <v>320</v>
      </c>
      <c r="X18" s="206" t="s">
        <v>130</v>
      </c>
      <c r="Y18" s="206" t="s">
        <v>125</v>
      </c>
      <c r="Z18" s="206">
        <v>466</v>
      </c>
      <c r="AA18" s="206">
        <f>W18/1000*Z18/1000</f>
        <v>0.14912</v>
      </c>
    </row>
    <row r="19" spans="1:27" x14ac:dyDescent="0.2">
      <c r="A19" s="39"/>
      <c r="B19" s="39"/>
      <c r="C19" s="39"/>
      <c r="D19" s="39"/>
      <c r="E19" s="39"/>
      <c r="J19" s="26"/>
      <c r="N19" s="206"/>
      <c r="W19" s="206">
        <v>80</v>
      </c>
      <c r="X19" s="206" t="s">
        <v>130</v>
      </c>
      <c r="Y19" s="206" t="s">
        <v>126</v>
      </c>
      <c r="Z19" s="206">
        <v>0.1</v>
      </c>
      <c r="AA19" s="206">
        <f t="shared" ref="AA19:AA25" si="2">W19/1000*Z19/1000</f>
        <v>7.9999999999999996E-6</v>
      </c>
    </row>
    <row r="20" spans="1:27" x14ac:dyDescent="0.2">
      <c r="A20" s="147" t="s">
        <v>92</v>
      </c>
      <c r="B20" s="147" t="s">
        <v>28</v>
      </c>
      <c r="C20" s="150">
        <f>'MIP550-Verbauwand'!B3</f>
        <v>3430</v>
      </c>
      <c r="D20" s="147" t="s">
        <v>26</v>
      </c>
      <c r="E20" s="149" t="s">
        <v>260</v>
      </c>
      <c r="F20" s="154" t="s">
        <v>25</v>
      </c>
      <c r="G20" s="147"/>
      <c r="H20" s="156">
        <f>'MIP550-Verbauwand'!B3*(('MIP550-Verbauwand'!B7/1000)*0.55)</f>
        <v>811.19500000000005</v>
      </c>
      <c r="I20" s="154">
        <f>H20</f>
        <v>811.19500000000005</v>
      </c>
      <c r="J20" s="155" t="s">
        <v>11</v>
      </c>
      <c r="K20" s="17">
        <f>0.27*0.86+0.73*0.0796</f>
        <v>0.29030800000000001</v>
      </c>
      <c r="L20" s="208">
        <f>I20*K20</f>
        <v>235.49639806000002</v>
      </c>
      <c r="M20" s="206" t="s">
        <v>137</v>
      </c>
      <c r="N20" s="206" t="s">
        <v>49</v>
      </c>
      <c r="W20" s="206">
        <f>677+341+682</f>
        <v>1700</v>
      </c>
      <c r="X20" s="206" t="s">
        <v>130</v>
      </c>
      <c r="Y20" s="206" t="s">
        <v>127</v>
      </c>
      <c r="Z20" s="206">
        <v>4</v>
      </c>
      <c r="AA20" s="206">
        <f t="shared" si="2"/>
        <v>6.7999999999999996E-3</v>
      </c>
    </row>
    <row r="21" spans="1:27" ht="15" x14ac:dyDescent="0.2">
      <c r="A21" s="161" t="s">
        <v>240</v>
      </c>
      <c r="B21" s="147" t="s">
        <v>76</v>
      </c>
      <c r="C21" s="150">
        <f>'MIP550-Verbauwand'!B13</f>
        <v>270</v>
      </c>
      <c r="D21" s="147" t="s">
        <v>11</v>
      </c>
      <c r="E21" s="149" t="s">
        <v>261</v>
      </c>
      <c r="F21" s="154" t="s">
        <v>25</v>
      </c>
      <c r="G21" s="147"/>
      <c r="H21" s="147"/>
      <c r="I21" s="147">
        <f>C21</f>
        <v>270</v>
      </c>
      <c r="J21" s="155" t="s">
        <v>11</v>
      </c>
      <c r="K21" s="206">
        <v>0.67300000000000004</v>
      </c>
      <c r="L21" s="208">
        <f>I21*K21</f>
        <v>181.71</v>
      </c>
      <c r="M21" s="206" t="s">
        <v>42</v>
      </c>
      <c r="N21" s="206" t="s">
        <v>194</v>
      </c>
      <c r="W21" s="206">
        <f>200</f>
        <v>200</v>
      </c>
      <c r="X21" s="206" t="s">
        <v>130</v>
      </c>
      <c r="Y21" s="206" t="s">
        <v>128</v>
      </c>
      <c r="Z21" s="206">
        <v>0.3</v>
      </c>
      <c r="AA21" s="206">
        <f t="shared" si="2"/>
        <v>5.9999999999999995E-5</v>
      </c>
    </row>
    <row r="22" spans="1:27" x14ac:dyDescent="0.2">
      <c r="A22" s="147"/>
      <c r="B22" s="147" t="s">
        <v>188</v>
      </c>
      <c r="C22" s="198" t="e">
        <f>'MIP550-Verbauwand'!#REF!</f>
        <v>#REF!</v>
      </c>
      <c r="D22" s="147" t="s">
        <v>11</v>
      </c>
      <c r="E22" s="149"/>
      <c r="F22" s="156"/>
      <c r="G22" s="147"/>
      <c r="H22" s="156" t="e">
        <f>C22</f>
        <v>#REF!</v>
      </c>
      <c r="I22" s="147" t="e">
        <f>C22</f>
        <v>#REF!</v>
      </c>
      <c r="J22" s="155" t="s">
        <v>11</v>
      </c>
      <c r="K22" s="206">
        <v>2.5049999999999999</v>
      </c>
      <c r="L22" s="208" t="e">
        <f>I22*K22</f>
        <v>#REF!</v>
      </c>
      <c r="M22" s="206" t="s">
        <v>193</v>
      </c>
      <c r="N22" s="206" t="s">
        <v>194</v>
      </c>
    </row>
    <row r="23" spans="1:27" x14ac:dyDescent="0.2">
      <c r="A23" s="147"/>
      <c r="B23" s="147" t="s">
        <v>189</v>
      </c>
      <c r="C23" s="150" t="e">
        <f>'MIP550-Verbauwand'!#REF!</f>
        <v>#REF!</v>
      </c>
      <c r="D23" s="147" t="s">
        <v>191</v>
      </c>
      <c r="E23" s="149" t="s">
        <v>192</v>
      </c>
      <c r="F23" s="156"/>
      <c r="G23" s="147"/>
      <c r="H23" s="147"/>
      <c r="I23" s="156" t="e">
        <f>C23*22/1000</f>
        <v>#REF!</v>
      </c>
      <c r="J23" s="155" t="s">
        <v>11</v>
      </c>
      <c r="K23" s="206">
        <v>0.86</v>
      </c>
      <c r="L23" s="208" t="e">
        <f>I23*K23</f>
        <v>#REF!</v>
      </c>
      <c r="M23" s="206" t="s">
        <v>48</v>
      </c>
      <c r="N23" s="206" t="s">
        <v>49</v>
      </c>
    </row>
    <row r="24" spans="1:27" ht="15" thickBot="1" x14ac:dyDescent="0.25">
      <c r="A24" s="147"/>
      <c r="B24" s="147" t="s">
        <v>202</v>
      </c>
      <c r="C24" s="150">
        <f>C20</f>
        <v>3430</v>
      </c>
      <c r="D24" s="147" t="s">
        <v>26</v>
      </c>
      <c r="E24" s="149" t="s">
        <v>203</v>
      </c>
      <c r="F24" s="156"/>
      <c r="G24" s="147"/>
      <c r="H24" s="156">
        <f>'MIP550-Verbauwand'!B3*(('MIP550-Verbauwand'!B10/1000)*0.55)</f>
        <v>28.297500000000003</v>
      </c>
      <c r="I24" s="156">
        <f>H24</f>
        <v>28.297500000000003</v>
      </c>
      <c r="J24" s="155" t="s">
        <v>11</v>
      </c>
      <c r="K24" s="206">
        <v>0.47499999999999998</v>
      </c>
      <c r="L24" s="208">
        <f>I24*K24</f>
        <v>13.4413125</v>
      </c>
      <c r="M24" s="206" t="s">
        <v>204</v>
      </c>
      <c r="N24" s="206" t="s">
        <v>194</v>
      </c>
    </row>
    <row r="25" spans="1:27" ht="15" thickBot="1" x14ac:dyDescent="0.25">
      <c r="A25" s="39"/>
      <c r="B25" s="39"/>
      <c r="C25" s="39"/>
      <c r="D25" s="39"/>
      <c r="E25" s="40"/>
      <c r="F25" s="13"/>
      <c r="J25" s="26"/>
      <c r="L25" s="36" t="e">
        <f>SUM(L20:L24)</f>
        <v>#REF!</v>
      </c>
      <c r="N25" s="206"/>
      <c r="W25" s="206">
        <v>2.5</v>
      </c>
      <c r="X25" s="206" t="s">
        <v>130</v>
      </c>
      <c r="Y25" s="206" t="s">
        <v>129</v>
      </c>
      <c r="AA25" s="206">
        <f t="shared" si="2"/>
        <v>0</v>
      </c>
    </row>
    <row r="26" spans="1:27" ht="13.5" customHeight="1" x14ac:dyDescent="0.2">
      <c r="A26" s="39"/>
      <c r="B26" s="39"/>
      <c r="C26" s="39"/>
      <c r="D26" s="39"/>
      <c r="E26" s="39"/>
      <c r="J26" s="26"/>
      <c r="N26" s="206"/>
    </row>
    <row r="27" spans="1:27" hidden="1" x14ac:dyDescent="0.2">
      <c r="A27" s="39"/>
      <c r="B27" s="39"/>
      <c r="C27" s="39"/>
      <c r="D27" s="39"/>
      <c r="E27" s="39"/>
      <c r="J27" s="26"/>
      <c r="N27" s="206"/>
      <c r="Z27" s="55" t="s">
        <v>135</v>
      </c>
      <c r="AA27" s="56">
        <f>SUM(AA18:AA25)</f>
        <v>0.15598800000000002</v>
      </c>
    </row>
    <row r="28" spans="1:27" hidden="1" x14ac:dyDescent="0.2">
      <c r="A28" s="39" t="s">
        <v>93</v>
      </c>
      <c r="B28" s="39" t="s">
        <v>27</v>
      </c>
      <c r="C28" s="39">
        <v>0</v>
      </c>
      <c r="D28" s="39" t="s">
        <v>26</v>
      </c>
      <c r="E28" s="40" t="s">
        <v>75</v>
      </c>
      <c r="F28" s="49" t="s">
        <v>25</v>
      </c>
      <c r="G28" s="39"/>
      <c r="H28" s="39"/>
      <c r="I28" s="39">
        <f>C28*0.233</f>
        <v>0</v>
      </c>
      <c r="J28" s="157" t="s">
        <v>11</v>
      </c>
      <c r="K28" s="39">
        <v>0.91300000000000003</v>
      </c>
      <c r="L28" s="50">
        <f>I28*K28</f>
        <v>0</v>
      </c>
      <c r="M28" s="39" t="s">
        <v>48</v>
      </c>
      <c r="N28" s="39" t="s">
        <v>49</v>
      </c>
    </row>
    <row r="29" spans="1:27" ht="15" hidden="1" thickBo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159"/>
      <c r="K29" s="39"/>
      <c r="L29" s="160">
        <f>SUM(L28)</f>
        <v>0</v>
      </c>
      <c r="M29" s="39"/>
      <c r="N29" s="39"/>
    </row>
    <row r="30" spans="1:27" ht="13.5" hidden="1" customHeight="1" x14ac:dyDescent="0.2">
      <c r="A30" s="39"/>
      <c r="B30" s="39"/>
      <c r="C30" s="39"/>
      <c r="D30" s="39"/>
      <c r="E30" s="39"/>
      <c r="F30" s="39"/>
      <c r="G30" s="39"/>
      <c r="H30" s="39"/>
      <c r="I30" s="39"/>
      <c r="J30" s="159"/>
      <c r="K30" s="39"/>
      <c r="L30" s="39"/>
      <c r="M30" s="39"/>
      <c r="N30" s="39"/>
      <c r="U30" s="206" t="s">
        <v>136</v>
      </c>
      <c r="Z30" s="206" t="s">
        <v>134</v>
      </c>
      <c r="AA30" s="206" t="s">
        <v>131</v>
      </c>
    </row>
    <row r="31" spans="1:27" hidden="1" x14ac:dyDescent="0.2">
      <c r="A31" s="39"/>
      <c r="B31" s="39"/>
      <c r="C31" s="39"/>
      <c r="D31" s="39"/>
      <c r="E31" s="39"/>
      <c r="F31" s="39"/>
      <c r="G31" s="39"/>
      <c r="H31" s="39"/>
      <c r="I31" s="39"/>
      <c r="J31" s="159"/>
      <c r="K31" s="39"/>
      <c r="L31" s="39"/>
      <c r="M31" s="39"/>
      <c r="N31" s="39"/>
    </row>
    <row r="32" spans="1:27" hidden="1" x14ac:dyDescent="0.2">
      <c r="A32" s="39" t="s">
        <v>94</v>
      </c>
      <c r="B32" s="39" t="s">
        <v>43</v>
      </c>
      <c r="C32" s="39" t="s">
        <v>31</v>
      </c>
      <c r="D32" s="39" t="s">
        <v>71</v>
      </c>
      <c r="E32" s="40" t="s">
        <v>29</v>
      </c>
      <c r="F32" s="49" t="s">
        <v>25</v>
      </c>
      <c r="G32" s="39"/>
      <c r="H32" s="39">
        <v>0</v>
      </c>
      <c r="I32" s="39">
        <f>H32</f>
        <v>0</v>
      </c>
      <c r="J32" s="157" t="s">
        <v>11</v>
      </c>
      <c r="K32" s="39">
        <v>0.91300000000000003</v>
      </c>
      <c r="L32" s="50">
        <f>I32*K32</f>
        <v>0</v>
      </c>
      <c r="M32" s="39" t="s">
        <v>48</v>
      </c>
      <c r="N32" s="39" t="s">
        <v>49</v>
      </c>
      <c r="W32" s="206">
        <v>320</v>
      </c>
      <c r="X32" s="206" t="s">
        <v>130</v>
      </c>
      <c r="Y32" s="206" t="s">
        <v>125</v>
      </c>
      <c r="Z32" s="206">
        <v>485</v>
      </c>
      <c r="AA32" s="206">
        <f>W32/1000*Z32/1000</f>
        <v>0.1552</v>
      </c>
    </row>
    <row r="33" spans="1:27" hidden="1" x14ac:dyDescent="0.2">
      <c r="A33" s="39"/>
      <c r="B33" s="39" t="s">
        <v>44</v>
      </c>
      <c r="C33" s="39">
        <v>0</v>
      </c>
      <c r="D33" s="39" t="s">
        <v>10</v>
      </c>
      <c r="E33" s="40" t="s">
        <v>30</v>
      </c>
      <c r="F33" s="49" t="s">
        <v>25</v>
      </c>
      <c r="G33" s="39"/>
      <c r="H33" s="39">
        <v>0</v>
      </c>
      <c r="I33" s="39">
        <f>H33</f>
        <v>0</v>
      </c>
      <c r="J33" s="157" t="s">
        <v>11</v>
      </c>
      <c r="K33" s="39">
        <v>0.28000000000000003</v>
      </c>
      <c r="L33" s="50">
        <f>I33*K33</f>
        <v>0</v>
      </c>
      <c r="M33" s="39"/>
      <c r="N33" s="39" t="s">
        <v>50</v>
      </c>
      <c r="W33" s="206">
        <v>130</v>
      </c>
      <c r="X33" s="206" t="s">
        <v>130</v>
      </c>
      <c r="Y33" s="206" t="s">
        <v>126</v>
      </c>
      <c r="Z33" s="206">
        <v>4</v>
      </c>
      <c r="AA33" s="206">
        <f t="shared" ref="AA33:AA36" si="3">W33/1000*Z33/1000</f>
        <v>5.2000000000000006E-4</v>
      </c>
    </row>
    <row r="34" spans="1:27" hidden="1" x14ac:dyDescent="0.2">
      <c r="A34" s="39"/>
      <c r="B34" s="39" t="s">
        <v>45</v>
      </c>
      <c r="C34" s="39">
        <f>47500</f>
        <v>47500</v>
      </c>
      <c r="D34" s="39" t="s">
        <v>12</v>
      </c>
      <c r="E34" s="40" t="s">
        <v>32</v>
      </c>
      <c r="F34" s="49">
        <f>C34*PI()*(0.008^2-0.005^2)</f>
        <v>5.8198003907750913</v>
      </c>
      <c r="G34" s="39">
        <v>1.4</v>
      </c>
      <c r="H34" s="49">
        <v>0</v>
      </c>
      <c r="I34" s="49">
        <f>H34</f>
        <v>0</v>
      </c>
      <c r="J34" s="157" t="s">
        <v>11</v>
      </c>
      <c r="K34" s="39">
        <v>3.23</v>
      </c>
      <c r="L34" s="50">
        <f>I34*K34</f>
        <v>0</v>
      </c>
      <c r="M34" s="39" t="s">
        <v>47</v>
      </c>
      <c r="N34" s="39" t="s">
        <v>46</v>
      </c>
      <c r="W34" s="206">
        <f>677+341+682</f>
        <v>1700</v>
      </c>
      <c r="X34" s="206" t="s">
        <v>130</v>
      </c>
      <c r="Y34" s="206" t="s">
        <v>127</v>
      </c>
      <c r="Z34" s="206">
        <v>5</v>
      </c>
      <c r="AA34" s="206">
        <f t="shared" si="3"/>
        <v>8.5000000000000006E-3</v>
      </c>
    </row>
    <row r="35" spans="1:27" ht="15" hidden="1" thickBot="1" x14ac:dyDescent="0.25">
      <c r="A35" s="39"/>
      <c r="B35" s="39"/>
      <c r="C35" s="39"/>
      <c r="D35" s="39"/>
      <c r="E35" s="40"/>
      <c r="I35" s="39"/>
      <c r="J35" s="157"/>
      <c r="K35" s="39"/>
      <c r="L35" s="160">
        <f>SUM(L32:L34)</f>
        <v>0</v>
      </c>
      <c r="M35" s="39"/>
      <c r="N35" s="39"/>
      <c r="W35" s="206">
        <f>200</f>
        <v>200</v>
      </c>
      <c r="X35" s="206" t="s">
        <v>130</v>
      </c>
      <c r="Y35" s="206" t="s">
        <v>128</v>
      </c>
      <c r="Z35" s="206">
        <v>0.34399999999999997</v>
      </c>
      <c r="AA35" s="206">
        <f t="shared" si="3"/>
        <v>6.8800000000000005E-5</v>
      </c>
    </row>
    <row r="36" spans="1:27" x14ac:dyDescent="0.2">
      <c r="A36" s="39"/>
      <c r="B36" s="39"/>
      <c r="C36" s="39"/>
      <c r="D36" s="39"/>
      <c r="E36" s="40"/>
      <c r="N36" s="206"/>
      <c r="W36" s="206">
        <v>2.5</v>
      </c>
      <c r="X36" s="206" t="s">
        <v>130</v>
      </c>
      <c r="Y36" s="206" t="s">
        <v>129</v>
      </c>
      <c r="AA36" s="206">
        <f t="shared" si="3"/>
        <v>0</v>
      </c>
    </row>
    <row r="37" spans="1:27" x14ac:dyDescent="0.2">
      <c r="A37" s="39"/>
      <c r="B37" s="40"/>
      <c r="C37" s="40"/>
      <c r="D37" s="40"/>
      <c r="E37" s="40"/>
      <c r="F37" s="12"/>
      <c r="G37" s="12"/>
      <c r="H37" s="12"/>
      <c r="I37" s="12"/>
      <c r="J37" s="26"/>
      <c r="N37" s="206"/>
    </row>
    <row r="38" spans="1:27" ht="18.75" thickBot="1" x14ac:dyDescent="0.25">
      <c r="A38" s="39"/>
      <c r="B38" s="41"/>
      <c r="C38" s="41"/>
      <c r="D38" s="41"/>
      <c r="E38" s="41"/>
      <c r="F38" s="349" t="s">
        <v>112</v>
      </c>
      <c r="G38" s="349"/>
      <c r="H38" s="349"/>
      <c r="I38" s="349"/>
      <c r="J38" s="350"/>
      <c r="K38" s="351" t="s">
        <v>40</v>
      </c>
      <c r="L38" s="351"/>
      <c r="M38" s="351"/>
      <c r="N38" s="351"/>
      <c r="Z38" s="55" t="s">
        <v>136</v>
      </c>
      <c r="AA38" s="56">
        <f>SUM(AA32:AA36)</f>
        <v>0.16428880000000001</v>
      </c>
    </row>
    <row r="39" spans="1:27" ht="42.75" x14ac:dyDescent="0.2">
      <c r="A39" s="162" t="s">
        <v>33</v>
      </c>
      <c r="B39" s="163"/>
      <c r="C39" s="353" t="s">
        <v>54</v>
      </c>
      <c r="D39" s="354"/>
      <c r="E39" s="163" t="s">
        <v>19</v>
      </c>
      <c r="F39" s="22" t="s">
        <v>56</v>
      </c>
      <c r="G39" s="24" t="s">
        <v>57</v>
      </c>
      <c r="H39" s="24" t="s">
        <v>58</v>
      </c>
      <c r="I39" s="2" t="s">
        <v>74</v>
      </c>
      <c r="J39" s="28" t="s">
        <v>73</v>
      </c>
      <c r="K39" s="215" t="s">
        <v>2</v>
      </c>
      <c r="L39" s="2" t="s">
        <v>3</v>
      </c>
      <c r="M39" s="27" t="s">
        <v>72</v>
      </c>
      <c r="N39" s="10" t="s">
        <v>5</v>
      </c>
      <c r="O39" s="2" t="s">
        <v>64</v>
      </c>
    </row>
    <row r="40" spans="1:27" ht="16.5" thickBot="1" x14ac:dyDescent="0.25">
      <c r="A40" s="44"/>
      <c r="B40" s="45"/>
      <c r="C40" s="46"/>
      <c r="D40" s="47"/>
      <c r="E40" s="48"/>
      <c r="F40" s="6" t="s">
        <v>23</v>
      </c>
      <c r="G40" s="23" t="s">
        <v>7</v>
      </c>
      <c r="H40" s="6" t="s">
        <v>59</v>
      </c>
      <c r="I40" s="6" t="s">
        <v>156</v>
      </c>
      <c r="J40" s="19" t="s">
        <v>60</v>
      </c>
      <c r="K40" s="18" t="s">
        <v>62</v>
      </c>
      <c r="L40" s="6" t="s">
        <v>7</v>
      </c>
      <c r="M40" s="21" t="s">
        <v>40</v>
      </c>
      <c r="N40" s="8"/>
      <c r="O40" s="182" t="s">
        <v>63</v>
      </c>
    </row>
    <row r="41" spans="1:27" x14ac:dyDescent="0.2">
      <c r="A41" s="152" t="s">
        <v>90</v>
      </c>
      <c r="B41" s="152" t="s">
        <v>248</v>
      </c>
      <c r="C41" s="153">
        <f>I5+I6</f>
        <v>3523.2</v>
      </c>
      <c r="D41" s="152" t="s">
        <v>10</v>
      </c>
      <c r="E41" s="164"/>
      <c r="F41" s="152">
        <v>2.2999999999999998</v>
      </c>
      <c r="G41" s="208">
        <f>F41*C41</f>
        <v>8103.3599999999988</v>
      </c>
      <c r="H41" s="206">
        <v>24</v>
      </c>
      <c r="I41" s="206">
        <v>8</v>
      </c>
      <c r="J41" s="20">
        <v>20</v>
      </c>
      <c r="K41" s="29">
        <f>IF(N41="Road Rigid &gt; 17t",0.00122,0.0012)</f>
        <v>1.1999999999999999E-3</v>
      </c>
      <c r="L41" s="206">
        <f>J41*M41*K41*(1+O41/100)</f>
        <v>21.167999999999999</v>
      </c>
      <c r="M41" s="206">
        <f>IF($M$40&lt;&gt;0,ROUNDUP(C41/I41,0),ROUNDUP(G41/H41,0))</f>
        <v>441</v>
      </c>
      <c r="N41" s="206" t="s">
        <v>65</v>
      </c>
      <c r="O41" s="206">
        <v>100</v>
      </c>
    </row>
    <row r="42" spans="1:27" x14ac:dyDescent="0.2">
      <c r="A42" s="152"/>
      <c r="B42" s="152" t="s">
        <v>8</v>
      </c>
      <c r="C42" s="153">
        <f>I7</f>
        <v>233</v>
      </c>
      <c r="D42" s="152" t="s">
        <v>11</v>
      </c>
      <c r="E42" s="164"/>
      <c r="F42" s="152" t="s">
        <v>25</v>
      </c>
      <c r="G42" s="13">
        <f>C42</f>
        <v>233</v>
      </c>
      <c r="H42" s="206">
        <v>25</v>
      </c>
      <c r="I42" s="206">
        <f>IF(N42="Road Rigid &gt; 17t",7.5,15)</f>
        <v>15</v>
      </c>
      <c r="J42" s="20">
        <v>300</v>
      </c>
      <c r="K42" s="29">
        <f t="shared" ref="K42:K45" si="4">IF(N42="Road Rigid &gt; 17t",0.00122,0.0012)</f>
        <v>1.1999999999999999E-3</v>
      </c>
      <c r="L42" s="206">
        <f>J42*M42*K42*(1+O42/100)</f>
        <v>11.52</v>
      </c>
      <c r="M42" s="206">
        <f>IF($M$40&lt;&gt;0,ROUNDUP(G42/I42,0),ROUNDUP(G42/H42,0))</f>
        <v>16</v>
      </c>
      <c r="N42" s="206" t="s">
        <v>65</v>
      </c>
      <c r="O42" s="206">
        <v>100</v>
      </c>
    </row>
    <row r="43" spans="1:27" x14ac:dyDescent="0.2">
      <c r="A43" s="152"/>
      <c r="B43" s="152" t="s">
        <v>188</v>
      </c>
      <c r="C43" s="153">
        <f>I8</f>
        <v>18</v>
      </c>
      <c r="D43" s="152" t="s">
        <v>11</v>
      </c>
      <c r="E43" s="164"/>
      <c r="F43" s="152"/>
      <c r="G43" s="13">
        <f t="shared" ref="G43:G44" si="5">C43</f>
        <v>18</v>
      </c>
      <c r="H43" s="206">
        <v>25</v>
      </c>
      <c r="I43" s="206">
        <f>IF(N43="Road Rigid &gt; 17t",7.5,15)</f>
        <v>15</v>
      </c>
      <c r="J43" s="20">
        <v>300</v>
      </c>
      <c r="K43" s="29">
        <f t="shared" si="4"/>
        <v>1.1999999999999999E-3</v>
      </c>
      <c r="L43" s="206">
        <f>J43*M43*K43*(1+O43/100)</f>
        <v>1.44</v>
      </c>
      <c r="M43" s="206">
        <f>IF($M$40&lt;&gt;0,ROUNDUP(G43/I43,0),ROUNDUP(G43/H43,0))</f>
        <v>2</v>
      </c>
      <c r="N43" s="206" t="s">
        <v>65</v>
      </c>
      <c r="O43" s="206">
        <v>100</v>
      </c>
    </row>
    <row r="44" spans="1:27" x14ac:dyDescent="0.2">
      <c r="A44" s="152"/>
      <c r="B44" s="152" t="s">
        <v>189</v>
      </c>
      <c r="C44" s="153">
        <f>I9</f>
        <v>63.932000000000002</v>
      </c>
      <c r="D44" s="152" t="s">
        <v>11</v>
      </c>
      <c r="E44" s="164"/>
      <c r="F44" s="152"/>
      <c r="G44" s="13">
        <f t="shared" si="5"/>
        <v>63.932000000000002</v>
      </c>
      <c r="H44" s="206">
        <v>25</v>
      </c>
      <c r="I44" s="206">
        <f>IF(N44="Road Rigid &gt; 17t",7.5,15)</f>
        <v>15</v>
      </c>
      <c r="J44" s="20">
        <v>20</v>
      </c>
      <c r="K44" s="29">
        <f t="shared" si="4"/>
        <v>1.1999999999999999E-3</v>
      </c>
      <c r="L44" s="206">
        <f>J44*M44*K44*(1+O44/100)</f>
        <v>0.24</v>
      </c>
      <c r="M44" s="206">
        <f>IF($M$40&lt;&gt;0,ROUNDUP(G44/I44,0),ROUNDUP(G44/H44,0))</f>
        <v>5</v>
      </c>
      <c r="N44" s="206" t="s">
        <v>65</v>
      </c>
      <c r="O44" s="206">
        <v>100</v>
      </c>
    </row>
    <row r="45" spans="1:27" ht="15" thickBot="1" x14ac:dyDescent="0.25">
      <c r="A45" s="152"/>
      <c r="B45" s="152" t="s">
        <v>208</v>
      </c>
      <c r="C45" s="199">
        <f>C157+C158+C159</f>
        <v>14437.125</v>
      </c>
      <c r="D45" s="152" t="s">
        <v>70</v>
      </c>
      <c r="E45" s="164"/>
      <c r="F45" s="152"/>
      <c r="G45" s="208">
        <f>C45</f>
        <v>14437.125</v>
      </c>
      <c r="H45" s="206">
        <v>25</v>
      </c>
      <c r="I45" s="206">
        <v>800</v>
      </c>
      <c r="J45" s="20">
        <v>10</v>
      </c>
      <c r="K45" s="29">
        <f t="shared" si="4"/>
        <v>1.2199999999999999E-3</v>
      </c>
      <c r="L45" s="206">
        <f>J45*M45*K45*(1+O45/100)</f>
        <v>0.46359999999999996</v>
      </c>
      <c r="M45" s="206">
        <f>IF($M$40&lt;&gt;0,ROUNDUP(G45/I45,0),ROUNDUP(G45/H45,0))</f>
        <v>19</v>
      </c>
      <c r="N45" s="206" t="s">
        <v>61</v>
      </c>
      <c r="O45" s="206">
        <v>100</v>
      </c>
    </row>
    <row r="46" spans="1:27" ht="15" thickBot="1" x14ac:dyDescent="0.25">
      <c r="A46" s="39"/>
      <c r="B46" s="39"/>
      <c r="C46" s="39"/>
      <c r="D46" s="39"/>
      <c r="E46" s="40"/>
      <c r="L46" s="36">
        <f>SUM(L41:L45)</f>
        <v>34.831600000000002</v>
      </c>
      <c r="M46" s="36">
        <f>SUM(M41:M45)</f>
        <v>483</v>
      </c>
      <c r="N46" s="206"/>
    </row>
    <row r="47" spans="1:27" x14ac:dyDescent="0.2">
      <c r="A47" s="39"/>
      <c r="B47" s="39"/>
      <c r="C47" s="39"/>
      <c r="D47" s="39"/>
      <c r="E47" s="40"/>
      <c r="N47" s="206"/>
    </row>
    <row r="48" spans="1:27" x14ac:dyDescent="0.2">
      <c r="A48" s="39"/>
      <c r="B48" s="39"/>
      <c r="C48" s="39"/>
      <c r="D48" s="39"/>
      <c r="E48" s="40"/>
      <c r="N48" s="206"/>
    </row>
    <row r="49" spans="1:15" hidden="1" x14ac:dyDescent="0.2">
      <c r="A49" s="39" t="s">
        <v>91</v>
      </c>
      <c r="B49" s="39" t="s">
        <v>51</v>
      </c>
      <c r="C49" s="39">
        <f>C13</f>
        <v>0</v>
      </c>
      <c r="D49" s="39" t="s">
        <v>10</v>
      </c>
      <c r="E49" s="40" t="s">
        <v>113</v>
      </c>
      <c r="F49" s="39">
        <v>2.2999999999999998</v>
      </c>
      <c r="G49" s="39">
        <f>F49*C49</f>
        <v>0</v>
      </c>
      <c r="H49" s="39">
        <v>24</v>
      </c>
      <c r="I49" s="39">
        <v>8</v>
      </c>
      <c r="J49" s="157">
        <v>20</v>
      </c>
      <c r="K49" s="165">
        <f t="shared" ref="K49:K50" si="6">IF(N49="Road Rigid &gt; 17t",0.00122,0.0012)</f>
        <v>1.1999999999999999E-3</v>
      </c>
      <c r="L49" s="39">
        <f>J49*M49*K49*(1+O49/100)</f>
        <v>0</v>
      </c>
      <c r="M49" s="39">
        <f>IF($M$40&lt;&gt;0,ROUNDUP(C49/I49,0),ROUNDUP(G49/H49,0))</f>
        <v>0</v>
      </c>
      <c r="N49" s="39" t="s">
        <v>65</v>
      </c>
      <c r="O49" s="39">
        <v>100</v>
      </c>
    </row>
    <row r="50" spans="1:15" hidden="1" x14ac:dyDescent="0.2">
      <c r="A50" s="39"/>
      <c r="B50" s="39" t="s">
        <v>67</v>
      </c>
      <c r="C50" s="49">
        <f>I14+I15</f>
        <v>0</v>
      </c>
      <c r="D50" s="39" t="s">
        <v>11</v>
      </c>
      <c r="E50" s="40" t="s">
        <v>114</v>
      </c>
      <c r="F50" s="39" t="s">
        <v>25</v>
      </c>
      <c r="G50" s="49">
        <f>C50</f>
        <v>0</v>
      </c>
      <c r="H50" s="39">
        <v>25</v>
      </c>
      <c r="I50" s="39">
        <f>IF(N50="Road Rigid &gt; 17t",7.5,15)</f>
        <v>15</v>
      </c>
      <c r="J50" s="157">
        <v>300</v>
      </c>
      <c r="K50" s="165">
        <f t="shared" si="6"/>
        <v>1.1999999999999999E-3</v>
      </c>
      <c r="L50" s="39">
        <f>J50*M50*K50*(1+O50/100)</f>
        <v>0</v>
      </c>
      <c r="M50" s="39">
        <f>IF($M$40&lt;&gt;0,ROUNDUP(G50/I50,0),ROUNDUP(G50/H50,0))</f>
        <v>0</v>
      </c>
      <c r="N50" s="39" t="s">
        <v>65</v>
      </c>
      <c r="O50" s="39">
        <v>100</v>
      </c>
    </row>
    <row r="51" spans="1:15" hidden="1" x14ac:dyDescent="0.2">
      <c r="A51" s="39"/>
      <c r="B51" s="39" t="s">
        <v>52</v>
      </c>
      <c r="C51" s="49">
        <f>I16</f>
        <v>0</v>
      </c>
      <c r="D51" s="39" t="s">
        <v>11</v>
      </c>
      <c r="E51" s="40"/>
      <c r="F51" s="39" t="s">
        <v>25</v>
      </c>
      <c r="G51" s="49">
        <f t="shared" ref="G51" si="7">C51</f>
        <v>0</v>
      </c>
      <c r="H51" s="39">
        <v>25</v>
      </c>
      <c r="I51" s="39">
        <f>IF(N51="Road Rigid &gt; 17t",7.5,15)</f>
        <v>15</v>
      </c>
      <c r="J51" s="157">
        <v>20</v>
      </c>
      <c r="K51" s="165">
        <f>IF(N51="Road Rigid &gt; 17t",0.00122,0.0012)</f>
        <v>1.1999999999999999E-3</v>
      </c>
      <c r="L51" s="39">
        <f>J51*M51*K51*(1+O51/100)</f>
        <v>0</v>
      </c>
      <c r="M51" s="39">
        <f>IF($M$40&lt;&gt;0,ROUNDUP(G51/I51,0),ROUNDUP(G51/H51,0))</f>
        <v>0</v>
      </c>
      <c r="N51" s="39" t="s">
        <v>65</v>
      </c>
      <c r="O51" s="39">
        <v>100</v>
      </c>
    </row>
    <row r="52" spans="1:15" ht="15" hidden="1" thickBot="1" x14ac:dyDescent="0.25">
      <c r="A52" s="39"/>
      <c r="B52" s="39"/>
      <c r="C52" s="49"/>
      <c r="D52" s="39"/>
      <c r="E52" s="40"/>
      <c r="F52" s="39"/>
      <c r="G52" s="49"/>
      <c r="H52" s="39"/>
      <c r="I52" s="39"/>
      <c r="J52" s="157"/>
      <c r="K52" s="165"/>
      <c r="L52" s="160">
        <f>SUM(L49:L51)</f>
        <v>0</v>
      </c>
      <c r="M52" s="160">
        <f>SUM(M49:M51)</f>
        <v>0</v>
      </c>
      <c r="N52" s="39"/>
      <c r="O52" s="39"/>
    </row>
    <row r="53" spans="1:15" x14ac:dyDescent="0.2">
      <c r="A53" s="39"/>
      <c r="B53" s="39"/>
      <c r="C53" s="49"/>
      <c r="D53" s="39"/>
      <c r="E53" s="40"/>
      <c r="G53" s="13"/>
      <c r="K53" s="29"/>
      <c r="N53" s="206"/>
    </row>
    <row r="54" spans="1:15" x14ac:dyDescent="0.2">
      <c r="A54" s="39"/>
      <c r="B54" s="39"/>
      <c r="C54" s="39"/>
      <c r="D54" s="39"/>
      <c r="E54" s="40"/>
      <c r="N54" s="206"/>
    </row>
    <row r="55" spans="1:15" x14ac:dyDescent="0.2">
      <c r="A55" s="147" t="s">
        <v>92</v>
      </c>
      <c r="B55" s="147" t="s">
        <v>66</v>
      </c>
      <c r="C55" s="156">
        <f>I20</f>
        <v>811.19500000000005</v>
      </c>
      <c r="D55" s="147" t="s">
        <v>11</v>
      </c>
      <c r="E55" s="147"/>
      <c r="F55" s="147" t="s">
        <v>25</v>
      </c>
      <c r="G55" s="208">
        <f>C55</f>
        <v>811.19500000000005</v>
      </c>
      <c r="H55" s="206">
        <v>25</v>
      </c>
      <c r="I55" s="206">
        <f>IF(N55="Road Rigid &gt; 17t",7.5,15)</f>
        <v>15</v>
      </c>
      <c r="J55" s="20">
        <v>20</v>
      </c>
      <c r="K55" s="29">
        <f>IF(N55="Road Rigid &gt; 17t",0.00122,0.0012)</f>
        <v>1.1999999999999999E-3</v>
      </c>
      <c r="L55" s="206">
        <f t="shared" ref="L55:L60" si="8">J55*M55*K55*(1+O55/100)</f>
        <v>2.6399999999999997</v>
      </c>
      <c r="M55" s="206">
        <f t="shared" ref="M55:M60" si="9">IF($M$40&lt;&gt;0,ROUNDUP(G55/I55,0),ROUNDUP(G55/H55,0))</f>
        <v>55</v>
      </c>
      <c r="N55" s="206" t="s">
        <v>65</v>
      </c>
      <c r="O55" s="206">
        <v>100</v>
      </c>
    </row>
    <row r="56" spans="1:15" x14ac:dyDescent="0.2">
      <c r="A56" s="147"/>
      <c r="B56" s="147" t="s">
        <v>67</v>
      </c>
      <c r="C56" s="147">
        <f>I21</f>
        <v>270</v>
      </c>
      <c r="D56" s="147" t="s">
        <v>11</v>
      </c>
      <c r="E56" s="147"/>
      <c r="F56" s="147" t="s">
        <v>25</v>
      </c>
      <c r="G56" s="206">
        <f>C56</f>
        <v>270</v>
      </c>
      <c r="H56" s="206">
        <v>25</v>
      </c>
      <c r="I56" s="206">
        <f>IF(N56="Road Rigid &gt; 17t",7.5,15)</f>
        <v>15</v>
      </c>
      <c r="J56" s="20">
        <v>300</v>
      </c>
      <c r="K56" s="29">
        <f>IF(N56="Road Rigid &gt; 17t",0.00122,0.0012)</f>
        <v>1.1999999999999999E-3</v>
      </c>
      <c r="L56" s="206">
        <f t="shared" si="8"/>
        <v>12.959999999999999</v>
      </c>
      <c r="M56" s="206">
        <f t="shared" si="9"/>
        <v>18</v>
      </c>
      <c r="N56" s="206" t="s">
        <v>65</v>
      </c>
      <c r="O56" s="206">
        <v>100</v>
      </c>
    </row>
    <row r="57" spans="1:15" x14ac:dyDescent="0.2">
      <c r="A57" s="147"/>
      <c r="B57" s="147" t="s">
        <v>188</v>
      </c>
      <c r="C57" s="147" t="e">
        <f>I22</f>
        <v>#REF!</v>
      </c>
      <c r="D57" s="147" t="s">
        <v>11</v>
      </c>
      <c r="E57" s="149"/>
      <c r="F57" s="147"/>
      <c r="G57" s="13" t="e">
        <f t="shared" ref="G57:G59" si="10">C57</f>
        <v>#REF!</v>
      </c>
      <c r="H57" s="206">
        <v>25</v>
      </c>
      <c r="I57" s="206">
        <f>IF(N57="Road Rigid &gt; 17t",7.5,15)</f>
        <v>15</v>
      </c>
      <c r="J57" s="20">
        <v>300</v>
      </c>
      <c r="K57" s="29">
        <f t="shared" ref="K57:K60" si="11">IF(N57="Road Rigid &gt; 17t",0.00122,0.0012)</f>
        <v>1.1999999999999999E-3</v>
      </c>
      <c r="L57" s="206" t="e">
        <f t="shared" si="8"/>
        <v>#REF!</v>
      </c>
      <c r="M57" s="206" t="e">
        <f t="shared" si="9"/>
        <v>#REF!</v>
      </c>
      <c r="N57" s="206" t="s">
        <v>65</v>
      </c>
      <c r="O57" s="206">
        <v>100</v>
      </c>
    </row>
    <row r="58" spans="1:15" x14ac:dyDescent="0.2">
      <c r="A58" s="147"/>
      <c r="B58" s="147" t="s">
        <v>189</v>
      </c>
      <c r="C58" s="156" t="e">
        <f>I23</f>
        <v>#REF!</v>
      </c>
      <c r="D58" s="147" t="s">
        <v>11</v>
      </c>
      <c r="E58" s="149"/>
      <c r="F58" s="147"/>
      <c r="G58" s="13" t="e">
        <f t="shared" si="10"/>
        <v>#REF!</v>
      </c>
      <c r="H58" s="206">
        <v>25</v>
      </c>
      <c r="I58" s="206">
        <f>IF(N58="Road Rigid &gt; 17t",7.5,15)</f>
        <v>15</v>
      </c>
      <c r="J58" s="20">
        <v>20</v>
      </c>
      <c r="K58" s="29">
        <f t="shared" si="11"/>
        <v>1.1999999999999999E-3</v>
      </c>
      <c r="L58" s="206" t="e">
        <f t="shared" si="8"/>
        <v>#REF!</v>
      </c>
      <c r="M58" s="206" t="e">
        <f t="shared" si="9"/>
        <v>#REF!</v>
      </c>
      <c r="N58" s="206" t="s">
        <v>65</v>
      </c>
      <c r="O58" s="206">
        <v>100</v>
      </c>
    </row>
    <row r="59" spans="1:15" x14ac:dyDescent="0.2">
      <c r="A59" s="147"/>
      <c r="B59" s="147" t="s">
        <v>202</v>
      </c>
      <c r="C59" s="156">
        <f>I24</f>
        <v>28.297500000000003</v>
      </c>
      <c r="D59" s="147" t="s">
        <v>11</v>
      </c>
      <c r="E59" s="149"/>
      <c r="F59" s="147"/>
      <c r="G59" s="13">
        <f t="shared" si="10"/>
        <v>28.297500000000003</v>
      </c>
      <c r="H59" s="206">
        <v>25</v>
      </c>
      <c r="I59" s="206">
        <v>15</v>
      </c>
      <c r="J59" s="20">
        <v>300</v>
      </c>
      <c r="K59" s="29">
        <f t="shared" si="11"/>
        <v>1.1999999999999999E-3</v>
      </c>
      <c r="L59" s="206">
        <f t="shared" si="8"/>
        <v>1.44</v>
      </c>
      <c r="M59" s="206">
        <f t="shared" si="9"/>
        <v>2</v>
      </c>
      <c r="N59" s="206" t="s">
        <v>65</v>
      </c>
      <c r="O59" s="206">
        <v>100</v>
      </c>
    </row>
    <row r="60" spans="1:15" ht="15" thickBot="1" x14ac:dyDescent="0.25">
      <c r="A60" s="147"/>
      <c r="B60" s="147" t="s">
        <v>208</v>
      </c>
      <c r="C60" s="198">
        <f>C169+C170+C171</f>
        <v>14491.75</v>
      </c>
      <c r="D60" s="147" t="s">
        <v>70</v>
      </c>
      <c r="E60" s="149"/>
      <c r="F60" s="147"/>
      <c r="G60" s="208">
        <f>C60</f>
        <v>14491.75</v>
      </c>
      <c r="H60" s="206">
        <v>25</v>
      </c>
      <c r="I60" s="206">
        <v>800</v>
      </c>
      <c r="J60" s="20">
        <v>10</v>
      </c>
      <c r="K60" s="29">
        <f t="shared" si="11"/>
        <v>1.2199999999999999E-3</v>
      </c>
      <c r="L60" s="206">
        <f t="shared" si="8"/>
        <v>0.46359999999999996</v>
      </c>
      <c r="M60" s="206">
        <f t="shared" si="9"/>
        <v>19</v>
      </c>
      <c r="N60" s="206" t="s">
        <v>61</v>
      </c>
      <c r="O60" s="206">
        <v>100</v>
      </c>
    </row>
    <row r="61" spans="1:15" ht="15" thickBot="1" x14ac:dyDescent="0.25">
      <c r="A61" s="39"/>
      <c r="B61" s="39"/>
      <c r="C61" s="39"/>
      <c r="D61" s="39"/>
      <c r="E61" s="39"/>
      <c r="K61" s="29"/>
      <c r="L61" s="36" t="e">
        <f>SUM(L55:L60)</f>
        <v>#REF!</v>
      </c>
      <c r="M61" s="36" t="e">
        <f>SUM(M55:M60)</f>
        <v>#REF!</v>
      </c>
      <c r="N61" s="206"/>
    </row>
    <row r="62" spans="1:15" x14ac:dyDescent="0.2">
      <c r="A62" s="39"/>
      <c r="B62" s="39"/>
      <c r="C62" s="39"/>
      <c r="D62" s="39"/>
      <c r="E62" s="39"/>
      <c r="K62" s="29"/>
      <c r="N62" s="206"/>
    </row>
    <row r="63" spans="1:15" x14ac:dyDescent="0.2">
      <c r="A63" s="39"/>
      <c r="B63" s="39"/>
      <c r="C63" s="39"/>
      <c r="D63" s="39"/>
      <c r="E63" s="39"/>
      <c r="K63" s="29"/>
      <c r="N63" s="206"/>
    </row>
    <row r="64" spans="1:15" hidden="1" x14ac:dyDescent="0.2">
      <c r="A64" s="39" t="s">
        <v>93</v>
      </c>
      <c r="B64" s="39" t="s">
        <v>68</v>
      </c>
      <c r="C64" s="39">
        <f>I28</f>
        <v>0</v>
      </c>
      <c r="D64" s="39" t="s">
        <v>11</v>
      </c>
      <c r="E64" s="39"/>
      <c r="F64" s="39" t="s">
        <v>25</v>
      </c>
      <c r="G64" s="39">
        <f>C64</f>
        <v>0</v>
      </c>
      <c r="H64" s="39">
        <v>25</v>
      </c>
      <c r="I64" s="39">
        <f>IF(N64="Road Rigid &gt; 17t",7.5,15)</f>
        <v>15</v>
      </c>
      <c r="J64" s="157">
        <v>20</v>
      </c>
      <c r="K64" s="165">
        <f>IF(N64="Road Rigid &gt; 17t",0.00122,0.0012)</f>
        <v>1.1999999999999999E-3</v>
      </c>
      <c r="L64" s="39">
        <f>J64*M64*K64*(1+O64/100)</f>
        <v>0</v>
      </c>
      <c r="M64" s="39">
        <f>IF($M$40&lt;&gt;0,ROUNDUP(G64/I64,0),ROUNDUP(G64/H64,0))</f>
        <v>0</v>
      </c>
      <c r="N64" s="39" t="s">
        <v>65</v>
      </c>
      <c r="O64" s="39">
        <v>100</v>
      </c>
    </row>
    <row r="65" spans="1:15" hidden="1" x14ac:dyDescent="0.2">
      <c r="A65" s="39"/>
      <c r="B65" s="39" t="s">
        <v>208</v>
      </c>
      <c r="C65" s="50">
        <v>0</v>
      </c>
      <c r="D65" s="39" t="s">
        <v>70</v>
      </c>
      <c r="E65" s="40"/>
      <c r="F65" s="39"/>
      <c r="G65" s="49">
        <f>C65</f>
        <v>0</v>
      </c>
      <c r="H65" s="39">
        <v>25</v>
      </c>
      <c r="I65" s="39">
        <v>800</v>
      </c>
      <c r="J65" s="157">
        <v>0</v>
      </c>
      <c r="K65" s="165">
        <f t="shared" ref="K65" si="12">IF(N65="Road Rigid &gt; 17t",0.00122,0.0012)</f>
        <v>1.2199999999999999E-3</v>
      </c>
      <c r="L65" s="39">
        <f>J65*M65*K65*(1+O65/100)</f>
        <v>0</v>
      </c>
      <c r="M65" s="39">
        <f>IF($M$40&lt;&gt;0,ROUNDUP(G65/I65,0),ROUNDUP(G65/H65,0))</f>
        <v>0</v>
      </c>
      <c r="N65" s="39" t="s">
        <v>61</v>
      </c>
      <c r="O65" s="39">
        <v>100</v>
      </c>
    </row>
    <row r="66" spans="1:15" ht="15" hidden="1" thickBot="1" x14ac:dyDescent="0.25">
      <c r="A66" s="39"/>
      <c r="B66" s="39"/>
      <c r="C66" s="39"/>
      <c r="D66" s="39"/>
      <c r="E66" s="40"/>
      <c r="F66" s="39"/>
      <c r="G66" s="39"/>
      <c r="H66" s="39"/>
      <c r="I66" s="39"/>
      <c r="J66" s="157"/>
      <c r="K66" s="39"/>
      <c r="L66" s="160">
        <f>SUM(L64:L65)</f>
        <v>0</v>
      </c>
      <c r="M66" s="160">
        <f>SUM(M64:M65)</f>
        <v>0</v>
      </c>
      <c r="N66" s="39"/>
      <c r="O66" s="39"/>
    </row>
    <row r="67" spans="1:15" hidden="1" x14ac:dyDescent="0.2">
      <c r="A67" s="39"/>
      <c r="B67" s="39"/>
      <c r="C67" s="39"/>
      <c r="D67" s="39"/>
      <c r="E67" s="40"/>
      <c r="F67" s="39"/>
      <c r="G67" s="39"/>
      <c r="H67" s="39"/>
      <c r="I67" s="39"/>
      <c r="J67" s="157"/>
      <c r="K67" s="39"/>
      <c r="L67" s="39"/>
      <c r="M67" s="39"/>
      <c r="N67" s="39"/>
      <c r="O67" s="39"/>
    </row>
    <row r="68" spans="1:15" hidden="1" x14ac:dyDescent="0.2">
      <c r="A68" s="39"/>
      <c r="B68" s="39"/>
      <c r="C68" s="39"/>
      <c r="D68" s="39"/>
      <c r="E68" s="40"/>
      <c r="F68" s="39"/>
      <c r="G68" s="39"/>
      <c r="H68" s="39"/>
      <c r="I68" s="39"/>
      <c r="J68" s="157"/>
      <c r="K68" s="39"/>
      <c r="L68" s="39"/>
      <c r="M68" s="39"/>
      <c r="N68" s="39"/>
      <c r="O68" s="39"/>
    </row>
    <row r="69" spans="1:15" hidden="1" x14ac:dyDescent="0.2">
      <c r="A69" s="39" t="s">
        <v>94</v>
      </c>
      <c r="B69" s="39" t="s">
        <v>43</v>
      </c>
      <c r="C69" s="39">
        <f>I32</f>
        <v>0</v>
      </c>
      <c r="D69" s="39" t="s">
        <v>11</v>
      </c>
      <c r="E69" s="39"/>
      <c r="F69" s="39" t="s">
        <v>25</v>
      </c>
      <c r="G69" s="39">
        <f>C69</f>
        <v>0</v>
      </c>
      <c r="H69" s="39">
        <v>31</v>
      </c>
      <c r="I69" s="39">
        <f>IF(N69="Road Rigid &gt; 17t",7.5,15)</f>
        <v>15</v>
      </c>
      <c r="J69" s="157">
        <v>20</v>
      </c>
      <c r="K69" s="165">
        <f>IF(N69="Road Rigid &gt; 17t",0.00122,0.0012)</f>
        <v>1.1999999999999999E-3</v>
      </c>
      <c r="L69" s="39">
        <f>J69*M69*K69*(1+O69/100)</f>
        <v>0</v>
      </c>
      <c r="M69" s="39">
        <f>IF($M$40&lt;&gt;0,ROUNDUP(G69/I69,0),ROUNDUP(G69/H69,0))</f>
        <v>0</v>
      </c>
      <c r="N69" s="39" t="s">
        <v>65</v>
      </c>
      <c r="O69" s="39">
        <v>100</v>
      </c>
    </row>
    <row r="70" spans="1:15" hidden="1" x14ac:dyDescent="0.2">
      <c r="A70" s="39"/>
      <c r="B70" s="39" t="s">
        <v>44</v>
      </c>
      <c r="C70" s="39">
        <f>I33</f>
        <v>0</v>
      </c>
      <c r="D70" s="39" t="s">
        <v>11</v>
      </c>
      <c r="E70" s="39"/>
      <c r="F70" s="39" t="s">
        <v>25</v>
      </c>
      <c r="G70" s="39">
        <f>C70</f>
        <v>0</v>
      </c>
      <c r="H70" s="39">
        <v>32</v>
      </c>
      <c r="I70" s="39">
        <f>IF(N70="Road Rigid &gt; 17t",7.5,15)</f>
        <v>15</v>
      </c>
      <c r="J70" s="157">
        <v>300</v>
      </c>
      <c r="K70" s="165">
        <f>IF(N70="Road Rigid &gt; 17t",0.00122,0.0012)</f>
        <v>1.1999999999999999E-3</v>
      </c>
      <c r="L70" s="39">
        <f>J70*M70*K70*(1+O70/100)</f>
        <v>0</v>
      </c>
      <c r="M70" s="39">
        <f>IF($M$40&lt;&gt;0,ROUNDUP(G70/I70,0),ROUNDUP(G70/H70,0))</f>
        <v>0</v>
      </c>
      <c r="N70" s="39" t="s">
        <v>65</v>
      </c>
      <c r="O70" s="39">
        <v>100</v>
      </c>
    </row>
    <row r="71" spans="1:15" hidden="1" x14ac:dyDescent="0.2">
      <c r="A71" s="39"/>
      <c r="B71" s="39" t="s">
        <v>45</v>
      </c>
      <c r="C71" s="49">
        <f>I34</f>
        <v>0</v>
      </c>
      <c r="D71" s="39" t="s">
        <v>11</v>
      </c>
      <c r="E71" s="39"/>
      <c r="F71" s="39" t="s">
        <v>25</v>
      </c>
      <c r="G71" s="39">
        <f>C71</f>
        <v>0</v>
      </c>
      <c r="H71" s="39">
        <v>33</v>
      </c>
      <c r="I71" s="39">
        <f>IF(N71="Road Rigid &gt; 17t",7.5,15)</f>
        <v>15</v>
      </c>
      <c r="J71" s="157">
        <v>300</v>
      </c>
      <c r="K71" s="165">
        <f>IF(N71="Road Rigid &gt; 17t",0.00122,0.0012)</f>
        <v>1.1999999999999999E-3</v>
      </c>
      <c r="L71" s="39">
        <f>J71*M71*K71*(1+O71/100)</f>
        <v>0</v>
      </c>
      <c r="M71" s="39">
        <f>IF($M$40&lt;&gt;0,ROUNDUP(G71/I71,0),ROUNDUP(G71/H71,0))</f>
        <v>0</v>
      </c>
      <c r="N71" s="39" t="s">
        <v>65</v>
      </c>
      <c r="O71" s="39">
        <v>100</v>
      </c>
    </row>
    <row r="72" spans="1:15" hidden="1" x14ac:dyDescent="0.2">
      <c r="A72" s="39"/>
      <c r="B72" s="39" t="s">
        <v>208</v>
      </c>
      <c r="C72" s="50">
        <v>0</v>
      </c>
      <c r="D72" s="39" t="s">
        <v>70</v>
      </c>
      <c r="E72" s="40"/>
      <c r="F72" s="39"/>
      <c r="G72" s="49">
        <f>C72</f>
        <v>0</v>
      </c>
      <c r="H72" s="39">
        <v>25</v>
      </c>
      <c r="I72" s="39">
        <v>800</v>
      </c>
      <c r="J72" s="157">
        <v>50</v>
      </c>
      <c r="K72" s="165">
        <f t="shared" ref="K72" si="13">IF(N72="Road Rigid &gt; 17t",0.00122,0.0012)</f>
        <v>1.2199999999999999E-3</v>
      </c>
      <c r="L72" s="39">
        <f>J72*M72*K72*(1+O72/100)</f>
        <v>0</v>
      </c>
      <c r="M72" s="39">
        <f>IF($M$40&lt;&gt;0,ROUNDUP(G72/I72,0),ROUNDUP(G72/H72,0))</f>
        <v>0</v>
      </c>
      <c r="N72" s="39" t="s">
        <v>61</v>
      </c>
      <c r="O72" s="39">
        <v>100</v>
      </c>
    </row>
    <row r="73" spans="1:15" ht="15" hidden="1" thickBot="1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157"/>
      <c r="K73" s="165"/>
      <c r="L73" s="160">
        <f>SUM(L69:L72)</f>
        <v>0</v>
      </c>
      <c r="M73" s="160">
        <f>SUM(M69:M72)</f>
        <v>0</v>
      </c>
      <c r="N73" s="39"/>
      <c r="O73" s="39"/>
    </row>
    <row r="74" spans="1:15" hidden="1" x14ac:dyDescent="0.2">
      <c r="A74" s="39"/>
      <c r="B74" s="39"/>
      <c r="C74" s="39"/>
      <c r="D74" s="39"/>
      <c r="E74" s="39"/>
      <c r="K74" s="29"/>
      <c r="N74" s="206"/>
    </row>
    <row r="75" spans="1:15" hidden="1" x14ac:dyDescent="0.2">
      <c r="B75" s="39" t="s">
        <v>139</v>
      </c>
      <c r="C75" s="39">
        <v>0</v>
      </c>
      <c r="D75" s="39" t="s">
        <v>10</v>
      </c>
      <c r="E75" s="39" t="s">
        <v>138</v>
      </c>
      <c r="F75" s="39" t="s">
        <v>125</v>
      </c>
      <c r="G75" s="39">
        <v>0</v>
      </c>
      <c r="H75" s="39"/>
      <c r="I75" s="39">
        <v>15</v>
      </c>
      <c r="J75" s="157">
        <v>20</v>
      </c>
      <c r="K75" s="29">
        <f>IF(N75="Road Rigid &gt; 17t",0.00122,0.0012)</f>
        <v>1.2199999999999999E-3</v>
      </c>
      <c r="L75" s="206">
        <f>J75*M75*K75*(1+O75/100)</f>
        <v>0</v>
      </c>
      <c r="M75" s="206">
        <f>IF($M$40&lt;&gt;0,ROUNDUP(G75/I75,0),ROUNDUP(G75/H75,0))</f>
        <v>0</v>
      </c>
      <c r="N75" s="206" t="s">
        <v>61</v>
      </c>
      <c r="O75" s="206">
        <v>100</v>
      </c>
    </row>
    <row r="76" spans="1:15" hidden="1" x14ac:dyDescent="0.2">
      <c r="B76" s="39"/>
      <c r="C76" s="39"/>
      <c r="D76" s="39"/>
      <c r="E76" s="39"/>
      <c r="F76" s="39" t="s">
        <v>141</v>
      </c>
      <c r="G76" s="39">
        <v>0</v>
      </c>
      <c r="H76" s="39"/>
      <c r="I76" s="39">
        <v>15</v>
      </c>
      <c r="J76" s="157">
        <v>300</v>
      </c>
      <c r="K76" s="29">
        <f t="shared" ref="K76:K78" si="14">IF(N76="Road Rigid &gt; 17t",0.00122,0.0012)</f>
        <v>1.2199999999999999E-3</v>
      </c>
      <c r="L76" s="206">
        <f>J76*M76*K76*(1+O76/100)</f>
        <v>0</v>
      </c>
      <c r="M76" s="206">
        <f>IF($M$40&lt;&gt;0,ROUNDUP(G76/I76,0),ROUNDUP(G76/H76,0))</f>
        <v>0</v>
      </c>
      <c r="N76" s="206" t="s">
        <v>61</v>
      </c>
      <c r="O76" s="206">
        <v>100</v>
      </c>
    </row>
    <row r="77" spans="1:15" hidden="1" x14ac:dyDescent="0.2">
      <c r="B77" s="39"/>
      <c r="C77" s="39"/>
      <c r="D77" s="39"/>
      <c r="E77" s="39"/>
      <c r="F77" s="39" t="s">
        <v>127</v>
      </c>
      <c r="G77" s="39">
        <v>0</v>
      </c>
      <c r="H77" s="39"/>
      <c r="I77" s="39">
        <v>15</v>
      </c>
      <c r="J77" s="157">
        <v>20</v>
      </c>
      <c r="K77" s="29">
        <f t="shared" si="14"/>
        <v>1.1999999999999999E-3</v>
      </c>
      <c r="L77" s="206">
        <f>J77*M77*K77*(1+O77/100)</f>
        <v>0</v>
      </c>
      <c r="M77" s="206">
        <f>IF($M$40&lt;&gt;0,ROUNDUP(G77/I77,0),ROUNDUP(G77/H77,0))</f>
        <v>0</v>
      </c>
      <c r="N77" s="206" t="s">
        <v>65</v>
      </c>
      <c r="O77" s="206">
        <v>100</v>
      </c>
    </row>
    <row r="78" spans="1:15" hidden="1" x14ac:dyDescent="0.2">
      <c r="B78" s="39"/>
      <c r="C78" s="39"/>
      <c r="D78" s="39"/>
      <c r="E78" s="39"/>
      <c r="F78" s="39" t="s">
        <v>142</v>
      </c>
      <c r="G78" s="39">
        <v>0</v>
      </c>
      <c r="H78" s="39"/>
      <c r="I78" s="39">
        <v>1</v>
      </c>
      <c r="J78" s="157">
        <v>0</v>
      </c>
      <c r="K78" s="29">
        <f t="shared" si="14"/>
        <v>1.1999999999999999E-3</v>
      </c>
      <c r="L78" s="206">
        <f>J78*M78*K78*(1+O78/100)</f>
        <v>0</v>
      </c>
      <c r="M78" s="206">
        <f>IF($M$40&lt;&gt;0,ROUNDUP(G78/I78,0),ROUNDUP(G78/H78,0))</f>
        <v>0</v>
      </c>
      <c r="N78" s="206" t="s">
        <v>65</v>
      </c>
      <c r="O78" s="206">
        <v>100</v>
      </c>
    </row>
    <row r="79" spans="1:15" ht="15" hidden="1" thickBot="1" x14ac:dyDescent="0.25">
      <c r="B79" s="39"/>
      <c r="C79" s="39"/>
      <c r="D79" s="39"/>
      <c r="E79" s="39"/>
      <c r="K79" s="29"/>
      <c r="L79" s="36">
        <f>SUM(L75:L78)</f>
        <v>0</v>
      </c>
      <c r="M79" s="36">
        <f>SUM(M75:M77)</f>
        <v>0</v>
      </c>
      <c r="N79" s="206"/>
    </row>
    <row r="80" spans="1:15" x14ac:dyDescent="0.2">
      <c r="B80" s="39"/>
      <c r="C80" s="39"/>
      <c r="D80" s="39"/>
      <c r="E80" s="39"/>
      <c r="K80" s="29"/>
      <c r="N80" s="206"/>
    </row>
    <row r="81" spans="1:30" x14ac:dyDescent="0.2">
      <c r="A81" s="39"/>
      <c r="B81" s="147" t="s">
        <v>140</v>
      </c>
      <c r="C81" s="147">
        <f>C5</f>
        <v>3444</v>
      </c>
      <c r="D81" s="147" t="s">
        <v>10</v>
      </c>
      <c r="E81" s="147" t="s">
        <v>138</v>
      </c>
      <c r="F81" s="206" t="s">
        <v>125</v>
      </c>
      <c r="G81" s="17">
        <f>(W18*$C$81)/1000</f>
        <v>1102.08</v>
      </c>
      <c r="I81" s="206">
        <v>15</v>
      </c>
      <c r="J81" s="20">
        <v>20</v>
      </c>
      <c r="K81" s="29">
        <f>IF(N81="Road Rigid &gt; 17t",0.00122,0.0012)</f>
        <v>1.2199999999999999E-3</v>
      </c>
      <c r="L81" s="206">
        <f>J81*M81*K81*(1+O81/100)</f>
        <v>3.6111999999999997</v>
      </c>
      <c r="M81" s="206">
        <f>IF($M$40&lt;&gt;0,ROUNDUP(G81/I81,0),ROUNDUP(G81/H81,0))</f>
        <v>74</v>
      </c>
      <c r="N81" s="206" t="s">
        <v>61</v>
      </c>
      <c r="O81" s="206">
        <v>100</v>
      </c>
    </row>
    <row r="82" spans="1:30" x14ac:dyDescent="0.2">
      <c r="A82" s="39"/>
      <c r="B82" s="147"/>
      <c r="C82" s="147"/>
      <c r="D82" s="147"/>
      <c r="E82" s="147"/>
      <c r="F82" s="206" t="s">
        <v>141</v>
      </c>
      <c r="G82" s="17">
        <f t="shared" ref="G82:G84" si="15">(W19*$C$81)/1000</f>
        <v>275.52</v>
      </c>
      <c r="I82" s="206">
        <v>15</v>
      </c>
      <c r="J82" s="20">
        <v>300</v>
      </c>
      <c r="K82" s="29">
        <f t="shared" ref="K82:K84" si="16">IF(N82="Road Rigid &gt; 17t",0.00122,0.0012)</f>
        <v>1.2199999999999999E-3</v>
      </c>
      <c r="L82" s="206">
        <f>J82*M82*K82*(1+O82/100)</f>
        <v>13.907999999999999</v>
      </c>
      <c r="M82" s="206">
        <f>IF($M$40&lt;&gt;0,ROUNDUP(G82/I82,0),ROUNDUP(G82/H82,0))</f>
        <v>19</v>
      </c>
      <c r="N82" s="206" t="s">
        <v>61</v>
      </c>
      <c r="O82" s="206">
        <v>100</v>
      </c>
    </row>
    <row r="83" spans="1:30" x14ac:dyDescent="0.2">
      <c r="A83" s="39"/>
      <c r="B83" s="147"/>
      <c r="C83" s="147"/>
      <c r="D83" s="147"/>
      <c r="E83" s="147"/>
      <c r="F83" s="206" t="s">
        <v>127</v>
      </c>
      <c r="G83" s="17">
        <f t="shared" si="15"/>
        <v>5854.8</v>
      </c>
      <c r="I83" s="206">
        <v>15</v>
      </c>
      <c r="J83" s="20">
        <v>20</v>
      </c>
      <c r="K83" s="29">
        <f t="shared" si="16"/>
        <v>1.1999999999999999E-3</v>
      </c>
      <c r="L83" s="206">
        <f>J83*M83*K83*(1+O83/100)</f>
        <v>18.767999999999997</v>
      </c>
      <c r="M83" s="206">
        <f>IF($M$40&lt;&gt;0,ROUNDUP(G83/I83,0),ROUNDUP(G83/H83,0))</f>
        <v>391</v>
      </c>
      <c r="N83" s="206" t="s">
        <v>65</v>
      </c>
      <c r="O83" s="206">
        <v>100</v>
      </c>
    </row>
    <row r="84" spans="1:30" ht="15" thickBot="1" x14ac:dyDescent="0.25">
      <c r="A84" s="39"/>
      <c r="B84" s="147"/>
      <c r="C84" s="147"/>
      <c r="D84" s="147"/>
      <c r="E84" s="147"/>
      <c r="F84" s="206" t="s">
        <v>142</v>
      </c>
      <c r="G84" s="17">
        <f t="shared" si="15"/>
        <v>688.8</v>
      </c>
      <c r="I84" s="206">
        <v>1</v>
      </c>
      <c r="J84" s="20">
        <v>0</v>
      </c>
      <c r="K84" s="29">
        <f t="shared" si="16"/>
        <v>1.1999999999999999E-3</v>
      </c>
      <c r="L84" s="206">
        <f>J84*M84*K84*(1+O84/100)</f>
        <v>0</v>
      </c>
      <c r="M84" s="206">
        <f>IF($M$40&lt;&gt;0,ROUNDUP(G84/I84,0),ROUNDUP(G84/H84,0))</f>
        <v>689</v>
      </c>
      <c r="N84" s="206" t="s">
        <v>65</v>
      </c>
      <c r="O84" s="206">
        <v>100</v>
      </c>
    </row>
    <row r="85" spans="1:30" ht="15" thickBot="1" x14ac:dyDescent="0.25">
      <c r="A85" s="39"/>
      <c r="B85" s="39"/>
      <c r="C85" s="39"/>
      <c r="D85" s="39"/>
      <c r="E85" s="39"/>
      <c r="K85" s="29"/>
      <c r="L85" s="233">
        <f>SUM(L81:L84)</f>
        <v>36.287199999999999</v>
      </c>
      <c r="M85" s="36">
        <f>SUM(M81:M83)</f>
        <v>484</v>
      </c>
      <c r="N85" s="206"/>
    </row>
    <row r="86" spans="1:30" x14ac:dyDescent="0.2">
      <c r="A86" s="39"/>
      <c r="B86" s="39"/>
      <c r="C86" s="39"/>
      <c r="D86" s="39"/>
      <c r="E86" s="39"/>
      <c r="K86" s="29"/>
      <c r="L86" s="210"/>
      <c r="N86" s="206"/>
    </row>
    <row r="87" spans="1:30" hidden="1" x14ac:dyDescent="0.2">
      <c r="A87" s="39"/>
      <c r="B87" s="39" t="s">
        <v>16</v>
      </c>
      <c r="C87" s="39">
        <v>9500</v>
      </c>
      <c r="D87" s="39" t="s">
        <v>10</v>
      </c>
      <c r="E87" s="39" t="s">
        <v>138</v>
      </c>
      <c r="F87" s="39" t="s">
        <v>125</v>
      </c>
      <c r="G87" s="39">
        <v>0</v>
      </c>
      <c r="H87" s="39"/>
      <c r="I87" s="39">
        <v>15</v>
      </c>
      <c r="J87" s="157">
        <v>20</v>
      </c>
      <c r="K87" s="29">
        <f>IF(N87="Road Rigid &gt; 17t",0.00122,0.0012)</f>
        <v>1.2199999999999999E-3</v>
      </c>
      <c r="L87" s="206">
        <f>J87*M87*K87*(1+O87/100)</f>
        <v>0</v>
      </c>
      <c r="M87" s="206">
        <f>IF($M$40&lt;&gt;0,ROUNDUP(G87/I87,0),ROUNDUP(G87/H87,0))</f>
        <v>0</v>
      </c>
      <c r="N87" s="206" t="s">
        <v>61</v>
      </c>
      <c r="O87" s="206">
        <v>100</v>
      </c>
    </row>
    <row r="88" spans="1:30" hidden="1" x14ac:dyDescent="0.2">
      <c r="A88" s="39"/>
      <c r="B88" s="39"/>
      <c r="C88" s="39"/>
      <c r="D88" s="39"/>
      <c r="E88" s="39"/>
      <c r="F88" s="39" t="s">
        <v>141</v>
      </c>
      <c r="G88" s="39">
        <v>0</v>
      </c>
      <c r="H88" s="39"/>
      <c r="I88" s="39">
        <v>15</v>
      </c>
      <c r="J88" s="157">
        <v>300</v>
      </c>
      <c r="K88" s="29">
        <f t="shared" ref="K88:K90" si="17">IF(N88="Road Rigid &gt; 17t",0.00122,0.0012)</f>
        <v>1.2199999999999999E-3</v>
      </c>
      <c r="L88" s="206">
        <f>J88*M88*K88*(1+O88/100)</f>
        <v>0</v>
      </c>
      <c r="M88" s="206">
        <f>IF($M$40&lt;&gt;0,ROUNDUP(G88/I88,0),ROUNDUP(G88/H88,0))</f>
        <v>0</v>
      </c>
      <c r="N88" s="206" t="s">
        <v>61</v>
      </c>
      <c r="O88" s="206">
        <v>100</v>
      </c>
    </row>
    <row r="89" spans="1:30" hidden="1" x14ac:dyDescent="0.2">
      <c r="A89" s="39"/>
      <c r="B89" s="39"/>
      <c r="C89" s="39"/>
      <c r="D89" s="39"/>
      <c r="E89" s="39"/>
      <c r="F89" s="39" t="s">
        <v>127</v>
      </c>
      <c r="G89" s="39">
        <v>0</v>
      </c>
      <c r="H89" s="39"/>
      <c r="I89" s="39">
        <v>15</v>
      </c>
      <c r="J89" s="157">
        <v>20</v>
      </c>
      <c r="K89" s="29">
        <f t="shared" si="17"/>
        <v>1.1999999999999999E-3</v>
      </c>
      <c r="L89" s="206">
        <f>J89*M89*K89*(1+O89/100)</f>
        <v>0</v>
      </c>
      <c r="M89" s="206">
        <f>IF($M$40&lt;&gt;0,ROUNDUP(G89/I89,0),ROUNDUP(G89/H89,0))</f>
        <v>0</v>
      </c>
      <c r="N89" s="206" t="s">
        <v>65</v>
      </c>
      <c r="O89" s="206">
        <v>100</v>
      </c>
    </row>
    <row r="90" spans="1:30" hidden="1" x14ac:dyDescent="0.2">
      <c r="A90" s="39"/>
      <c r="B90" s="39"/>
      <c r="C90" s="39"/>
      <c r="D90" s="39"/>
      <c r="E90" s="39"/>
      <c r="F90" s="39" t="s">
        <v>142</v>
      </c>
      <c r="G90" s="39">
        <v>0</v>
      </c>
      <c r="H90" s="39"/>
      <c r="I90" s="39">
        <v>1</v>
      </c>
      <c r="J90" s="157">
        <v>0</v>
      </c>
      <c r="K90" s="29">
        <f t="shared" si="17"/>
        <v>1.1999999999999999E-3</v>
      </c>
      <c r="L90" s="206">
        <f>J90*M90*K90*(1+O90/100)</f>
        <v>0</v>
      </c>
      <c r="M90" s="206">
        <f>IF($M$40&lt;&gt;0,ROUNDUP(G90/I90,0),ROUNDUP(G90/H90,0))</f>
        <v>0</v>
      </c>
      <c r="N90" s="206" t="s">
        <v>65</v>
      </c>
      <c r="O90" s="206">
        <v>100</v>
      </c>
      <c r="V90" s="206">
        <f>0.29781*4952+3477</f>
        <v>4951.7551199999998</v>
      </c>
      <c r="W90" s="208">
        <f>SUM(W94:W100)</f>
        <v>991.80302715000028</v>
      </c>
      <c r="X90" s="208" t="e">
        <f>SUM(X94:X100)</f>
        <v>#REF!</v>
      </c>
      <c r="Y90" s="208" t="e">
        <f>W90-X90</f>
        <v>#REF!</v>
      </c>
      <c r="Z90" s="206" t="e">
        <f>1-(X90/W90)</f>
        <v>#REF!</v>
      </c>
    </row>
    <row r="91" spans="1:30" ht="15" hidden="1" thickBot="1" x14ac:dyDescent="0.25">
      <c r="A91" s="39"/>
      <c r="B91" s="39"/>
      <c r="C91" s="39"/>
      <c r="D91" s="39"/>
      <c r="E91" s="40"/>
      <c r="K91" s="29"/>
      <c r="L91" s="36">
        <f>SUM(L87:L90)</f>
        <v>0</v>
      </c>
      <c r="M91" s="36">
        <f>SUM(M87:M89)</f>
        <v>0</v>
      </c>
      <c r="N91" s="206"/>
    </row>
    <row r="92" spans="1:30" ht="18.75" customHeight="1" thickBot="1" x14ac:dyDescent="0.25">
      <c r="A92" s="39"/>
      <c r="B92" s="41"/>
      <c r="C92" s="41"/>
      <c r="D92" s="41"/>
      <c r="E92" s="41"/>
      <c r="F92" s="349" t="s">
        <v>110</v>
      </c>
      <c r="G92" s="349"/>
      <c r="H92" s="349"/>
      <c r="I92" s="349"/>
      <c r="J92" s="350"/>
      <c r="K92" s="213" t="s">
        <v>40</v>
      </c>
      <c r="L92" s="213"/>
      <c r="M92" s="213"/>
      <c r="N92" s="213"/>
      <c r="V92" s="344"/>
      <c r="W92" s="345"/>
      <c r="X92" s="211"/>
    </row>
    <row r="93" spans="1:30" ht="34.5" customHeight="1" thickBot="1" x14ac:dyDescent="0.25">
      <c r="A93" s="166" t="s">
        <v>33</v>
      </c>
      <c r="B93" s="167"/>
      <c r="C93" s="346" t="s">
        <v>54</v>
      </c>
      <c r="D93" s="347"/>
      <c r="E93" s="167" t="s">
        <v>19</v>
      </c>
      <c r="F93" s="22" t="s">
        <v>56</v>
      </c>
      <c r="G93" s="24" t="s">
        <v>57</v>
      </c>
      <c r="H93" s="24" t="s">
        <v>58</v>
      </c>
      <c r="I93" s="2" t="s">
        <v>74</v>
      </c>
      <c r="J93" s="28" t="s">
        <v>73</v>
      </c>
      <c r="K93" s="215" t="s">
        <v>2</v>
      </c>
      <c r="L93" s="2" t="s">
        <v>3</v>
      </c>
      <c r="M93" s="27" t="s">
        <v>72</v>
      </c>
      <c r="N93" s="10" t="s">
        <v>5</v>
      </c>
      <c r="O93" s="2" t="s">
        <v>64</v>
      </c>
      <c r="Q93" s="206" t="s">
        <v>236</v>
      </c>
      <c r="R93" s="206" t="s">
        <v>237</v>
      </c>
      <c r="S93" s="206" t="s">
        <v>238</v>
      </c>
      <c r="T93" s="206" t="s">
        <v>178</v>
      </c>
      <c r="U93" s="211"/>
      <c r="V93" s="104" t="s">
        <v>218</v>
      </c>
      <c r="W93" s="108" t="s">
        <v>219</v>
      </c>
      <c r="X93" s="116" t="s">
        <v>235</v>
      </c>
      <c r="Y93" s="112" t="s">
        <v>222</v>
      </c>
      <c r="AA93" s="12" t="s">
        <v>182</v>
      </c>
      <c r="AB93" s="12" t="s">
        <v>181</v>
      </c>
    </row>
    <row r="94" spans="1:30" ht="16.5" thickBot="1" x14ac:dyDescent="0.25">
      <c r="A94" s="168"/>
      <c r="B94" s="169"/>
      <c r="C94" s="170"/>
      <c r="D94" s="171"/>
      <c r="E94" s="172"/>
      <c r="F94" s="6" t="s">
        <v>23</v>
      </c>
      <c r="G94" s="23" t="s">
        <v>7</v>
      </c>
      <c r="H94" s="6" t="s">
        <v>59</v>
      </c>
      <c r="I94" s="6" t="s">
        <v>59</v>
      </c>
      <c r="J94" s="19" t="s">
        <v>60</v>
      </c>
      <c r="K94" s="18" t="s">
        <v>62</v>
      </c>
      <c r="L94" s="6" t="s">
        <v>7</v>
      </c>
      <c r="M94" s="21" t="s">
        <v>77</v>
      </c>
      <c r="N94" s="8"/>
      <c r="O94" s="182" t="s">
        <v>63</v>
      </c>
      <c r="Q94" s="206" t="s">
        <v>151</v>
      </c>
      <c r="R94" s="208">
        <f>M46+M52+M79+M85+M91</f>
        <v>967</v>
      </c>
      <c r="S94" s="208">
        <f>M98</f>
        <v>597</v>
      </c>
      <c r="U94" s="211"/>
      <c r="V94" s="105" t="s">
        <v>211</v>
      </c>
      <c r="W94" s="109">
        <f>B244</f>
        <v>801.74895200000026</v>
      </c>
      <c r="X94" s="109" t="e">
        <f>B245</f>
        <v>#REF!</v>
      </c>
      <c r="Y94" s="113" t="e">
        <f>1-(X94/W94)</f>
        <v>#REF!</v>
      </c>
      <c r="Z94" s="208">
        <f>B246</f>
        <v>0</v>
      </c>
      <c r="AA94" s="66" t="e">
        <f t="shared" ref="AA94:AA100" si="18">1-(Y94/W94)</f>
        <v>#REF!</v>
      </c>
      <c r="AB94" s="66" t="e">
        <f t="shared" ref="AB94:AB100" si="19">1-(Y94/X94)</f>
        <v>#REF!</v>
      </c>
    </row>
    <row r="95" spans="1:30" x14ac:dyDescent="0.2">
      <c r="A95" s="147" t="s">
        <v>90</v>
      </c>
      <c r="B95" s="39" t="s">
        <v>53</v>
      </c>
      <c r="C95" s="39">
        <v>0</v>
      </c>
      <c r="D95" s="39" t="s">
        <v>11</v>
      </c>
      <c r="E95" s="40"/>
      <c r="F95" s="206" t="s">
        <v>25</v>
      </c>
      <c r="G95" s="208">
        <f>C95</f>
        <v>0</v>
      </c>
      <c r="H95" s="206">
        <v>24</v>
      </c>
      <c r="I95" s="206">
        <f>IF(N95="Road Rigid &gt; 17t",7.5,15)</f>
        <v>15</v>
      </c>
      <c r="J95" s="20">
        <v>20</v>
      </c>
      <c r="K95" s="29">
        <f>IF(N95="Road Rigid &gt; 17t",0.00122,0.0012)</f>
        <v>1.1999999999999999E-3</v>
      </c>
      <c r="L95" s="206">
        <f>J95*M95*K95*(1+O95/100)</f>
        <v>0</v>
      </c>
      <c r="M95" s="206">
        <f>IF($M$40&lt;&gt;0,ROUNDUP(G95/I95,0),ROUNDUP(G95/H95,0))</f>
        <v>0</v>
      </c>
      <c r="N95" s="206" t="s">
        <v>65</v>
      </c>
      <c r="O95" s="206">
        <v>100</v>
      </c>
      <c r="Q95" s="206" t="s">
        <v>152</v>
      </c>
      <c r="R95" s="208" t="e">
        <f>M61+M66</f>
        <v>#REF!</v>
      </c>
      <c r="S95" s="208" t="e">
        <f>M103+M107</f>
        <v>#REF!</v>
      </c>
      <c r="U95" s="211"/>
      <c r="V95" s="106" t="s">
        <v>214</v>
      </c>
      <c r="W95" s="110">
        <f>C244</f>
        <v>57.959775000000008</v>
      </c>
      <c r="X95" s="110">
        <f>C245</f>
        <v>53.247320000000002</v>
      </c>
      <c r="Y95" s="114">
        <f t="shared" ref="Y95:Y100" si="20">1-(X95/W95)</f>
        <v>8.1305612383761106E-2</v>
      </c>
      <c r="Z95" s="208">
        <f>C246</f>
        <v>0</v>
      </c>
      <c r="AA95" s="66" t="e">
        <f>1-(Y96/W96)</f>
        <v>#REF!</v>
      </c>
      <c r="AB95" s="67" t="e">
        <f>1-(Y96/X96)</f>
        <v>#REF!</v>
      </c>
      <c r="AD95" s="206" t="s">
        <v>183</v>
      </c>
    </row>
    <row r="96" spans="1:30" x14ac:dyDescent="0.2">
      <c r="A96" s="39"/>
      <c r="B96" s="39" t="s">
        <v>55</v>
      </c>
      <c r="C96" s="39">
        <v>0</v>
      </c>
      <c r="D96" s="39" t="s">
        <v>11</v>
      </c>
      <c r="E96" s="40"/>
      <c r="F96" s="206" t="s">
        <v>25</v>
      </c>
      <c r="G96" s="208">
        <f>C96</f>
        <v>0</v>
      </c>
      <c r="H96" s="206">
        <v>24</v>
      </c>
      <c r="I96" s="206">
        <f>IF(N96="Road Rigid &gt; 17t",7.5,15)</f>
        <v>15</v>
      </c>
      <c r="J96" s="20">
        <v>20</v>
      </c>
      <c r="K96" s="29">
        <f>IF(N96="Road Rigid &gt; 17t",0.00122,0.0012)</f>
        <v>1.1999999999999999E-3</v>
      </c>
      <c r="L96" s="206">
        <f>J96*M96*K96*(1+O96/100)</f>
        <v>0</v>
      </c>
      <c r="M96" s="206">
        <f>IF($M$40&lt;&gt;0,ROUNDUP(G96/I96,0),ROUNDUP(G96/H96,0))</f>
        <v>0</v>
      </c>
      <c r="N96" s="206" t="s">
        <v>65</v>
      </c>
      <c r="O96" s="206">
        <v>100</v>
      </c>
      <c r="Q96" s="206" t="s">
        <v>153</v>
      </c>
      <c r="R96" s="208" t="e">
        <f>M61+M73</f>
        <v>#REF!</v>
      </c>
      <c r="S96" s="208" t="e">
        <f>M103+M111</f>
        <v>#REF!</v>
      </c>
      <c r="U96" s="211"/>
      <c r="V96" s="106" t="s">
        <v>212</v>
      </c>
      <c r="W96" s="110">
        <f>E244</f>
        <v>71.118799999999993</v>
      </c>
      <c r="X96" s="110" t="e">
        <f>E245</f>
        <v>#REF!</v>
      </c>
      <c r="Y96" s="114" t="e">
        <f t="shared" si="20"/>
        <v>#REF!</v>
      </c>
      <c r="Z96" s="208">
        <f>E246</f>
        <v>0</v>
      </c>
      <c r="AA96" s="66">
        <f>1-(Y95/W95)</f>
        <v>0.99859720621096681</v>
      </c>
      <c r="AB96" s="66">
        <f>1-(Y95/X95)</f>
        <v>0.99847305719078894</v>
      </c>
    </row>
    <row r="97" spans="1:30" ht="15" thickBot="1" x14ac:dyDescent="0.25">
      <c r="A97" s="39"/>
      <c r="B97" s="147" t="s">
        <v>242</v>
      </c>
      <c r="C97" s="156">
        <f>C5*2.6</f>
        <v>8954.4</v>
      </c>
      <c r="D97" s="147" t="s">
        <v>11</v>
      </c>
      <c r="E97" s="39"/>
      <c r="G97" s="208">
        <f>C97</f>
        <v>8954.4</v>
      </c>
      <c r="H97" s="206">
        <v>24</v>
      </c>
      <c r="I97" s="206">
        <f>IF(N97="Road Rigid &gt; 17t",7.5,15)</f>
        <v>15</v>
      </c>
      <c r="J97" s="20">
        <v>20</v>
      </c>
      <c r="K97" s="29">
        <f>IF(N97="Road Rigid &gt; 17t",0.00122,0.0012)</f>
        <v>1.1999999999999999E-3</v>
      </c>
      <c r="L97" s="13">
        <f>J97*M97*K97*(1+O97/100)</f>
        <v>28.655999999999999</v>
      </c>
      <c r="M97" s="206">
        <f>IF($M$40&lt;&gt;0,ROUNDUP(G97/I97,0),ROUNDUP(G97/H97,0))</f>
        <v>597</v>
      </c>
      <c r="N97" s="206" t="s">
        <v>65</v>
      </c>
      <c r="O97" s="206">
        <v>100</v>
      </c>
      <c r="U97" s="211"/>
      <c r="V97" s="106" t="s">
        <v>220</v>
      </c>
      <c r="W97" s="110">
        <f>F244</f>
        <v>7.7</v>
      </c>
      <c r="X97" s="110">
        <f>F245</f>
        <v>4.2160000000000002</v>
      </c>
      <c r="Y97" s="114">
        <f t="shared" si="20"/>
        <v>0.45246753246753246</v>
      </c>
      <c r="Z97" s="208">
        <f>F246</f>
        <v>0</v>
      </c>
      <c r="AA97" s="66">
        <f>1-(Y99/W99)</f>
        <v>0.98228399122806886</v>
      </c>
      <c r="AB97" s="67">
        <f>1-(Y99/X99)</f>
        <v>0.97049487959508862</v>
      </c>
      <c r="AD97" s="206" t="s">
        <v>184</v>
      </c>
    </row>
    <row r="98" spans="1:30" ht="15" thickBot="1" x14ac:dyDescent="0.25">
      <c r="A98" s="39"/>
      <c r="B98" s="39"/>
      <c r="C98" s="50"/>
      <c r="D98" s="39"/>
      <c r="E98" s="40"/>
      <c r="L98" s="36">
        <f>SUM(L95:L97)</f>
        <v>28.655999999999999</v>
      </c>
      <c r="M98" s="36">
        <f>SUM(M95:M97)</f>
        <v>597</v>
      </c>
      <c r="N98" s="206"/>
      <c r="U98" s="211"/>
      <c r="V98" s="106" t="s">
        <v>217</v>
      </c>
      <c r="W98" s="110">
        <f>G244</f>
        <v>2.0657999999999999</v>
      </c>
      <c r="X98" s="110">
        <f>G245</f>
        <v>1.5091999999999999</v>
      </c>
      <c r="Y98" s="114">
        <f t="shared" si="20"/>
        <v>0.26943556975505856</v>
      </c>
      <c r="Z98" s="208">
        <f>G246</f>
        <v>0</v>
      </c>
      <c r="AA98" s="66">
        <f>1-(Y97/W97)</f>
        <v>0.94123798279642434</v>
      </c>
      <c r="AB98" s="66">
        <f>1-(Y97/X97)</f>
        <v>0.89267847901623998</v>
      </c>
    </row>
    <row r="99" spans="1:30" x14ac:dyDescent="0.2">
      <c r="A99" s="39"/>
      <c r="B99" s="39"/>
      <c r="C99" s="50"/>
      <c r="D99" s="39"/>
      <c r="E99" s="40"/>
      <c r="N99" s="206"/>
      <c r="Q99" s="206" t="s">
        <v>92</v>
      </c>
      <c r="R99" s="208" t="e">
        <f>M61</f>
        <v>#REF!</v>
      </c>
      <c r="S99" s="208" t="e">
        <f>M103</f>
        <v>#REF!</v>
      </c>
      <c r="U99" s="211"/>
      <c r="V99" s="106" t="s">
        <v>213</v>
      </c>
      <c r="W99" s="110">
        <f>H244</f>
        <v>22.553700150000001</v>
      </c>
      <c r="X99" s="110">
        <f>H245</f>
        <v>13.542108766666667</v>
      </c>
      <c r="Y99" s="114">
        <f t="shared" si="20"/>
        <v>0.39956154969690572</v>
      </c>
      <c r="Z99" s="208">
        <f>H246</f>
        <v>0</v>
      </c>
      <c r="AA99" s="66">
        <f>1-(Y98/W98)</f>
        <v>0.86957325503192051</v>
      </c>
      <c r="AB99" s="67">
        <f>1-(Y98/X98)</f>
        <v>0.82147126308305163</v>
      </c>
      <c r="AD99" s="206" t="s">
        <v>184</v>
      </c>
    </row>
    <row r="100" spans="1:30" ht="15" thickBot="1" x14ac:dyDescent="0.25">
      <c r="A100" s="147" t="s">
        <v>92</v>
      </c>
      <c r="B100" s="147" t="s">
        <v>243</v>
      </c>
      <c r="C100" s="156" t="e">
        <f>'MIP550-Verbauwand'!B3*('MIP550-Verbauwand'!#REF!/100)*('MIP550-Verbauwand'!B21/100)*2.2</f>
        <v>#REF!</v>
      </c>
      <c r="D100" s="147" t="s">
        <v>11</v>
      </c>
      <c r="E100" s="39"/>
      <c r="F100" s="206" t="s">
        <v>25</v>
      </c>
      <c r="G100" s="208" t="e">
        <f t="shared" ref="G100:G101" si="21">C100</f>
        <v>#REF!</v>
      </c>
      <c r="H100" s="206">
        <v>24</v>
      </c>
      <c r="I100" s="206">
        <f>IF(N100="Road Rigid &gt; 17t",7.5,15)</f>
        <v>15</v>
      </c>
      <c r="J100" s="20">
        <v>20</v>
      </c>
      <c r="K100" s="29">
        <f t="shared" ref="K100:K102" si="22">IF(N100="Road Rigid &gt; 17t",0.00122,0.0012)</f>
        <v>1.1999999999999999E-3</v>
      </c>
      <c r="L100" s="13" t="e">
        <f>J100*M100*K100*(1+O100/100)</f>
        <v>#REF!</v>
      </c>
      <c r="M100" s="206" t="e">
        <f>IF($M$40&lt;&gt;0,ROUNDUP(G100/I100,0),ROUNDUP(G100/H100,0))</f>
        <v>#REF!</v>
      </c>
      <c r="N100" s="206" t="s">
        <v>65</v>
      </c>
      <c r="O100" s="206">
        <v>100</v>
      </c>
      <c r="Q100" s="206" t="s">
        <v>93</v>
      </c>
      <c r="R100" s="208">
        <f>M66</f>
        <v>0</v>
      </c>
      <c r="S100" s="208">
        <f>M107</f>
        <v>0</v>
      </c>
      <c r="U100" s="211"/>
      <c r="V100" s="107" t="s">
        <v>210</v>
      </c>
      <c r="W100" s="111">
        <f>I244</f>
        <v>28.655999999999999</v>
      </c>
      <c r="X100" s="111" t="e">
        <f>I245</f>
        <v>#REF!</v>
      </c>
      <c r="Y100" s="115" t="e">
        <f t="shared" si="20"/>
        <v>#REF!</v>
      </c>
      <c r="Z100" s="208">
        <f>I246</f>
        <v>0</v>
      </c>
      <c r="AA100" s="66" t="e">
        <f t="shared" si="18"/>
        <v>#REF!</v>
      </c>
      <c r="AB100" s="66" t="e">
        <f t="shared" si="19"/>
        <v>#REF!</v>
      </c>
    </row>
    <row r="101" spans="1:30" ht="16.5" x14ac:dyDescent="0.2">
      <c r="A101" s="39"/>
      <c r="B101" s="39" t="s">
        <v>55</v>
      </c>
      <c r="C101" s="39">
        <v>0</v>
      </c>
      <c r="D101" s="39" t="s">
        <v>11</v>
      </c>
      <c r="E101" s="39"/>
      <c r="F101" s="206" t="s">
        <v>25</v>
      </c>
      <c r="G101" s="206">
        <f t="shared" si="21"/>
        <v>0</v>
      </c>
      <c r="H101" s="206">
        <v>24</v>
      </c>
      <c r="I101" s="206">
        <f>IF(N101="Road Rigid &gt; 17t",7.5,15)</f>
        <v>15</v>
      </c>
      <c r="J101" s="20">
        <v>20</v>
      </c>
      <c r="K101" s="29">
        <f t="shared" si="22"/>
        <v>1.1999999999999999E-3</v>
      </c>
      <c r="L101" s="206">
        <f>J101*M101*K101*(1+O101/100)</f>
        <v>0</v>
      </c>
      <c r="M101" s="206">
        <f>IF($M$40&lt;&gt;0,ROUNDUP(G101/I101,0),ROUNDUP(G101/H101,0))</f>
        <v>0</v>
      </c>
      <c r="N101" s="206" t="s">
        <v>65</v>
      </c>
      <c r="O101" s="206">
        <v>100</v>
      </c>
      <c r="Q101" s="206" t="s">
        <v>94</v>
      </c>
      <c r="R101" s="208">
        <f>M73</f>
        <v>0</v>
      </c>
      <c r="S101" s="206">
        <f>0</f>
        <v>0</v>
      </c>
      <c r="V101" s="100" t="s">
        <v>187</v>
      </c>
      <c r="W101" s="101" t="s">
        <v>223</v>
      </c>
      <c r="X101" s="101" t="s">
        <v>227</v>
      </c>
      <c r="Y101" s="102"/>
      <c r="AA101" s="66" t="e">
        <f>1-(X101/W101)</f>
        <v>#VALUE!</v>
      </c>
      <c r="AB101" s="66" t="e">
        <f>1-(SUM(Y94:Y100)/SUM(X94:X100))</f>
        <v>#REF!</v>
      </c>
    </row>
    <row r="102" spans="1:30" ht="15.75" thickBot="1" x14ac:dyDescent="0.25">
      <c r="A102" s="39"/>
      <c r="B102" s="147" t="s">
        <v>206</v>
      </c>
      <c r="C102" s="147">
        <v>0</v>
      </c>
      <c r="D102" s="147" t="s">
        <v>11</v>
      </c>
      <c r="E102" s="147" t="s">
        <v>207</v>
      </c>
      <c r="F102" s="147"/>
      <c r="G102" s="147">
        <f>C102*2</f>
        <v>0</v>
      </c>
      <c r="H102" s="147">
        <v>24</v>
      </c>
      <c r="I102" s="147">
        <f>IF(N102="Road Rigid &gt; 17t",7.5,15)</f>
        <v>15</v>
      </c>
      <c r="J102" s="155">
        <v>50</v>
      </c>
      <c r="K102" s="29">
        <f t="shared" si="22"/>
        <v>1.1999999999999999E-3</v>
      </c>
      <c r="L102" s="206">
        <f>J102*M102*K102*(1+O102/100)</f>
        <v>0</v>
      </c>
      <c r="M102" s="206">
        <f>IF($M$40&lt;&gt;0,ROUNDUP(G102/I102,0),ROUNDUP(G102/H102,0))</f>
        <v>0</v>
      </c>
      <c r="N102" s="206" t="s">
        <v>65</v>
      </c>
      <c r="O102" s="206">
        <v>100</v>
      </c>
      <c r="V102" s="100"/>
      <c r="W102" s="101"/>
      <c r="X102" s="101"/>
      <c r="Y102" s="102"/>
      <c r="AA102" s="66"/>
      <c r="AB102" s="66"/>
    </row>
    <row r="103" spans="1:30" ht="17.25" thickBot="1" x14ac:dyDescent="0.35">
      <c r="A103" s="39"/>
      <c r="B103" s="39"/>
      <c r="C103" s="39"/>
      <c r="D103" s="39"/>
      <c r="E103" s="40"/>
      <c r="L103" s="36" t="e">
        <f>SUM(L100:L102)</f>
        <v>#REF!</v>
      </c>
      <c r="M103" s="36" t="e">
        <f>SUM(M100:M101)</f>
        <v>#REF!</v>
      </c>
      <c r="N103" s="206"/>
      <c r="V103" s="117" t="s">
        <v>221</v>
      </c>
      <c r="W103" s="348" t="s">
        <v>234</v>
      </c>
      <c r="X103" s="348"/>
      <c r="Y103" s="118">
        <v>0.27</v>
      </c>
    </row>
    <row r="104" spans="1:30" x14ac:dyDescent="0.2">
      <c r="A104" s="39"/>
      <c r="B104" s="39"/>
      <c r="C104" s="39"/>
      <c r="D104" s="39"/>
      <c r="E104" s="40"/>
      <c r="N104" s="206"/>
      <c r="AB104" s="66" t="e">
        <f>1-(X101/#REF!)</f>
        <v>#VALUE!</v>
      </c>
    </row>
    <row r="105" spans="1:30" ht="15" hidden="1" customHeight="1" x14ac:dyDescent="0.2">
      <c r="A105" s="39"/>
      <c r="B105" s="39"/>
      <c r="C105" s="39"/>
      <c r="D105" s="39"/>
      <c r="E105" s="40"/>
      <c r="L105" s="17"/>
      <c r="N105" s="206"/>
    </row>
    <row r="106" spans="1:30" hidden="1" x14ac:dyDescent="0.2">
      <c r="A106" s="39" t="s">
        <v>93</v>
      </c>
      <c r="B106" s="39" t="s">
        <v>69</v>
      </c>
      <c r="C106" s="39">
        <v>0</v>
      </c>
      <c r="D106" s="39" t="s">
        <v>11</v>
      </c>
      <c r="E106" s="39"/>
      <c r="F106" s="39" t="s">
        <v>25</v>
      </c>
      <c r="G106" s="39">
        <f>C106</f>
        <v>0</v>
      </c>
      <c r="H106" s="39">
        <v>24</v>
      </c>
      <c r="I106" s="39">
        <f>IF(N106="Road Rigid &gt; 17t",7.5,15)</f>
        <v>15</v>
      </c>
      <c r="J106" s="157">
        <v>20</v>
      </c>
      <c r="K106" s="165">
        <f>IF(N106="Road Rigid &gt; 17t",0.00122,0.0012)</f>
        <v>1.1999999999999999E-3</v>
      </c>
      <c r="L106" s="39">
        <f>J106*M106*K106*(1+O106/100)</f>
        <v>0</v>
      </c>
      <c r="M106" s="39">
        <f>IF($M$40&lt;&gt;0,ROUNDUP(G106/I106,0),ROUNDUP(G106/H106,0))</f>
        <v>0</v>
      </c>
      <c r="N106" s="39" t="s">
        <v>65</v>
      </c>
      <c r="O106" s="39">
        <v>100</v>
      </c>
      <c r="P106" s="39"/>
    </row>
    <row r="107" spans="1:30" ht="15" hidden="1" thickBot="1" x14ac:dyDescent="0.25">
      <c r="A107" s="39"/>
      <c r="B107" s="39"/>
      <c r="C107" s="39"/>
      <c r="D107" s="39"/>
      <c r="E107" s="40"/>
      <c r="F107" s="39"/>
      <c r="G107" s="39"/>
      <c r="H107" s="39"/>
      <c r="I107" s="39"/>
      <c r="J107" s="157"/>
      <c r="K107" s="39"/>
      <c r="L107" s="160">
        <f>SUM(L106)</f>
        <v>0</v>
      </c>
      <c r="M107" s="160">
        <f>SUM(M106)</f>
        <v>0</v>
      </c>
      <c r="N107" s="39"/>
      <c r="O107" s="39"/>
      <c r="P107" s="39"/>
    </row>
    <row r="108" spans="1:30" ht="15" hidden="1" thickBot="1" x14ac:dyDescent="0.25">
      <c r="A108" s="39"/>
      <c r="B108" s="39"/>
      <c r="C108" s="39"/>
      <c r="D108" s="39"/>
      <c r="E108" s="39"/>
      <c r="F108" s="39"/>
      <c r="G108" s="39"/>
      <c r="H108" s="39"/>
      <c r="I108" s="39"/>
      <c r="J108" s="157"/>
      <c r="K108" s="165"/>
      <c r="L108" s="39"/>
      <c r="M108" s="39"/>
      <c r="N108" s="39"/>
      <c r="O108" s="39"/>
      <c r="P108" s="39"/>
      <c r="V108" s="212"/>
      <c r="W108" s="212"/>
      <c r="X108" s="212"/>
      <c r="Y108" s="212"/>
    </row>
    <row r="109" spans="1:30" ht="48" hidden="1" thickBot="1" x14ac:dyDescent="0.25">
      <c r="A109" s="39"/>
      <c r="B109" s="39"/>
      <c r="C109" s="39"/>
      <c r="D109" s="39"/>
      <c r="E109" s="40"/>
      <c r="F109" s="39"/>
      <c r="G109" s="39"/>
      <c r="H109" s="39"/>
      <c r="I109" s="39"/>
      <c r="J109" s="157"/>
      <c r="K109" s="39"/>
      <c r="L109" s="158"/>
      <c r="M109" s="39"/>
      <c r="N109" s="39"/>
      <c r="O109" s="39"/>
      <c r="P109" s="39"/>
      <c r="U109" s="122"/>
      <c r="V109" s="104" t="s">
        <v>218</v>
      </c>
      <c r="W109" s="108" t="s">
        <v>219</v>
      </c>
      <c r="X109" s="123" t="s">
        <v>230</v>
      </c>
      <c r="Y109" s="124" t="s">
        <v>231</v>
      </c>
    </row>
    <row r="110" spans="1:30" ht="15" hidden="1" customHeight="1" thickBot="1" x14ac:dyDescent="0.25">
      <c r="A110" s="39" t="s">
        <v>94</v>
      </c>
      <c r="B110" s="39" t="s">
        <v>25</v>
      </c>
      <c r="C110" s="39" t="s">
        <v>25</v>
      </c>
      <c r="D110" s="39" t="s">
        <v>25</v>
      </c>
      <c r="E110" s="39" t="s">
        <v>25</v>
      </c>
      <c r="F110" s="39" t="s">
        <v>25</v>
      </c>
      <c r="G110" s="39" t="s">
        <v>25</v>
      </c>
      <c r="H110" s="39" t="s">
        <v>25</v>
      </c>
      <c r="I110" s="39" t="s">
        <v>25</v>
      </c>
      <c r="J110" s="157" t="s">
        <v>25</v>
      </c>
      <c r="K110" s="39" t="s">
        <v>25</v>
      </c>
      <c r="L110" s="39" t="s">
        <v>25</v>
      </c>
      <c r="M110" s="39" t="s">
        <v>25</v>
      </c>
      <c r="N110" s="39" t="s">
        <v>25</v>
      </c>
      <c r="O110" s="39" t="s">
        <v>25</v>
      </c>
      <c r="P110" s="39"/>
      <c r="U110" s="122"/>
      <c r="V110" s="130" t="s">
        <v>211</v>
      </c>
      <c r="W110" s="119">
        <v>4952.2054160000007</v>
      </c>
      <c r="X110" s="125" t="e">
        <f t="shared" ref="X110:X116" si="23">1-X94/W94</f>
        <v>#REF!</v>
      </c>
      <c r="Y110" s="126">
        <f>1-Z94/W94</f>
        <v>1</v>
      </c>
    </row>
    <row r="111" spans="1:30" ht="15" hidden="1" customHeight="1" thickBot="1" x14ac:dyDescent="0.25">
      <c r="A111" s="39"/>
      <c r="B111" s="39"/>
      <c r="C111" s="39"/>
      <c r="D111" s="39"/>
      <c r="E111" s="39"/>
      <c r="F111" s="39"/>
      <c r="G111" s="39"/>
      <c r="H111" s="39"/>
      <c r="I111" s="39"/>
      <c r="J111" s="157"/>
      <c r="K111" s="39"/>
      <c r="L111" s="160">
        <f>SUM(L110)</f>
        <v>0</v>
      </c>
      <c r="M111" s="39">
        <v>0</v>
      </c>
      <c r="N111" s="39"/>
      <c r="O111" s="39"/>
      <c r="P111" s="39"/>
      <c r="U111" s="122"/>
      <c r="V111" s="106" t="s">
        <v>214</v>
      </c>
      <c r="W111" s="110">
        <v>282.07732620000002</v>
      </c>
      <c r="X111" s="125">
        <f t="shared" si="23"/>
        <v>8.1305612383761106E-2</v>
      </c>
      <c r="Y111" s="126">
        <f t="shared" ref="Y111:Y116" si="24">1-Z95/W95</f>
        <v>1</v>
      </c>
    </row>
    <row r="112" spans="1:30" ht="15" customHeight="1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157"/>
      <c r="K112" s="39"/>
      <c r="L112" s="39"/>
      <c r="M112" s="39"/>
      <c r="N112" s="39"/>
      <c r="O112" s="39"/>
      <c r="P112" s="39"/>
      <c r="U112" s="122"/>
      <c r="V112" s="106" t="s">
        <v>212</v>
      </c>
      <c r="W112" s="110">
        <v>327.0136</v>
      </c>
      <c r="X112" s="125" t="e">
        <f t="shared" si="23"/>
        <v>#REF!</v>
      </c>
      <c r="Y112" s="126">
        <f t="shared" si="24"/>
        <v>1</v>
      </c>
    </row>
    <row r="113" spans="1:25" ht="15" customHeight="1" x14ac:dyDescent="0.2">
      <c r="A113" s="39"/>
      <c r="B113" s="39"/>
      <c r="C113" s="39"/>
      <c r="D113" s="39"/>
      <c r="E113" s="39"/>
      <c r="N113" s="206"/>
      <c r="U113" s="122"/>
      <c r="V113" s="106" t="s">
        <v>215</v>
      </c>
      <c r="W113" s="110">
        <v>42.5</v>
      </c>
      <c r="X113" s="125">
        <f t="shared" si="23"/>
        <v>0.45246753246753246</v>
      </c>
      <c r="Y113" s="126">
        <f t="shared" si="24"/>
        <v>1</v>
      </c>
    </row>
    <row r="114" spans="1:25" ht="15" customHeight="1" thickBot="1" x14ac:dyDescent="0.25">
      <c r="A114" s="39"/>
      <c r="B114" s="41"/>
      <c r="C114" s="41"/>
      <c r="D114" s="41"/>
      <c r="E114" s="41"/>
      <c r="F114" s="349" t="s">
        <v>78</v>
      </c>
      <c r="G114" s="349"/>
      <c r="H114" s="349"/>
      <c r="I114" s="349"/>
      <c r="J114" s="350"/>
      <c r="N114" s="206"/>
      <c r="U114" s="122"/>
      <c r="V114" s="106" t="s">
        <v>217</v>
      </c>
      <c r="W114" s="110">
        <v>5.6320000000000006</v>
      </c>
      <c r="X114" s="125">
        <f t="shared" si="23"/>
        <v>0.26943556975505856</v>
      </c>
      <c r="Y114" s="126">
        <f t="shared" si="24"/>
        <v>1</v>
      </c>
    </row>
    <row r="115" spans="1:25" ht="15" customHeight="1" x14ac:dyDescent="0.2">
      <c r="A115" s="166" t="s">
        <v>33</v>
      </c>
      <c r="B115" s="167"/>
      <c r="C115" s="346" t="s">
        <v>82</v>
      </c>
      <c r="D115" s="347"/>
      <c r="E115" s="167"/>
      <c r="F115" s="22" t="s">
        <v>103</v>
      </c>
      <c r="G115" s="24" t="s">
        <v>102</v>
      </c>
      <c r="H115" s="24" t="s">
        <v>105</v>
      </c>
      <c r="I115" s="215" t="s">
        <v>2</v>
      </c>
      <c r="J115" s="2" t="s">
        <v>3</v>
      </c>
      <c r="N115" s="206"/>
      <c r="P115" s="61" t="s">
        <v>144</v>
      </c>
      <c r="Q115" s="61" t="s">
        <v>146</v>
      </c>
      <c r="R115" s="61" t="s">
        <v>145</v>
      </c>
      <c r="S115" s="61" t="s">
        <v>154</v>
      </c>
      <c r="T115" s="61" t="s">
        <v>147</v>
      </c>
      <c r="U115" s="122"/>
      <c r="V115" s="106" t="s">
        <v>213</v>
      </c>
      <c r="W115" s="110">
        <v>45.913284666666669</v>
      </c>
      <c r="X115" s="125">
        <f t="shared" si="23"/>
        <v>0.39956154969690572</v>
      </c>
      <c r="Y115" s="126">
        <f t="shared" si="24"/>
        <v>1</v>
      </c>
    </row>
    <row r="116" spans="1:25" ht="15" customHeight="1" thickBot="1" x14ac:dyDescent="0.25">
      <c r="A116" s="168"/>
      <c r="B116" s="169"/>
      <c r="C116" s="170"/>
      <c r="D116" s="171"/>
      <c r="E116" s="172"/>
      <c r="F116" s="6" t="s">
        <v>107</v>
      </c>
      <c r="G116" s="23" t="s">
        <v>104</v>
      </c>
      <c r="H116" s="6" t="s">
        <v>106</v>
      </c>
      <c r="I116" s="18" t="s">
        <v>34</v>
      </c>
      <c r="J116" s="6" t="s">
        <v>7</v>
      </c>
      <c r="N116" s="206"/>
      <c r="P116" s="61" t="s">
        <v>157</v>
      </c>
      <c r="Q116" s="61" t="s">
        <v>149</v>
      </c>
      <c r="R116" s="61" t="s">
        <v>148</v>
      </c>
      <c r="S116" s="61" t="s">
        <v>155</v>
      </c>
      <c r="T116" s="61" t="s">
        <v>150</v>
      </c>
      <c r="U116" s="122"/>
      <c r="V116" s="131" t="s">
        <v>210</v>
      </c>
      <c r="W116" s="120">
        <v>547.87199999999996</v>
      </c>
      <c r="X116" s="128" t="e">
        <f t="shared" si="23"/>
        <v>#REF!</v>
      </c>
      <c r="Y116" s="129">
        <f t="shared" si="24"/>
        <v>1</v>
      </c>
    </row>
    <row r="117" spans="1:25" ht="15" customHeight="1" x14ac:dyDescent="0.2">
      <c r="A117" s="147" t="s">
        <v>90</v>
      </c>
      <c r="B117" s="147" t="s">
        <v>264</v>
      </c>
      <c r="C117" s="147">
        <v>200</v>
      </c>
      <c r="D117" s="147" t="s">
        <v>11</v>
      </c>
      <c r="E117" s="147" t="s">
        <v>263</v>
      </c>
      <c r="F117" s="187">
        <f>E124/200</f>
        <v>23.475000000000001</v>
      </c>
      <c r="G117" s="206">
        <v>10</v>
      </c>
      <c r="H117" s="206">
        <v>150</v>
      </c>
      <c r="I117" s="206">
        <v>3.6669999999999998</v>
      </c>
      <c r="J117" s="13">
        <f>C117*(F117/H117)/G117*I117</f>
        <v>11.477709999999998</v>
      </c>
      <c r="N117" s="206"/>
      <c r="P117" s="206" t="s">
        <v>151</v>
      </c>
      <c r="Q117" s="206">
        <f>4952+282+98+43+20+0.5*(315+548)</f>
        <v>5826.5</v>
      </c>
      <c r="R117" s="206">
        <f>4952+282+98+43+20+1*(315+548)</f>
        <v>6258</v>
      </c>
      <c r="S117" s="206">
        <f>4952+282+98+43+20+1.5*(315+548)</f>
        <v>6689.5</v>
      </c>
      <c r="T117" s="206">
        <f>4952+282+98+43+20+2*(315+548)</f>
        <v>7121</v>
      </c>
      <c r="V117" s="100" t="s">
        <v>187</v>
      </c>
      <c r="W117" s="101" t="s">
        <v>223</v>
      </c>
      <c r="X117" s="103">
        <v>0.27</v>
      </c>
      <c r="Y117" s="103">
        <v>0.42</v>
      </c>
    </row>
    <row r="118" spans="1:25" ht="15" customHeight="1" x14ac:dyDescent="0.2">
      <c r="A118" s="147"/>
      <c r="B118" s="147" t="s">
        <v>108</v>
      </c>
      <c r="C118" s="147">
        <v>30</v>
      </c>
      <c r="D118" s="147" t="s">
        <v>11</v>
      </c>
      <c r="E118" s="147" t="s">
        <v>121</v>
      </c>
      <c r="F118" s="187">
        <f>E124/200</f>
        <v>23.475000000000001</v>
      </c>
      <c r="G118" s="206">
        <v>10</v>
      </c>
      <c r="H118" s="206">
        <v>150</v>
      </c>
      <c r="I118" s="206">
        <v>3.6669999999999998</v>
      </c>
      <c r="J118" s="13">
        <f>C118*(F118/H118)/G118*I118</f>
        <v>1.7216564999999999</v>
      </c>
      <c r="N118" s="206"/>
      <c r="P118" s="206" t="s">
        <v>152</v>
      </c>
      <c r="Q118" s="206">
        <f>3450+359+56+36+15+0.5*(35+501)</f>
        <v>4184</v>
      </c>
      <c r="R118" s="206">
        <f>3450+359+56+36+15+1*(35+501)</f>
        <v>4452</v>
      </c>
      <c r="S118" s="206">
        <f>3450+359+56+36+15+1.5*(35+501)</f>
        <v>4720</v>
      </c>
      <c r="T118" s="206">
        <f>3450+359+56+36+15+2*(35+501)</f>
        <v>4988</v>
      </c>
      <c r="V118" s="102"/>
      <c r="W118" s="102"/>
      <c r="X118" s="39"/>
      <c r="Y118" s="39"/>
    </row>
    <row r="119" spans="1:25" ht="15" customHeight="1" x14ac:dyDescent="0.3">
      <c r="A119" s="147"/>
      <c r="B119" s="147" t="s">
        <v>118</v>
      </c>
      <c r="C119" s="147">
        <v>20</v>
      </c>
      <c r="D119" s="147" t="s">
        <v>117</v>
      </c>
      <c r="E119" s="147"/>
      <c r="F119" s="187">
        <f>E124/200</f>
        <v>23.475000000000001</v>
      </c>
      <c r="G119" s="206">
        <v>10</v>
      </c>
      <c r="H119" s="206">
        <v>150</v>
      </c>
      <c r="I119" s="206">
        <v>3.6669999999999998</v>
      </c>
      <c r="J119" s="13">
        <f>C119*(F119/H119)/G119*I119</f>
        <v>1.1477709999999999</v>
      </c>
      <c r="N119" s="206"/>
      <c r="P119" s="206" t="s">
        <v>153</v>
      </c>
      <c r="Q119" s="206">
        <f>2618+319+78+35+20+0.5*(55+430)</f>
        <v>3312.5</v>
      </c>
      <c r="R119" s="206">
        <f>2618+319+78+35+20+1*(55+430)</f>
        <v>3555</v>
      </c>
      <c r="S119" s="206">
        <f>2618+319+78+35+20+1.5*(55+430)</f>
        <v>3797.5</v>
      </c>
      <c r="T119" s="206">
        <f t="shared" ref="T119" si="25">2618+319+78+35+20+0.5*(55+430)</f>
        <v>3312.5</v>
      </c>
      <c r="V119" s="117" t="s">
        <v>221</v>
      </c>
      <c r="W119" s="99"/>
      <c r="X119" s="127" t="s">
        <v>224</v>
      </c>
      <c r="Y119" s="127" t="s">
        <v>225</v>
      </c>
    </row>
    <row r="120" spans="1:25" ht="15" customHeight="1" x14ac:dyDescent="0.25">
      <c r="A120" s="147"/>
      <c r="B120" s="147" t="s">
        <v>158</v>
      </c>
      <c r="C120" s="147">
        <v>22</v>
      </c>
      <c r="D120" s="147" t="s">
        <v>11</v>
      </c>
      <c r="E120" s="147"/>
      <c r="F120" s="187">
        <f>E124/200</f>
        <v>23.475000000000001</v>
      </c>
      <c r="G120" s="206">
        <v>10</v>
      </c>
      <c r="H120" s="206">
        <v>150</v>
      </c>
      <c r="I120" s="206">
        <v>3.6669999999999998</v>
      </c>
      <c r="J120" s="13">
        <f t="shared" ref="J120" si="26">C120*(F120/H120)/G120*I120</f>
        <v>1.2625480999999998</v>
      </c>
      <c r="N120" s="206"/>
      <c r="V120" s="117"/>
      <c r="W120" s="99"/>
      <c r="X120" s="127"/>
      <c r="Y120" s="127"/>
    </row>
    <row r="121" spans="1:25" ht="15" customHeight="1" x14ac:dyDescent="0.25">
      <c r="A121" s="147"/>
      <c r="B121" s="147" t="s">
        <v>81</v>
      </c>
      <c r="C121" s="147">
        <v>43</v>
      </c>
      <c r="D121" s="147" t="s">
        <v>11</v>
      </c>
      <c r="E121" s="147"/>
      <c r="F121" s="187">
        <f>E124/200</f>
        <v>23.475000000000001</v>
      </c>
      <c r="G121" s="206">
        <v>10</v>
      </c>
      <c r="H121" s="206">
        <v>150</v>
      </c>
      <c r="I121" s="206">
        <v>3.6669999999999998</v>
      </c>
      <c r="J121" s="13">
        <f>C121*(F121/H121)/G121*I121</f>
        <v>2.4677076499999995</v>
      </c>
      <c r="N121" s="206"/>
      <c r="V121" s="117"/>
      <c r="W121" s="99"/>
      <c r="X121" s="127"/>
      <c r="Y121" s="127"/>
    </row>
    <row r="122" spans="1:25" x14ac:dyDescent="0.2">
      <c r="A122" s="147"/>
      <c r="B122" s="147" t="s">
        <v>159</v>
      </c>
      <c r="C122" s="147">
        <v>60</v>
      </c>
      <c r="D122" s="147" t="s">
        <v>11</v>
      </c>
      <c r="E122" s="147"/>
      <c r="F122" s="187">
        <f>E124/200</f>
        <v>23.475000000000001</v>
      </c>
      <c r="G122" s="206">
        <v>10</v>
      </c>
      <c r="H122" s="206">
        <v>150</v>
      </c>
      <c r="I122" s="206">
        <v>3.6669999999999998</v>
      </c>
      <c r="J122" s="13">
        <f>C122*(F122/H122)/G122*I122</f>
        <v>3.4433129999999998</v>
      </c>
      <c r="N122" s="206"/>
    </row>
    <row r="123" spans="1:25" ht="15" thickBot="1" x14ac:dyDescent="0.25">
      <c r="A123" s="147"/>
      <c r="B123" s="147" t="s">
        <v>195</v>
      </c>
      <c r="C123" s="147">
        <v>18</v>
      </c>
      <c r="D123" s="147" t="s">
        <v>11</v>
      </c>
      <c r="E123" s="147"/>
      <c r="F123" s="187">
        <f>E124/200</f>
        <v>23.475000000000001</v>
      </c>
      <c r="G123" s="147">
        <v>10</v>
      </c>
      <c r="H123" s="147">
        <v>150</v>
      </c>
      <c r="I123" s="147">
        <v>3.6669999999999998</v>
      </c>
      <c r="J123" s="154">
        <f>C123*(F123/H123)/G123*I123</f>
        <v>1.0329938999999999</v>
      </c>
      <c r="N123" s="206"/>
    </row>
    <row r="124" spans="1:25" ht="15" thickBot="1" x14ac:dyDescent="0.25">
      <c r="A124" s="39"/>
      <c r="B124" s="39"/>
      <c r="C124" s="39"/>
      <c r="D124" s="39" t="s">
        <v>266</v>
      </c>
      <c r="E124" s="39">
        <f>1076 + 1366 + 2253</f>
        <v>4695</v>
      </c>
      <c r="F124" s="208"/>
      <c r="J124" s="36">
        <f>SUM(J117:J123)</f>
        <v>22.553700150000001</v>
      </c>
      <c r="N124" s="206"/>
    </row>
    <row r="125" spans="1:25" x14ac:dyDescent="0.2">
      <c r="A125" s="39"/>
      <c r="B125" s="39"/>
      <c r="C125" s="39"/>
      <c r="D125" s="39"/>
      <c r="E125" s="39"/>
      <c r="F125" s="208"/>
      <c r="J125" s="206"/>
      <c r="N125" s="206"/>
    </row>
    <row r="126" spans="1:25" ht="14.25" hidden="1" customHeight="1" thickBot="1" x14ac:dyDescent="0.25">
      <c r="A126" s="39" t="s">
        <v>91</v>
      </c>
      <c r="B126" s="39" t="s">
        <v>79</v>
      </c>
      <c r="C126" s="39">
        <v>9</v>
      </c>
      <c r="D126" s="39" t="s">
        <v>11</v>
      </c>
      <c r="E126" s="39" t="s">
        <v>122</v>
      </c>
      <c r="F126" s="50">
        <f>ROUNDUP($C$13/(10*90),0)</f>
        <v>0</v>
      </c>
      <c r="G126" s="39">
        <v>10</v>
      </c>
      <c r="H126" s="39">
        <v>150</v>
      </c>
      <c r="I126" s="39">
        <v>3.6669999999999998</v>
      </c>
      <c r="J126" s="49">
        <f>C126*(F126/H126)/G126*I126</f>
        <v>0</v>
      </c>
      <c r="N126" s="206"/>
    </row>
    <row r="127" spans="1:25" ht="34.5" hidden="1" customHeight="1" thickBot="1" x14ac:dyDescent="0.25">
      <c r="A127" s="39"/>
      <c r="B127" s="39" t="s">
        <v>80</v>
      </c>
      <c r="C127" s="39">
        <v>45</v>
      </c>
      <c r="D127" s="39" t="s">
        <v>11</v>
      </c>
      <c r="E127" s="39"/>
      <c r="F127" s="50">
        <f t="shared" ref="F127:F129" si="27">ROUNDUP($C$13/(10*90),0)</f>
        <v>0</v>
      </c>
      <c r="G127" s="39">
        <v>10</v>
      </c>
      <c r="H127" s="39">
        <v>150</v>
      </c>
      <c r="I127" s="39">
        <v>3.6669999999999998</v>
      </c>
      <c r="J127" s="49">
        <f t="shared" ref="J127:J135" si="28">C127*(F127/H127)/G127*I127</f>
        <v>0</v>
      </c>
      <c r="N127" s="206"/>
      <c r="V127" s="104" t="s">
        <v>218</v>
      </c>
      <c r="W127" s="108" t="s">
        <v>232</v>
      </c>
      <c r="X127" s="116" t="s">
        <v>233</v>
      </c>
      <c r="Y127" s="112" t="s">
        <v>222</v>
      </c>
    </row>
    <row r="128" spans="1:25" hidden="1" x14ac:dyDescent="0.2">
      <c r="A128" s="39"/>
      <c r="B128" s="39" t="s">
        <v>81</v>
      </c>
      <c r="C128" s="39">
        <v>43</v>
      </c>
      <c r="D128" s="39" t="s">
        <v>11</v>
      </c>
      <c r="E128" s="39"/>
      <c r="F128" s="50">
        <f t="shared" si="27"/>
        <v>0</v>
      </c>
      <c r="G128" s="39">
        <v>10</v>
      </c>
      <c r="H128" s="39">
        <v>150</v>
      </c>
      <c r="I128" s="39">
        <v>3.6669999999999998</v>
      </c>
      <c r="J128" s="49">
        <f t="shared" si="28"/>
        <v>0</v>
      </c>
      <c r="N128" s="206"/>
      <c r="V128" s="105" t="s">
        <v>211</v>
      </c>
      <c r="W128" s="109">
        <f>B240</f>
        <v>0</v>
      </c>
      <c r="X128" s="109">
        <f>B241</f>
        <v>0</v>
      </c>
      <c r="Y128" s="113" t="e">
        <f>1-(X128/W128)</f>
        <v>#DIV/0!</v>
      </c>
    </row>
    <row r="129" spans="1:26" hidden="1" x14ac:dyDescent="0.2">
      <c r="A129" s="39"/>
      <c r="B129" s="39" t="s">
        <v>108</v>
      </c>
      <c r="C129" s="39">
        <v>30</v>
      </c>
      <c r="D129" s="39" t="s">
        <v>11</v>
      </c>
      <c r="E129" s="39" t="s">
        <v>121</v>
      </c>
      <c r="F129" s="50">
        <f t="shared" si="27"/>
        <v>0</v>
      </c>
      <c r="G129" s="39">
        <v>10</v>
      </c>
      <c r="H129" s="39">
        <v>150</v>
      </c>
      <c r="I129" s="39">
        <v>3.6669999999999998</v>
      </c>
      <c r="J129" s="49">
        <f t="shared" si="28"/>
        <v>0</v>
      </c>
      <c r="N129" s="206"/>
      <c r="V129" s="106" t="s">
        <v>214</v>
      </c>
      <c r="W129" s="110">
        <f>C240</f>
        <v>0</v>
      </c>
      <c r="X129" s="110">
        <f>C241</f>
        <v>0</v>
      </c>
      <c r="Y129" s="114" t="e">
        <f t="shared" ref="Y129:Y134" si="29">1-(X129/W129)</f>
        <v>#DIV/0!</v>
      </c>
    </row>
    <row r="130" spans="1:26" ht="15" hidden="1" thickBot="1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160">
        <f>SUM(J126:J129)</f>
        <v>0</v>
      </c>
      <c r="N130" s="206"/>
      <c r="V130" s="106" t="s">
        <v>212</v>
      </c>
      <c r="W130" s="110">
        <f>E240</f>
        <v>0</v>
      </c>
      <c r="X130" s="110">
        <f>E241</f>
        <v>0</v>
      </c>
      <c r="Y130" s="114" t="e">
        <f t="shared" si="29"/>
        <v>#DIV/0!</v>
      </c>
    </row>
    <row r="131" spans="1:26" x14ac:dyDescent="0.2">
      <c r="A131" s="39"/>
      <c r="B131" s="39"/>
      <c r="C131" s="39"/>
      <c r="D131" s="39"/>
      <c r="E131" s="39"/>
      <c r="J131" s="13"/>
      <c r="N131" s="206"/>
      <c r="V131" s="106" t="s">
        <v>220</v>
      </c>
      <c r="W131" s="110">
        <f>F240</f>
        <v>0</v>
      </c>
      <c r="X131" s="110">
        <f>F241</f>
        <v>0</v>
      </c>
      <c r="Y131" s="114" t="e">
        <f t="shared" si="29"/>
        <v>#DIV/0!</v>
      </c>
    </row>
    <row r="132" spans="1:26" x14ac:dyDescent="0.2">
      <c r="A132" s="147" t="s">
        <v>92</v>
      </c>
      <c r="B132" s="147" t="s">
        <v>83</v>
      </c>
      <c r="C132" s="147">
        <v>140</v>
      </c>
      <c r="D132" s="147" t="s">
        <v>11</v>
      </c>
      <c r="E132" s="147" t="s">
        <v>265</v>
      </c>
      <c r="F132" s="187">
        <f>'MIP550-Verbauwand'!B3/200</f>
        <v>17.149999999999999</v>
      </c>
      <c r="G132" s="206">
        <v>10</v>
      </c>
      <c r="H132" s="206">
        <v>150</v>
      </c>
      <c r="I132" s="206">
        <v>3.6669999999999998</v>
      </c>
      <c r="J132" s="13">
        <f t="shared" si="28"/>
        <v>5.8696446666666668</v>
      </c>
      <c r="N132" s="206"/>
      <c r="V132" s="106" t="s">
        <v>217</v>
      </c>
      <c r="W132" s="110">
        <f>G240</f>
        <v>0</v>
      </c>
      <c r="X132" s="110">
        <f>G241</f>
        <v>0</v>
      </c>
      <c r="Y132" s="114" t="e">
        <f t="shared" si="29"/>
        <v>#DIV/0!</v>
      </c>
    </row>
    <row r="133" spans="1:26" x14ac:dyDescent="0.2">
      <c r="A133" s="147"/>
      <c r="B133" s="147" t="s">
        <v>108</v>
      </c>
      <c r="C133" s="147">
        <v>30</v>
      </c>
      <c r="D133" s="147" t="s">
        <v>11</v>
      </c>
      <c r="E133" s="147" t="s">
        <v>121</v>
      </c>
      <c r="F133" s="187">
        <f>$F$132</f>
        <v>17.149999999999999</v>
      </c>
      <c r="G133" s="206">
        <v>10</v>
      </c>
      <c r="H133" s="206">
        <v>150</v>
      </c>
      <c r="I133" s="206">
        <v>3.6669999999999998</v>
      </c>
      <c r="J133" s="13">
        <f t="shared" si="28"/>
        <v>1.2577809999999998</v>
      </c>
      <c r="N133" s="206"/>
      <c r="V133" s="106" t="s">
        <v>213</v>
      </c>
      <c r="W133" s="110">
        <f>H240</f>
        <v>0</v>
      </c>
      <c r="X133" s="110">
        <f>H241</f>
        <v>0</v>
      </c>
      <c r="Y133" s="114" t="e">
        <f t="shared" si="29"/>
        <v>#DIV/0!</v>
      </c>
    </row>
    <row r="134" spans="1:26" ht="15" thickBot="1" x14ac:dyDescent="0.25">
      <c r="A134" s="147"/>
      <c r="B134" s="147" t="s">
        <v>119</v>
      </c>
      <c r="C134" s="147">
        <v>20</v>
      </c>
      <c r="D134" s="147" t="s">
        <v>11</v>
      </c>
      <c r="E134" s="147"/>
      <c r="F134" s="187">
        <f>$F$132</f>
        <v>17.149999999999999</v>
      </c>
      <c r="G134" s="206">
        <v>10</v>
      </c>
      <c r="H134" s="206">
        <v>150</v>
      </c>
      <c r="I134" s="206">
        <v>3.6669999999999998</v>
      </c>
      <c r="J134" s="13">
        <f t="shared" si="28"/>
        <v>0.83852066666666658</v>
      </c>
      <c r="N134" s="206"/>
      <c r="R134" s="208"/>
      <c r="V134" s="107" t="s">
        <v>210</v>
      </c>
      <c r="W134" s="111">
        <f>I240</f>
        <v>0</v>
      </c>
      <c r="X134" s="111">
        <f>I241</f>
        <v>0</v>
      </c>
      <c r="Y134" s="115" t="e">
        <f t="shared" si="29"/>
        <v>#DIV/0!</v>
      </c>
    </row>
    <row r="135" spans="1:26" ht="16.5" x14ac:dyDescent="0.2">
      <c r="A135" s="147"/>
      <c r="B135" s="147" t="s">
        <v>158</v>
      </c>
      <c r="C135" s="147">
        <v>22</v>
      </c>
      <c r="D135" s="147" t="s">
        <v>11</v>
      </c>
      <c r="E135" s="147"/>
      <c r="F135" s="187">
        <f t="shared" ref="F135:F138" si="30">$F$132</f>
        <v>17.149999999999999</v>
      </c>
      <c r="G135" s="206">
        <v>10</v>
      </c>
      <c r="H135" s="206">
        <v>150</v>
      </c>
      <c r="I135" s="206">
        <v>3.6669999999999998</v>
      </c>
      <c r="J135" s="13">
        <f t="shared" si="28"/>
        <v>0.92237273333333325</v>
      </c>
      <c r="N135" s="206"/>
      <c r="R135" s="208"/>
      <c r="V135" s="100" t="s">
        <v>187</v>
      </c>
      <c r="W135" s="101" t="s">
        <v>228</v>
      </c>
      <c r="X135" s="101" t="s">
        <v>229</v>
      </c>
      <c r="Y135" s="102"/>
    </row>
    <row r="136" spans="1:26" ht="15" x14ac:dyDescent="0.2">
      <c r="A136" s="147"/>
      <c r="B136" s="147" t="s">
        <v>195</v>
      </c>
      <c r="C136" s="147">
        <v>18</v>
      </c>
      <c r="D136" s="147" t="s">
        <v>11</v>
      </c>
      <c r="E136" s="147"/>
      <c r="F136" s="187">
        <f t="shared" si="30"/>
        <v>17.149999999999999</v>
      </c>
      <c r="G136" s="206">
        <v>10</v>
      </c>
      <c r="H136" s="206">
        <v>150</v>
      </c>
      <c r="I136" s="206">
        <v>3.6669999999999998</v>
      </c>
      <c r="J136" s="13">
        <f>C136*(F136/H136)/G136*I136</f>
        <v>0.75466859999999991</v>
      </c>
      <c r="N136" s="206"/>
      <c r="R136" s="208"/>
      <c r="V136" s="100"/>
      <c r="W136" s="101"/>
      <c r="X136" s="101"/>
      <c r="Y136" s="102"/>
    </row>
    <row r="137" spans="1:26" ht="16.5" x14ac:dyDescent="0.3">
      <c r="A137" s="147"/>
      <c r="B137" s="147" t="s">
        <v>209</v>
      </c>
      <c r="C137" s="147">
        <v>50</v>
      </c>
      <c r="D137" s="147" t="s">
        <v>11</v>
      </c>
      <c r="E137" s="147"/>
      <c r="F137" s="187">
        <f t="shared" si="30"/>
        <v>17.149999999999999</v>
      </c>
      <c r="G137" s="206">
        <v>10</v>
      </c>
      <c r="H137" s="206">
        <v>150</v>
      </c>
      <c r="I137" s="206">
        <v>3.6669999999999998</v>
      </c>
      <c r="J137" s="13">
        <f>C137*(F137/H137)/G137*I137</f>
        <v>2.0963016666666667</v>
      </c>
      <c r="N137" s="206"/>
      <c r="R137" s="208"/>
      <c r="V137" s="117" t="s">
        <v>221</v>
      </c>
      <c r="W137" s="348" t="s">
        <v>226</v>
      </c>
      <c r="X137" s="348"/>
      <c r="Y137" s="118">
        <v>0.46</v>
      </c>
    </row>
    <row r="138" spans="1:26" ht="15" thickBot="1" x14ac:dyDescent="0.25">
      <c r="A138" s="147"/>
      <c r="B138" s="147" t="s">
        <v>81</v>
      </c>
      <c r="C138" s="147">
        <v>43</v>
      </c>
      <c r="D138" s="147" t="s">
        <v>11</v>
      </c>
      <c r="E138" s="147"/>
      <c r="F138" s="187">
        <f t="shared" si="30"/>
        <v>17.149999999999999</v>
      </c>
      <c r="G138" s="206">
        <v>10</v>
      </c>
      <c r="H138" s="206">
        <v>150</v>
      </c>
      <c r="I138" s="206">
        <v>3.6669999999999998</v>
      </c>
      <c r="J138" s="13">
        <f>C138*(F138/H138)/G138*I138</f>
        <v>1.8028194333333332</v>
      </c>
      <c r="N138" s="206"/>
      <c r="R138" s="208"/>
      <c r="V138" s="13"/>
    </row>
    <row r="139" spans="1:26" ht="15" thickBot="1" x14ac:dyDescent="0.25">
      <c r="A139" s="39"/>
      <c r="B139" s="39"/>
      <c r="C139" s="39"/>
      <c r="D139" s="39"/>
      <c r="E139" s="206"/>
      <c r="F139" s="208"/>
      <c r="J139" s="36">
        <f>SUM(J132:J138)</f>
        <v>13.542108766666667</v>
      </c>
      <c r="N139" s="206"/>
      <c r="R139" s="208"/>
      <c r="V139" s="13"/>
      <c r="W139" s="208">
        <f>SUM(W128:W134)</f>
        <v>0</v>
      </c>
      <c r="X139" s="208">
        <f>SUM(X128:X134)</f>
        <v>0</v>
      </c>
      <c r="Y139" s="208">
        <f>W139-X139</f>
        <v>0</v>
      </c>
      <c r="Z139" s="206" t="e">
        <f>1-(X139/W139)</f>
        <v>#DIV/0!</v>
      </c>
    </row>
    <row r="140" spans="1:26" hidden="1" x14ac:dyDescent="0.2">
      <c r="A140" s="39"/>
      <c r="B140" s="39"/>
      <c r="C140" s="39"/>
      <c r="D140" s="39"/>
      <c r="E140" s="39"/>
      <c r="F140" s="208"/>
      <c r="J140" s="13"/>
      <c r="N140" s="206"/>
    </row>
    <row r="141" spans="1:26" hidden="1" x14ac:dyDescent="0.2">
      <c r="A141" s="39" t="s">
        <v>93</v>
      </c>
      <c r="B141" s="39" t="s">
        <v>88</v>
      </c>
      <c r="C141" s="39">
        <v>0</v>
      </c>
      <c r="D141" s="39" t="s">
        <v>11</v>
      </c>
      <c r="E141" s="39"/>
      <c r="F141" s="50">
        <f>ROUNDUP($C$176/40,0)</f>
        <v>0</v>
      </c>
      <c r="G141" s="39">
        <v>10</v>
      </c>
      <c r="H141" s="39">
        <v>150</v>
      </c>
      <c r="I141" s="39">
        <v>3.6669999999999998</v>
      </c>
      <c r="J141" s="49">
        <f>C141*(F141/H141)/G141*I141</f>
        <v>0</v>
      </c>
      <c r="N141" s="206"/>
    </row>
    <row r="142" spans="1:26" hidden="1" x14ac:dyDescent="0.2">
      <c r="A142" s="39"/>
      <c r="B142" s="39" t="s">
        <v>89</v>
      </c>
      <c r="C142" s="39">
        <v>0</v>
      </c>
      <c r="D142" s="39" t="s">
        <v>11</v>
      </c>
      <c r="E142" s="39"/>
      <c r="F142" s="50">
        <f>ROUND($C$176/40,0)</f>
        <v>0</v>
      </c>
      <c r="G142" s="39">
        <v>10</v>
      </c>
      <c r="H142" s="39">
        <v>150</v>
      </c>
      <c r="I142" s="39">
        <v>3.6669999999999998</v>
      </c>
      <c r="J142" s="49">
        <f>C142*(F142/H142)/G142*I142</f>
        <v>0</v>
      </c>
      <c r="N142" s="206"/>
    </row>
    <row r="143" spans="1:26" hidden="1" x14ac:dyDescent="0.2">
      <c r="A143" s="39"/>
      <c r="B143" s="39" t="s">
        <v>108</v>
      </c>
      <c r="C143" s="39">
        <v>0</v>
      </c>
      <c r="D143" s="39" t="s">
        <v>11</v>
      </c>
      <c r="E143" s="39" t="s">
        <v>121</v>
      </c>
      <c r="F143" s="50">
        <f>ROUND($C$176/40,0)</f>
        <v>0</v>
      </c>
      <c r="G143" s="39">
        <v>10</v>
      </c>
      <c r="H143" s="39">
        <v>150</v>
      </c>
      <c r="I143" s="39">
        <v>3.6669999999999998</v>
      </c>
      <c r="J143" s="49">
        <f t="shared" ref="J143:J144" si="31">C143*(F143/H143)/G143*I143</f>
        <v>0</v>
      </c>
      <c r="N143" s="206"/>
    </row>
    <row r="144" spans="1:26" hidden="1" x14ac:dyDescent="0.2">
      <c r="A144" s="39"/>
      <c r="B144" s="39" t="s">
        <v>119</v>
      </c>
      <c r="C144" s="39">
        <v>0</v>
      </c>
      <c r="D144" s="39" t="s">
        <v>11</v>
      </c>
      <c r="E144" s="39"/>
      <c r="F144" s="50">
        <f>ROUND($C$176/40,0)</f>
        <v>0</v>
      </c>
      <c r="G144" s="39">
        <v>10</v>
      </c>
      <c r="H144" s="39">
        <v>150</v>
      </c>
      <c r="I144" s="39">
        <v>3.6669999999999998</v>
      </c>
      <c r="J144" s="49">
        <f t="shared" si="31"/>
        <v>0</v>
      </c>
      <c r="N144" s="206"/>
    </row>
    <row r="145" spans="1:14" ht="15" hidden="1" thickBot="1" x14ac:dyDescent="0.25">
      <c r="A145" s="39"/>
      <c r="B145" s="39"/>
      <c r="C145" s="39"/>
      <c r="D145" s="39"/>
      <c r="E145" s="39"/>
      <c r="F145" s="50"/>
      <c r="G145" s="39"/>
      <c r="H145" s="39"/>
      <c r="I145" s="39"/>
      <c r="J145" s="160">
        <f>J141+J142+J143+J144</f>
        <v>0</v>
      </c>
      <c r="N145" s="206"/>
    </row>
    <row r="146" spans="1:14" hidden="1" x14ac:dyDescent="0.2">
      <c r="A146" s="39"/>
      <c r="B146" s="39"/>
      <c r="C146" s="39"/>
      <c r="D146" s="39"/>
      <c r="E146" s="40"/>
      <c r="F146" s="39"/>
      <c r="G146" s="39"/>
      <c r="H146" s="39"/>
      <c r="I146" s="39"/>
      <c r="J146" s="39"/>
      <c r="N146" s="206"/>
    </row>
    <row r="147" spans="1:14" hidden="1" x14ac:dyDescent="0.2">
      <c r="A147" s="39" t="s">
        <v>94</v>
      </c>
      <c r="B147" s="39" t="s">
        <v>120</v>
      </c>
      <c r="C147" s="39">
        <v>0</v>
      </c>
      <c r="D147" s="39" t="s">
        <v>11</v>
      </c>
      <c r="E147" s="39"/>
      <c r="F147" s="39">
        <f>ROUNDUP($C$181/40,0)</f>
        <v>0</v>
      </c>
      <c r="G147" s="39">
        <v>10</v>
      </c>
      <c r="H147" s="39">
        <v>150</v>
      </c>
      <c r="I147" s="39">
        <v>3.6669999999999998</v>
      </c>
      <c r="J147" s="49">
        <f>C147*(F147/H147)/G147*I147</f>
        <v>0</v>
      </c>
      <c r="N147" s="206"/>
    </row>
    <row r="148" spans="1:14" hidden="1" x14ac:dyDescent="0.2">
      <c r="A148" s="39"/>
      <c r="B148" s="39" t="s">
        <v>108</v>
      </c>
      <c r="C148" s="39">
        <v>0</v>
      </c>
      <c r="D148" s="39" t="s">
        <v>11</v>
      </c>
      <c r="E148" s="39" t="s">
        <v>121</v>
      </c>
      <c r="F148" s="39">
        <f>ROUNDUP($C$181/40,0)</f>
        <v>0</v>
      </c>
      <c r="G148" s="39">
        <v>10</v>
      </c>
      <c r="H148" s="39">
        <v>150</v>
      </c>
      <c r="I148" s="39">
        <v>3.6669999999999998</v>
      </c>
      <c r="J148" s="49">
        <f t="shared" ref="J148:J149" si="32">C148*(F148/H148)/G148*I148</f>
        <v>0</v>
      </c>
      <c r="N148" s="206"/>
    </row>
    <row r="149" spans="1:14" hidden="1" x14ac:dyDescent="0.2">
      <c r="A149" s="39"/>
      <c r="B149" s="39" t="s">
        <v>119</v>
      </c>
      <c r="C149" s="39">
        <v>0</v>
      </c>
      <c r="D149" s="39" t="s">
        <v>11</v>
      </c>
      <c r="E149" s="39"/>
      <c r="F149" s="39">
        <f>ROUNDUP($C$181/40,0)</f>
        <v>0</v>
      </c>
      <c r="G149" s="39">
        <v>10</v>
      </c>
      <c r="H149" s="39">
        <v>150</v>
      </c>
      <c r="I149" s="39">
        <v>3.6669999999999998</v>
      </c>
      <c r="J149" s="49">
        <f t="shared" si="32"/>
        <v>0</v>
      </c>
      <c r="N149" s="206"/>
    </row>
    <row r="150" spans="1:14" ht="15" hidden="1" thickBot="1" x14ac:dyDescent="0.25">
      <c r="A150" s="39"/>
      <c r="B150" s="39"/>
      <c r="C150" s="39">
        <v>0</v>
      </c>
      <c r="D150" s="39"/>
      <c r="E150" s="39"/>
      <c r="F150" s="39"/>
      <c r="G150" s="39"/>
      <c r="H150" s="39"/>
      <c r="I150" s="39"/>
      <c r="J150" s="160">
        <f>J147+J148+J149</f>
        <v>0</v>
      </c>
      <c r="N150" s="206"/>
    </row>
    <row r="151" spans="1:14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N151" s="206"/>
    </row>
    <row r="152" spans="1:14" x14ac:dyDescent="0.2">
      <c r="A152" s="39"/>
      <c r="B152" s="39"/>
      <c r="C152" s="39"/>
      <c r="D152" s="39"/>
      <c r="E152" s="40"/>
      <c r="J152" s="206"/>
      <c r="N152" s="206"/>
    </row>
    <row r="153" spans="1:14" ht="18.75" thickBot="1" x14ac:dyDescent="0.25">
      <c r="A153" s="39"/>
      <c r="B153" s="41"/>
      <c r="C153" s="41"/>
      <c r="D153" s="41"/>
      <c r="E153" s="41"/>
      <c r="F153" s="349" t="s">
        <v>162</v>
      </c>
      <c r="G153" s="349"/>
      <c r="H153" s="349"/>
      <c r="I153" s="349"/>
      <c r="J153" s="350"/>
      <c r="N153" s="206"/>
    </row>
    <row r="154" spans="1:14" ht="42.75" x14ac:dyDescent="0.2">
      <c r="A154" s="166" t="s">
        <v>33</v>
      </c>
      <c r="B154" s="167"/>
      <c r="C154" s="346"/>
      <c r="D154" s="347"/>
      <c r="E154" s="167" t="s">
        <v>196</v>
      </c>
      <c r="F154" s="167" t="s">
        <v>95</v>
      </c>
      <c r="G154" s="24" t="s">
        <v>97</v>
      </c>
      <c r="H154" s="24" t="s">
        <v>99</v>
      </c>
      <c r="I154" s="2" t="s">
        <v>101</v>
      </c>
      <c r="J154" s="28" t="s">
        <v>100</v>
      </c>
      <c r="K154" s="215" t="s">
        <v>2</v>
      </c>
      <c r="L154" s="2" t="s">
        <v>3</v>
      </c>
      <c r="N154" s="206"/>
    </row>
    <row r="155" spans="1:14" ht="16.5" thickBot="1" x14ac:dyDescent="0.25">
      <c r="A155" s="168"/>
      <c r="B155" s="169"/>
      <c r="C155" s="170"/>
      <c r="D155" s="171"/>
      <c r="E155" s="172"/>
      <c r="F155" s="169"/>
      <c r="G155" s="6"/>
      <c r="H155" s="6"/>
      <c r="I155" s="6"/>
      <c r="J155" s="19"/>
      <c r="K155" s="18" t="s">
        <v>109</v>
      </c>
      <c r="L155" s="6" t="s">
        <v>7</v>
      </c>
      <c r="N155" s="206"/>
    </row>
    <row r="156" spans="1:14" x14ac:dyDescent="0.2">
      <c r="A156" s="147" t="s">
        <v>90</v>
      </c>
      <c r="B156" s="147" t="s">
        <v>86</v>
      </c>
      <c r="C156" s="147"/>
      <c r="D156" s="147" t="s">
        <v>87</v>
      </c>
      <c r="E156" s="147"/>
      <c r="F156" s="147"/>
      <c r="G156" s="208">
        <f>F117</f>
        <v>23.475000000000001</v>
      </c>
      <c r="J156" s="206"/>
      <c r="N156" s="206"/>
    </row>
    <row r="157" spans="1:14" x14ac:dyDescent="0.2">
      <c r="A157" s="147"/>
      <c r="B157" s="147" t="s">
        <v>267</v>
      </c>
      <c r="C157" s="156">
        <f>G156*430</f>
        <v>10094.25</v>
      </c>
      <c r="D157" s="147" t="s">
        <v>70</v>
      </c>
      <c r="E157" s="147" t="s">
        <v>274</v>
      </c>
      <c r="F157" s="147"/>
      <c r="J157" s="206"/>
      <c r="K157" s="206">
        <v>3.2</v>
      </c>
      <c r="L157" s="13">
        <f>C157*K157/1000</f>
        <v>32.301600000000001</v>
      </c>
      <c r="N157" s="206"/>
    </row>
    <row r="158" spans="1:14" x14ac:dyDescent="0.2">
      <c r="A158" s="147"/>
      <c r="B158" s="147" t="s">
        <v>271</v>
      </c>
      <c r="C158" s="156">
        <f>G156*50</f>
        <v>1173.75</v>
      </c>
      <c r="D158" s="147"/>
      <c r="E158" s="147" t="s">
        <v>273</v>
      </c>
      <c r="F158" s="147"/>
      <c r="J158" s="206"/>
      <c r="K158" s="206">
        <v>3.2</v>
      </c>
      <c r="L158" s="13">
        <f>C158*K158/1000</f>
        <v>3.7559999999999998</v>
      </c>
      <c r="N158" s="206"/>
    </row>
    <row r="159" spans="1:14" x14ac:dyDescent="0.2">
      <c r="A159" s="147"/>
      <c r="B159" s="147" t="s">
        <v>272</v>
      </c>
      <c r="C159" s="156">
        <f>G156*135</f>
        <v>3169.125</v>
      </c>
      <c r="D159" s="147"/>
      <c r="E159" s="147" t="s">
        <v>275</v>
      </c>
      <c r="F159" s="147"/>
      <c r="J159" s="206"/>
      <c r="K159" s="206">
        <v>3.2</v>
      </c>
      <c r="L159" s="13">
        <f t="shared" ref="L159" si="33">C159*K159/1000</f>
        <v>10.141200000000001</v>
      </c>
      <c r="N159" s="206"/>
    </row>
    <row r="160" spans="1:14" ht="15" thickBot="1" x14ac:dyDescent="0.25">
      <c r="A160" s="147"/>
      <c r="B160" s="147" t="s">
        <v>160</v>
      </c>
      <c r="C160" s="147">
        <f>G156*10*F160</f>
        <v>23475</v>
      </c>
      <c r="D160" s="147" t="s">
        <v>143</v>
      </c>
      <c r="E160" s="147"/>
      <c r="F160" s="147">
        <v>100</v>
      </c>
      <c r="G160" s="206" t="s">
        <v>161</v>
      </c>
      <c r="J160" s="206"/>
      <c r="K160" s="206">
        <v>0.501</v>
      </c>
      <c r="L160" s="13">
        <f>C160*K160/1000</f>
        <v>11.760975</v>
      </c>
      <c r="N160" s="206"/>
    </row>
    <row r="161" spans="1:17" ht="15" thickBot="1" x14ac:dyDescent="0.25">
      <c r="A161" s="39"/>
      <c r="C161" s="39"/>
      <c r="D161" s="39"/>
      <c r="E161" s="39"/>
      <c r="J161" s="206"/>
      <c r="L161" s="36">
        <f>SUM(L157:L160)</f>
        <v>57.959775000000008</v>
      </c>
      <c r="N161" s="206"/>
    </row>
    <row r="162" spans="1:17" hidden="1" x14ac:dyDescent="0.2">
      <c r="A162" s="39"/>
      <c r="B162" s="39"/>
      <c r="C162" s="39"/>
      <c r="D162" s="39"/>
      <c r="E162" s="39"/>
      <c r="J162" s="206"/>
      <c r="L162" s="13"/>
      <c r="N162" s="206"/>
    </row>
    <row r="163" spans="1:17" hidden="1" x14ac:dyDescent="0.2">
      <c r="A163" s="39" t="s">
        <v>91</v>
      </c>
      <c r="B163" s="39" t="s">
        <v>86</v>
      </c>
      <c r="C163" s="39">
        <v>0</v>
      </c>
      <c r="D163" s="39" t="s">
        <v>87</v>
      </c>
      <c r="E163" s="39"/>
      <c r="G163" s="208">
        <f>ROUNDUP(C13/(10*90),0)</f>
        <v>0</v>
      </c>
      <c r="J163" s="206"/>
      <c r="N163" s="206"/>
    </row>
    <row r="164" spans="1:17" hidden="1" x14ac:dyDescent="0.2">
      <c r="A164" s="39"/>
      <c r="B164" s="39" t="s">
        <v>85</v>
      </c>
      <c r="C164" s="50">
        <v>0</v>
      </c>
      <c r="D164" s="39" t="s">
        <v>70</v>
      </c>
      <c r="E164" s="39"/>
      <c r="J164" s="206"/>
      <c r="K164" s="206">
        <v>3.25</v>
      </c>
      <c r="L164" s="13">
        <f>C164*K164/1000</f>
        <v>0</v>
      </c>
      <c r="N164" s="206"/>
    </row>
    <row r="165" spans="1:17" hidden="1" x14ac:dyDescent="0.2">
      <c r="A165" s="39"/>
      <c r="B165" s="39"/>
      <c r="C165" s="50">
        <v>0</v>
      </c>
      <c r="D165" s="39"/>
      <c r="E165" s="39" t="s">
        <v>123</v>
      </c>
      <c r="H165" s="206">
        <v>150</v>
      </c>
      <c r="J165" s="206">
        <f>0.18*150*(G163*10)</f>
        <v>0</v>
      </c>
      <c r="K165" s="206">
        <v>0.501</v>
      </c>
      <c r="L165" s="13">
        <f>C165*K165/1000</f>
        <v>0</v>
      </c>
      <c r="N165" s="206"/>
    </row>
    <row r="166" spans="1:17" ht="15" hidden="1" thickBot="1" x14ac:dyDescent="0.25">
      <c r="A166" s="39"/>
      <c r="B166" s="39"/>
      <c r="C166" s="50"/>
      <c r="D166" s="39"/>
      <c r="E166" s="39"/>
      <c r="J166" s="206"/>
      <c r="L166" s="36">
        <f>L164+L165</f>
        <v>0</v>
      </c>
      <c r="N166" s="206"/>
    </row>
    <row r="167" spans="1:17" x14ac:dyDescent="0.2">
      <c r="A167" s="39"/>
      <c r="B167" s="39"/>
      <c r="C167" s="39"/>
      <c r="D167" s="39"/>
      <c r="E167" s="39"/>
      <c r="J167" s="206"/>
      <c r="N167" s="206"/>
    </row>
    <row r="168" spans="1:17" x14ac:dyDescent="0.2">
      <c r="A168" s="147" t="s">
        <v>92</v>
      </c>
      <c r="B168" s="147" t="s">
        <v>86</v>
      </c>
      <c r="C168" s="147"/>
      <c r="D168" s="147" t="s">
        <v>87</v>
      </c>
      <c r="E168" s="147"/>
      <c r="F168" s="147"/>
      <c r="G168" s="156">
        <f>F132</f>
        <v>17.149999999999999</v>
      </c>
      <c r="J168" s="206"/>
      <c r="N168" s="206"/>
    </row>
    <row r="169" spans="1:17" x14ac:dyDescent="0.2">
      <c r="A169" s="147"/>
      <c r="B169" s="147" t="s">
        <v>270</v>
      </c>
      <c r="C169" s="147">
        <f>'MIP550-Verbauwand'!B3*3.3</f>
        <v>11319</v>
      </c>
      <c r="D169" s="147" t="s">
        <v>70</v>
      </c>
      <c r="E169" s="147" t="s">
        <v>268</v>
      </c>
      <c r="F169" s="156">
        <f>C169+C170+C171</f>
        <v>14491.75</v>
      </c>
      <c r="G169" s="147"/>
      <c r="J169" s="206"/>
      <c r="K169" s="206">
        <v>3.2</v>
      </c>
      <c r="L169" s="13">
        <f>F169*K169/1000</f>
        <v>46.373600000000003</v>
      </c>
      <c r="N169" s="206"/>
    </row>
    <row r="170" spans="1:17" x14ac:dyDescent="0.2">
      <c r="A170" s="147"/>
      <c r="B170" s="147" t="s">
        <v>271</v>
      </c>
      <c r="C170" s="156">
        <f>'MIP550-Verbauwand'!B3*0.25</f>
        <v>857.5</v>
      </c>
      <c r="D170" s="147"/>
      <c r="E170" s="147" t="s">
        <v>269</v>
      </c>
      <c r="F170" s="147"/>
      <c r="G170" s="147"/>
      <c r="J170" s="206"/>
      <c r="K170" s="206">
        <v>3.2</v>
      </c>
      <c r="L170" s="13"/>
      <c r="N170" s="206"/>
    </row>
    <row r="171" spans="1:17" x14ac:dyDescent="0.2">
      <c r="A171" s="147"/>
      <c r="B171" s="147" t="s">
        <v>272</v>
      </c>
      <c r="C171" s="156">
        <f>G168*135</f>
        <v>2315.25</v>
      </c>
      <c r="D171" s="147"/>
      <c r="E171" s="147" t="s">
        <v>275</v>
      </c>
      <c r="F171" s="147"/>
      <c r="G171" s="147"/>
      <c r="J171" s="206"/>
      <c r="K171" s="206">
        <v>3.2</v>
      </c>
      <c r="L171" s="13"/>
      <c r="N171" s="206"/>
    </row>
    <row r="172" spans="1:17" ht="15" thickBot="1" x14ac:dyDescent="0.25">
      <c r="A172" s="147"/>
      <c r="B172" s="147" t="s">
        <v>160</v>
      </c>
      <c r="C172" s="156">
        <f>G168*10*F172</f>
        <v>13720</v>
      </c>
      <c r="D172" s="147" t="s">
        <v>143</v>
      </c>
      <c r="E172" s="147"/>
      <c r="F172" s="147">
        <v>80</v>
      </c>
      <c r="G172" s="147" t="s">
        <v>161</v>
      </c>
      <c r="J172" s="206"/>
      <c r="K172" s="206">
        <v>0.501</v>
      </c>
      <c r="L172" s="13">
        <f>C172*K172/1000</f>
        <v>6.8737200000000005</v>
      </c>
      <c r="N172" s="206"/>
    </row>
    <row r="173" spans="1:17" ht="15" thickBot="1" x14ac:dyDescent="0.25">
      <c r="A173" s="39"/>
      <c r="B173" s="39"/>
      <c r="D173" s="39"/>
      <c r="E173" s="39"/>
      <c r="J173" s="206"/>
      <c r="L173" s="36">
        <f>SUM(L169:L172)</f>
        <v>53.247320000000002</v>
      </c>
      <c r="N173" s="206"/>
      <c r="Q173" s="206" t="s">
        <v>186</v>
      </c>
    </row>
    <row r="174" spans="1:17" x14ac:dyDescent="0.2">
      <c r="A174" s="39"/>
      <c r="B174" s="39"/>
      <c r="C174" s="39"/>
      <c r="D174" s="39"/>
      <c r="E174" s="39"/>
      <c r="J174" s="206"/>
      <c r="L174" s="13"/>
      <c r="N174" s="206"/>
    </row>
    <row r="175" spans="1:17" hidden="1" x14ac:dyDescent="0.2">
      <c r="A175" s="39"/>
      <c r="B175" s="39"/>
      <c r="C175" s="39"/>
      <c r="D175" s="39"/>
      <c r="E175" s="39"/>
      <c r="J175" s="206"/>
      <c r="L175" s="13"/>
      <c r="N175" s="206"/>
    </row>
    <row r="176" spans="1:17" hidden="1" x14ac:dyDescent="0.2">
      <c r="A176" s="39" t="s">
        <v>93</v>
      </c>
      <c r="B176" s="39" t="s">
        <v>86</v>
      </c>
      <c r="C176" s="50">
        <v>0</v>
      </c>
      <c r="D176" s="39" t="s">
        <v>87</v>
      </c>
      <c r="E176" s="39" t="s">
        <v>96</v>
      </c>
      <c r="F176" s="30">
        <f>2/3</f>
        <v>0.66666666666666663</v>
      </c>
      <c r="G176" s="208">
        <f>ROUNDUP($C$176/40,0)</f>
        <v>0</v>
      </c>
      <c r="J176" s="206"/>
      <c r="N176" s="206"/>
    </row>
    <row r="177" spans="1:14" hidden="1" x14ac:dyDescent="0.2">
      <c r="A177" s="39"/>
      <c r="B177" s="39" t="s">
        <v>85</v>
      </c>
      <c r="C177" s="50">
        <v>0</v>
      </c>
      <c r="D177" s="39" t="s">
        <v>70</v>
      </c>
      <c r="E177" s="39"/>
      <c r="J177" s="206"/>
      <c r="K177" s="206">
        <v>3.25</v>
      </c>
      <c r="L177" s="13">
        <f>C177*K177/1000</f>
        <v>0</v>
      </c>
      <c r="N177" s="206"/>
    </row>
    <row r="178" spans="1:14" hidden="1" x14ac:dyDescent="0.2">
      <c r="A178" s="39"/>
      <c r="B178" s="39"/>
      <c r="C178" s="39">
        <v>0</v>
      </c>
      <c r="D178" s="39" t="s">
        <v>143</v>
      </c>
      <c r="E178" s="39" t="s">
        <v>98</v>
      </c>
      <c r="F178" s="206">
        <v>47</v>
      </c>
      <c r="G178" s="206" t="s">
        <v>185</v>
      </c>
      <c r="H178" s="206">
        <v>500</v>
      </c>
      <c r="I178" s="31">
        <v>0.2</v>
      </c>
      <c r="J178" s="208">
        <f>0.18*H178*I178*10*$G$176</f>
        <v>0</v>
      </c>
      <c r="K178" s="206">
        <v>0.501</v>
      </c>
      <c r="L178" s="13">
        <f>C178*K178/1000</f>
        <v>0</v>
      </c>
      <c r="N178" s="206"/>
    </row>
    <row r="179" spans="1:14" ht="15" hidden="1" thickBot="1" x14ac:dyDescent="0.25">
      <c r="A179" s="39"/>
      <c r="B179" s="39"/>
      <c r="C179" s="39"/>
      <c r="D179" s="39"/>
      <c r="E179" s="40" t="s">
        <v>89</v>
      </c>
      <c r="H179" s="206">
        <v>100</v>
      </c>
      <c r="I179" s="31">
        <v>0.7</v>
      </c>
      <c r="J179" s="208">
        <f>0.18*H179*I179*10*$G$176</f>
        <v>0</v>
      </c>
      <c r="L179" s="36">
        <f>L177+L178</f>
        <v>0</v>
      </c>
      <c r="N179" s="206"/>
    </row>
    <row r="180" spans="1:14" hidden="1" x14ac:dyDescent="0.2">
      <c r="A180" s="39"/>
      <c r="B180" s="39"/>
      <c r="C180" s="39"/>
      <c r="D180" s="39"/>
      <c r="E180" s="40"/>
      <c r="J180" s="206"/>
      <c r="N180" s="206"/>
    </row>
    <row r="181" spans="1:14" hidden="1" x14ac:dyDescent="0.2">
      <c r="A181" s="39" t="s">
        <v>94</v>
      </c>
      <c r="B181" s="39" t="s">
        <v>86</v>
      </c>
      <c r="C181" s="39">
        <v>0</v>
      </c>
      <c r="D181" s="39" t="s">
        <v>87</v>
      </c>
      <c r="E181" s="39"/>
      <c r="G181" s="208">
        <f>ROUNDUP($C$181/40,0)</f>
        <v>0</v>
      </c>
      <c r="J181" s="206"/>
      <c r="N181" s="206"/>
    </row>
    <row r="182" spans="1:14" hidden="1" x14ac:dyDescent="0.2">
      <c r="A182" s="39"/>
      <c r="B182" s="39" t="s">
        <v>85</v>
      </c>
      <c r="C182" s="39">
        <v>0</v>
      </c>
      <c r="D182" s="39" t="s">
        <v>70</v>
      </c>
      <c r="E182" s="39"/>
      <c r="J182" s="206"/>
      <c r="K182" s="206">
        <v>3.25</v>
      </c>
      <c r="L182" s="13">
        <f>C182*K182/1000</f>
        <v>0</v>
      </c>
      <c r="N182" s="206"/>
    </row>
    <row r="183" spans="1:14" hidden="1" x14ac:dyDescent="0.2">
      <c r="A183" s="39"/>
      <c r="B183" s="39"/>
      <c r="C183" s="39">
        <v>0</v>
      </c>
      <c r="D183" s="39" t="s">
        <v>143</v>
      </c>
      <c r="E183" s="39"/>
      <c r="J183" s="206"/>
      <c r="K183" s="206">
        <v>0.501</v>
      </c>
      <c r="L183" s="13">
        <f>C183*K183/1000</f>
        <v>0</v>
      </c>
      <c r="N183" s="206"/>
    </row>
    <row r="184" spans="1:14" ht="15" hidden="1" thickBot="1" x14ac:dyDescent="0.25">
      <c r="A184" s="39"/>
      <c r="B184" s="39"/>
      <c r="C184" s="39"/>
      <c r="D184" s="39"/>
      <c r="E184" s="39"/>
      <c r="J184" s="206"/>
      <c r="L184" s="36">
        <f>L182+L183</f>
        <v>0</v>
      </c>
      <c r="N184" s="206"/>
    </row>
    <row r="185" spans="1:14" x14ac:dyDescent="0.2">
      <c r="A185" s="39"/>
      <c r="B185" s="39"/>
      <c r="C185" s="39"/>
      <c r="D185" s="39"/>
      <c r="E185" s="39"/>
      <c r="J185" s="206"/>
      <c r="L185" s="13"/>
      <c r="N185" s="206"/>
    </row>
    <row r="186" spans="1:14" ht="18.75" thickBot="1" x14ac:dyDescent="0.25">
      <c r="A186" s="39"/>
      <c r="B186" s="41"/>
      <c r="C186" s="41"/>
      <c r="D186" s="41"/>
      <c r="E186" s="41"/>
      <c r="F186" s="349" t="s">
        <v>163</v>
      </c>
      <c r="G186" s="349"/>
      <c r="H186" s="349"/>
      <c r="I186" s="349"/>
      <c r="J186" s="350"/>
      <c r="N186" s="206"/>
    </row>
    <row r="187" spans="1:14" ht="33" x14ac:dyDescent="0.2">
      <c r="A187" s="166" t="s">
        <v>33</v>
      </c>
      <c r="B187" s="167"/>
      <c r="C187" s="346" t="s">
        <v>54</v>
      </c>
      <c r="D187" s="347"/>
      <c r="E187" s="167" t="s">
        <v>19</v>
      </c>
      <c r="F187" s="22" t="s">
        <v>164</v>
      </c>
      <c r="G187" s="24" t="s">
        <v>165</v>
      </c>
      <c r="H187" s="24"/>
      <c r="I187" s="2" t="s">
        <v>167</v>
      </c>
      <c r="J187" s="28" t="s">
        <v>166</v>
      </c>
      <c r="K187" s="215" t="s">
        <v>2</v>
      </c>
      <c r="L187" s="2" t="s">
        <v>3</v>
      </c>
      <c r="N187" s="206"/>
    </row>
    <row r="188" spans="1:14" ht="16.5" thickBot="1" x14ac:dyDescent="0.25">
      <c r="A188" s="168"/>
      <c r="B188" s="169"/>
      <c r="C188" s="170"/>
      <c r="D188" s="171"/>
      <c r="E188" s="172"/>
      <c r="F188" s="6" t="s">
        <v>170</v>
      </c>
      <c r="G188" s="23"/>
      <c r="H188" s="6"/>
      <c r="I188" s="6" t="s">
        <v>60</v>
      </c>
      <c r="J188" s="19" t="s">
        <v>60</v>
      </c>
      <c r="K188" s="18" t="s">
        <v>62</v>
      </c>
      <c r="L188" s="6" t="s">
        <v>7</v>
      </c>
      <c r="N188" s="206"/>
    </row>
    <row r="189" spans="1:14" x14ac:dyDescent="0.2">
      <c r="A189" s="206" t="s">
        <v>90</v>
      </c>
      <c r="B189" s="206" t="s">
        <v>84</v>
      </c>
      <c r="C189" s="206">
        <v>200</v>
      </c>
      <c r="D189" s="206" t="s">
        <v>11</v>
      </c>
      <c r="E189" s="206" t="s">
        <v>168</v>
      </c>
      <c r="F189" s="206">
        <v>2</v>
      </c>
      <c r="G189" s="206">
        <v>2</v>
      </c>
      <c r="I189" s="206">
        <v>100</v>
      </c>
      <c r="J189" s="206">
        <f>F189*G189*I189</f>
        <v>400</v>
      </c>
      <c r="K189" s="206">
        <f>2/1000</f>
        <v>2E-3</v>
      </c>
      <c r="L189" s="206">
        <f>J189*K189</f>
        <v>0.8</v>
      </c>
      <c r="N189" s="206"/>
    </row>
    <row r="190" spans="1:14" x14ac:dyDescent="0.2">
      <c r="B190" s="206" t="s">
        <v>159</v>
      </c>
      <c r="C190" s="206">
        <v>60</v>
      </c>
      <c r="D190" s="206" t="s">
        <v>11</v>
      </c>
      <c r="E190" s="206" t="s">
        <v>169</v>
      </c>
      <c r="F190" s="206">
        <v>2</v>
      </c>
      <c r="G190" s="206">
        <v>2</v>
      </c>
      <c r="I190" s="206">
        <v>100</v>
      </c>
      <c r="J190" s="206">
        <f>F190*G190*I190</f>
        <v>400</v>
      </c>
      <c r="K190" s="206">
        <f>2/1000</f>
        <v>2E-3</v>
      </c>
      <c r="L190" s="206">
        <f t="shared" ref="L190:L193" si="34">J190*K190</f>
        <v>0.8</v>
      </c>
      <c r="N190" s="206"/>
    </row>
    <row r="191" spans="1:14" x14ac:dyDescent="0.2">
      <c r="B191" s="206" t="s">
        <v>174</v>
      </c>
      <c r="C191" s="206">
        <v>30</v>
      </c>
      <c r="D191" s="206" t="s">
        <v>11</v>
      </c>
      <c r="E191" s="206" t="s">
        <v>65</v>
      </c>
      <c r="F191" s="206">
        <v>6</v>
      </c>
      <c r="G191" s="206">
        <v>4</v>
      </c>
      <c r="I191" s="206">
        <v>100</v>
      </c>
      <c r="J191" s="206">
        <f>F191*G191*I191</f>
        <v>2400</v>
      </c>
      <c r="K191" s="206">
        <v>1.2199999999999999E-3</v>
      </c>
      <c r="L191" s="206">
        <f t="shared" si="34"/>
        <v>2.9279999999999999</v>
      </c>
      <c r="N191" s="206"/>
    </row>
    <row r="192" spans="1:14" x14ac:dyDescent="0.2">
      <c r="B192" s="206" t="s">
        <v>118</v>
      </c>
      <c r="C192" s="206">
        <v>20</v>
      </c>
      <c r="D192" s="206" t="s">
        <v>11</v>
      </c>
      <c r="E192" s="206" t="s">
        <v>65</v>
      </c>
      <c r="F192" s="206">
        <v>6</v>
      </c>
      <c r="G192" s="206">
        <v>4</v>
      </c>
      <c r="I192" s="206">
        <v>100</v>
      </c>
      <c r="J192" s="206">
        <f>F192*G192*I192</f>
        <v>2400</v>
      </c>
      <c r="K192" s="206">
        <v>1.2199999999999999E-3</v>
      </c>
      <c r="L192" s="206">
        <f t="shared" si="34"/>
        <v>2.9279999999999999</v>
      </c>
      <c r="N192" s="206"/>
    </row>
    <row r="193" spans="1:12" s="206" customFormat="1" ht="15" thickBot="1" x14ac:dyDescent="0.25">
      <c r="B193" s="147" t="s">
        <v>195</v>
      </c>
      <c r="C193" s="147">
        <v>18</v>
      </c>
      <c r="D193" s="147" t="s">
        <v>11</v>
      </c>
      <c r="E193" s="147" t="s">
        <v>169</v>
      </c>
      <c r="F193" s="147">
        <v>1</v>
      </c>
      <c r="G193" s="147">
        <v>2</v>
      </c>
      <c r="H193" s="147"/>
      <c r="I193" s="147">
        <v>100</v>
      </c>
      <c r="J193" s="147">
        <f>F193*G193*I193</f>
        <v>200</v>
      </c>
      <c r="K193" s="147">
        <v>1.2199999999999999E-3</v>
      </c>
      <c r="L193" s="147">
        <f t="shared" si="34"/>
        <v>0.24399999999999999</v>
      </c>
    </row>
    <row r="194" spans="1:12" s="206" customFormat="1" ht="15" thickBot="1" x14ac:dyDescent="0.25">
      <c r="L194" s="200">
        <f>SUM(L189:L193)</f>
        <v>7.7</v>
      </c>
    </row>
    <row r="195" spans="1:12" s="206" customFormat="1" hidden="1" x14ac:dyDescent="0.2"/>
    <row r="196" spans="1:12" s="206" customFormat="1" hidden="1" x14ac:dyDescent="0.2">
      <c r="A196" s="39" t="s">
        <v>91</v>
      </c>
      <c r="B196" s="39" t="s">
        <v>171</v>
      </c>
      <c r="C196" s="39">
        <v>45</v>
      </c>
      <c r="D196" s="39" t="s">
        <v>11</v>
      </c>
      <c r="E196" s="39" t="s">
        <v>169</v>
      </c>
      <c r="F196" s="39">
        <v>1</v>
      </c>
      <c r="G196" s="39">
        <v>2</v>
      </c>
      <c r="H196" s="39"/>
      <c r="I196" s="39">
        <v>0</v>
      </c>
      <c r="J196" s="39">
        <f>F196*G196*I196</f>
        <v>0</v>
      </c>
      <c r="K196" s="39">
        <f>2/1000</f>
        <v>2E-3</v>
      </c>
      <c r="L196" s="39">
        <f>J196*K196</f>
        <v>0</v>
      </c>
    </row>
    <row r="197" spans="1:12" s="206" customFormat="1" hidden="1" x14ac:dyDescent="0.2">
      <c r="A197" s="39"/>
      <c r="B197" s="39" t="s">
        <v>172</v>
      </c>
      <c r="C197" s="39">
        <v>43</v>
      </c>
      <c r="D197" s="39" t="s">
        <v>11</v>
      </c>
      <c r="E197" s="39" t="s">
        <v>169</v>
      </c>
      <c r="F197" s="39">
        <v>1</v>
      </c>
      <c r="G197" s="39">
        <v>2</v>
      </c>
      <c r="H197" s="39"/>
      <c r="I197" s="39">
        <v>0</v>
      </c>
      <c r="J197" s="39">
        <f>F197*G197*I197</f>
        <v>0</v>
      </c>
      <c r="K197" s="39">
        <f>2/1000</f>
        <v>2E-3</v>
      </c>
      <c r="L197" s="39">
        <f t="shared" ref="L197" si="35">J197*K197</f>
        <v>0</v>
      </c>
    </row>
    <row r="198" spans="1:12" s="206" customFormat="1" hidden="1" x14ac:dyDescent="0.2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>
        <f>SUM(L196:L197)</f>
        <v>0</v>
      </c>
    </row>
    <row r="199" spans="1:12" s="206" customFormat="1" x14ac:dyDescent="0.2"/>
    <row r="200" spans="1:12" s="206" customFormat="1" x14ac:dyDescent="0.2"/>
    <row r="201" spans="1:12" s="206" customFormat="1" x14ac:dyDescent="0.2">
      <c r="A201" s="206" t="s">
        <v>92</v>
      </c>
      <c r="B201" s="206" t="s">
        <v>173</v>
      </c>
      <c r="C201" s="206">
        <v>140</v>
      </c>
      <c r="D201" s="206" t="s">
        <v>11</v>
      </c>
      <c r="E201" s="206" t="s">
        <v>168</v>
      </c>
      <c r="F201" s="206">
        <v>1</v>
      </c>
      <c r="G201" s="206">
        <v>2</v>
      </c>
      <c r="I201" s="206">
        <v>100</v>
      </c>
      <c r="J201" s="206">
        <f t="shared" ref="J201:J206" si="36">F201*G201*I201</f>
        <v>200</v>
      </c>
      <c r="K201" s="206">
        <f>2/1000</f>
        <v>2E-3</v>
      </c>
      <c r="L201" s="206">
        <f t="shared" ref="L201:L206" si="37">J201*K201</f>
        <v>0.4</v>
      </c>
    </row>
    <row r="202" spans="1:12" s="206" customFormat="1" x14ac:dyDescent="0.2">
      <c r="B202" s="206" t="s">
        <v>119</v>
      </c>
      <c r="C202" s="206">
        <v>20</v>
      </c>
      <c r="D202" s="206" t="s">
        <v>11</v>
      </c>
      <c r="E202" s="206" t="s">
        <v>65</v>
      </c>
      <c r="F202" s="206">
        <v>2</v>
      </c>
      <c r="G202" s="206">
        <v>4</v>
      </c>
      <c r="I202" s="206">
        <v>100</v>
      </c>
      <c r="J202" s="206">
        <f t="shared" si="36"/>
        <v>800</v>
      </c>
      <c r="K202" s="206">
        <v>1.2199999999999999E-3</v>
      </c>
      <c r="L202" s="206">
        <f t="shared" si="37"/>
        <v>0.97599999999999998</v>
      </c>
    </row>
    <row r="203" spans="1:12" s="206" customFormat="1" x14ac:dyDescent="0.2">
      <c r="B203" s="206" t="s">
        <v>174</v>
      </c>
      <c r="C203" s="206">
        <v>30</v>
      </c>
      <c r="D203" s="206" t="s">
        <v>11</v>
      </c>
      <c r="E203" s="206" t="s">
        <v>65</v>
      </c>
      <c r="F203" s="206">
        <v>4</v>
      </c>
      <c r="G203" s="206">
        <v>4</v>
      </c>
      <c r="I203" s="206">
        <v>100</v>
      </c>
      <c r="J203" s="206">
        <f t="shared" si="36"/>
        <v>1600</v>
      </c>
      <c r="K203" s="206">
        <v>1.2199999999999999E-3</v>
      </c>
      <c r="L203" s="206">
        <f t="shared" si="37"/>
        <v>1.952</v>
      </c>
    </row>
    <row r="204" spans="1:12" s="206" customFormat="1" x14ac:dyDescent="0.2">
      <c r="B204" s="206" t="s">
        <v>195</v>
      </c>
      <c r="C204" s="206">
        <v>18</v>
      </c>
      <c r="D204" s="206" t="s">
        <v>11</v>
      </c>
      <c r="E204" s="206" t="s">
        <v>169</v>
      </c>
      <c r="F204" s="206">
        <v>1</v>
      </c>
      <c r="G204" s="206">
        <v>2</v>
      </c>
      <c r="I204" s="206">
        <v>100</v>
      </c>
      <c r="J204" s="206">
        <f t="shared" si="36"/>
        <v>200</v>
      </c>
      <c r="K204" s="206">
        <v>1.2199999999999999E-3</v>
      </c>
      <c r="L204" s="206">
        <f t="shared" si="37"/>
        <v>0.24399999999999999</v>
      </c>
    </row>
    <row r="205" spans="1:12" s="206" customFormat="1" x14ac:dyDescent="0.2">
      <c r="B205" s="206" t="s">
        <v>205</v>
      </c>
      <c r="D205" s="206" t="s">
        <v>11</v>
      </c>
      <c r="E205" s="206" t="s">
        <v>169</v>
      </c>
      <c r="F205" s="206">
        <v>1</v>
      </c>
      <c r="G205" s="206">
        <v>2</v>
      </c>
      <c r="I205" s="206">
        <v>100</v>
      </c>
      <c r="J205" s="206">
        <f t="shared" si="36"/>
        <v>200</v>
      </c>
      <c r="K205" s="206">
        <v>1.2199999999999999E-3</v>
      </c>
      <c r="L205" s="206">
        <f t="shared" si="37"/>
        <v>0.24399999999999999</v>
      </c>
    </row>
    <row r="206" spans="1:12" s="206" customFormat="1" ht="15" thickBot="1" x14ac:dyDescent="0.25">
      <c r="B206" s="206" t="s">
        <v>172</v>
      </c>
      <c r="C206" s="206">
        <v>43</v>
      </c>
      <c r="D206" s="206" t="s">
        <v>11</v>
      </c>
      <c r="E206" s="206" t="s">
        <v>169</v>
      </c>
      <c r="F206" s="206">
        <v>1</v>
      </c>
      <c r="G206" s="206">
        <v>2</v>
      </c>
      <c r="I206" s="206">
        <v>100</v>
      </c>
      <c r="J206" s="206">
        <f t="shared" si="36"/>
        <v>200</v>
      </c>
      <c r="K206" s="206">
        <f>2/1000</f>
        <v>2E-3</v>
      </c>
      <c r="L206" s="206">
        <f t="shared" si="37"/>
        <v>0.4</v>
      </c>
    </row>
    <row r="207" spans="1:12" s="206" customFormat="1" ht="15" thickBot="1" x14ac:dyDescent="0.25">
      <c r="L207" s="202">
        <f>SUM(L201:L206)</f>
        <v>4.2160000000000002</v>
      </c>
    </row>
    <row r="208" spans="1:12" s="206" customFormat="1" hidden="1" x14ac:dyDescent="0.2"/>
    <row r="209" spans="1:14" hidden="1" x14ac:dyDescent="0.2">
      <c r="A209" s="39" t="s">
        <v>93</v>
      </c>
      <c r="B209" s="39" t="s">
        <v>175</v>
      </c>
      <c r="C209" s="39">
        <v>40</v>
      </c>
      <c r="D209" s="39" t="s">
        <v>11</v>
      </c>
      <c r="E209" s="39" t="s">
        <v>169</v>
      </c>
      <c r="F209" s="39">
        <v>1</v>
      </c>
      <c r="G209" s="39">
        <v>2</v>
      </c>
      <c r="H209" s="39"/>
      <c r="I209" s="39">
        <v>0</v>
      </c>
      <c r="J209" s="39">
        <f>F209*G209*I209</f>
        <v>0</v>
      </c>
      <c r="K209" s="39">
        <f>2/1000</f>
        <v>2E-3</v>
      </c>
      <c r="L209" s="39">
        <f t="shared" ref="L209:L210" si="38">J209*K209</f>
        <v>0</v>
      </c>
    </row>
    <row r="210" spans="1:14" hidden="1" x14ac:dyDescent="0.2">
      <c r="A210" s="39"/>
      <c r="B210" s="39" t="s">
        <v>176</v>
      </c>
      <c r="C210" s="39">
        <v>15</v>
      </c>
      <c r="D210" s="39" t="s">
        <v>11</v>
      </c>
      <c r="E210" s="39" t="s">
        <v>65</v>
      </c>
      <c r="F210" s="39">
        <v>1</v>
      </c>
      <c r="G210" s="39">
        <v>2</v>
      </c>
      <c r="H210" s="39"/>
      <c r="I210" s="39">
        <v>0</v>
      </c>
      <c r="J210" s="39">
        <f>F210*G210*I210</f>
        <v>0</v>
      </c>
      <c r="K210" s="39">
        <v>1.2199999999999999E-3</v>
      </c>
      <c r="L210" s="39">
        <f t="shared" si="38"/>
        <v>0</v>
      </c>
      <c r="N210" s="211"/>
    </row>
    <row r="211" spans="1:14" hidden="1" x14ac:dyDescent="0.2">
      <c r="A211" s="39"/>
      <c r="B211" s="39"/>
      <c r="C211" s="39"/>
      <c r="D211" s="39"/>
      <c r="E211" s="40"/>
      <c r="F211" s="39"/>
      <c r="G211" s="39"/>
      <c r="H211" s="39"/>
      <c r="I211" s="39"/>
      <c r="J211" s="39"/>
      <c r="K211" s="39"/>
      <c r="L211" s="39">
        <f>SUM(L209:L210)</f>
        <v>0</v>
      </c>
      <c r="N211" s="211"/>
    </row>
    <row r="212" spans="1:14" hidden="1" x14ac:dyDescent="0.2">
      <c r="A212" s="39"/>
      <c r="B212" s="39"/>
      <c r="C212" s="39"/>
      <c r="D212" s="39"/>
      <c r="E212" s="40"/>
      <c r="F212" s="39"/>
      <c r="G212" s="39"/>
      <c r="H212" s="39"/>
      <c r="I212" s="39"/>
      <c r="J212" s="39"/>
      <c r="K212" s="39"/>
      <c r="L212" s="39"/>
      <c r="N212" s="211"/>
    </row>
    <row r="213" spans="1:14" hidden="1" x14ac:dyDescent="0.2">
      <c r="A213" s="39" t="s">
        <v>94</v>
      </c>
      <c r="B213" s="39" t="s">
        <v>120</v>
      </c>
      <c r="C213" s="39">
        <v>69</v>
      </c>
      <c r="D213" s="39" t="s">
        <v>11</v>
      </c>
      <c r="E213" s="39" t="s">
        <v>169</v>
      </c>
      <c r="F213" s="39">
        <v>1</v>
      </c>
      <c r="G213" s="39">
        <v>2</v>
      </c>
      <c r="H213" s="39"/>
      <c r="I213" s="39">
        <v>0</v>
      </c>
      <c r="J213" s="39">
        <f>F213*G213*I213</f>
        <v>0</v>
      </c>
      <c r="K213" s="39">
        <f>2/1000</f>
        <v>2E-3</v>
      </c>
      <c r="L213" s="39">
        <f t="shared" ref="L213" si="39">J213*K213</f>
        <v>0</v>
      </c>
      <c r="N213" s="211"/>
    </row>
    <row r="214" spans="1:14" hidden="1" x14ac:dyDescent="0.2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N214" s="211"/>
    </row>
    <row r="215" spans="1:14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N215" s="211"/>
    </row>
    <row r="216" spans="1:14" x14ac:dyDescent="0.2">
      <c r="E216" s="206"/>
      <c r="J216" s="206"/>
      <c r="N216" s="211"/>
    </row>
    <row r="217" spans="1:14" ht="18.75" thickBot="1" x14ac:dyDescent="0.25">
      <c r="A217" s="39"/>
      <c r="B217" s="41"/>
      <c r="C217" s="41"/>
      <c r="D217" s="41"/>
      <c r="E217" s="41"/>
      <c r="F217" s="349" t="s">
        <v>177</v>
      </c>
      <c r="G217" s="349"/>
      <c r="H217" s="349"/>
      <c r="I217" s="349"/>
      <c r="J217" s="350"/>
      <c r="N217" s="211"/>
    </row>
    <row r="218" spans="1:14" ht="33" x14ac:dyDescent="0.2">
      <c r="A218" s="166" t="s">
        <v>33</v>
      </c>
      <c r="B218" s="167"/>
      <c r="C218" s="346"/>
      <c r="D218" s="347"/>
      <c r="E218" s="167" t="s">
        <v>19</v>
      </c>
      <c r="F218" s="22" t="s">
        <v>178</v>
      </c>
      <c r="G218" s="24" t="s">
        <v>179</v>
      </c>
      <c r="H218" s="24" t="s">
        <v>180</v>
      </c>
      <c r="I218" s="2" t="s">
        <v>167</v>
      </c>
      <c r="J218" s="28" t="s">
        <v>166</v>
      </c>
      <c r="K218" s="215" t="s">
        <v>2</v>
      </c>
      <c r="L218" s="2" t="s">
        <v>3</v>
      </c>
      <c r="N218" s="211"/>
    </row>
    <row r="219" spans="1:14" ht="16.5" thickBot="1" x14ac:dyDescent="0.25">
      <c r="A219" s="44"/>
      <c r="B219" s="45"/>
      <c r="C219" s="46"/>
      <c r="D219" s="47"/>
      <c r="E219" s="48"/>
      <c r="F219" s="6"/>
      <c r="G219" s="23"/>
      <c r="H219" s="6"/>
      <c r="I219" s="6" t="s">
        <v>60</v>
      </c>
      <c r="J219" s="19" t="s">
        <v>60</v>
      </c>
      <c r="K219" s="18" t="s">
        <v>62</v>
      </c>
      <c r="L219" s="6" t="s">
        <v>7</v>
      </c>
      <c r="N219" s="211"/>
    </row>
    <row r="220" spans="1:14" ht="15" thickBot="1" x14ac:dyDescent="0.25">
      <c r="A220" s="206" t="s">
        <v>90</v>
      </c>
      <c r="B220" s="147" t="s">
        <v>197</v>
      </c>
      <c r="E220" s="206"/>
      <c r="F220" s="208">
        <f>G156</f>
        <v>23.475000000000001</v>
      </c>
      <c r="G220" s="206">
        <v>4</v>
      </c>
      <c r="H220" s="206">
        <v>1</v>
      </c>
      <c r="I220" s="206">
        <v>50</v>
      </c>
      <c r="J220" s="206">
        <f>2*I220*F220*G220/H220</f>
        <v>9390</v>
      </c>
      <c r="K220" s="206">
        <f>0.22/1000</f>
        <v>2.2000000000000001E-4</v>
      </c>
      <c r="L220" s="201">
        <f>K220*J220</f>
        <v>2.0657999999999999</v>
      </c>
      <c r="N220" s="211"/>
    </row>
    <row r="221" spans="1:14" x14ac:dyDescent="0.2">
      <c r="B221" s="147"/>
      <c r="E221" s="206"/>
      <c r="J221" s="206"/>
      <c r="N221" s="211"/>
    </row>
    <row r="222" spans="1:14" hidden="1" x14ac:dyDescent="0.2">
      <c r="B222" s="147"/>
      <c r="E222" s="206"/>
      <c r="J222" s="206"/>
      <c r="N222" s="211"/>
    </row>
    <row r="223" spans="1:14" hidden="1" x14ac:dyDescent="0.2">
      <c r="A223" s="39" t="s">
        <v>91</v>
      </c>
      <c r="B223" s="147" t="s">
        <v>197</v>
      </c>
      <c r="C223" s="39"/>
      <c r="D223" s="39"/>
      <c r="E223" s="39"/>
      <c r="F223" s="50">
        <f>G163</f>
        <v>0</v>
      </c>
      <c r="G223" s="39">
        <v>4</v>
      </c>
      <c r="H223" s="39">
        <v>1</v>
      </c>
      <c r="I223" s="39">
        <v>0</v>
      </c>
      <c r="J223" s="39">
        <f>2*I223*F223*G223/H223</f>
        <v>0</v>
      </c>
      <c r="K223" s="39">
        <f>0.22/1000</f>
        <v>2.2000000000000001E-4</v>
      </c>
      <c r="L223" s="39">
        <f>K223*J223</f>
        <v>0</v>
      </c>
      <c r="N223" s="211"/>
    </row>
    <row r="224" spans="1:14" hidden="1" x14ac:dyDescent="0.2">
      <c r="B224" s="147"/>
      <c r="E224" s="206"/>
      <c r="J224" s="206"/>
      <c r="N224" s="211"/>
    </row>
    <row r="225" spans="1:14" ht="15" thickBot="1" x14ac:dyDescent="0.25">
      <c r="B225" s="147"/>
      <c r="E225" s="206"/>
      <c r="J225" s="206"/>
      <c r="N225" s="211"/>
    </row>
    <row r="226" spans="1:14" ht="15" thickBot="1" x14ac:dyDescent="0.25">
      <c r="A226" s="206" t="s">
        <v>92</v>
      </c>
      <c r="B226" s="147" t="s">
        <v>197</v>
      </c>
      <c r="D226" s="39"/>
      <c r="E226" s="206"/>
      <c r="F226" s="208">
        <f>G168</f>
        <v>17.149999999999999</v>
      </c>
      <c r="G226" s="206">
        <v>4</v>
      </c>
      <c r="H226" s="206">
        <v>1</v>
      </c>
      <c r="I226" s="206">
        <v>50</v>
      </c>
      <c r="J226" s="206">
        <f>2*I226*F226*G226/H226</f>
        <v>6859.9999999999991</v>
      </c>
      <c r="K226" s="206">
        <f>0.22/1000</f>
        <v>2.2000000000000001E-4</v>
      </c>
      <c r="L226" s="203">
        <f>K226*J226</f>
        <v>1.5091999999999999</v>
      </c>
      <c r="N226" s="211"/>
    </row>
    <row r="227" spans="1:14" x14ac:dyDescent="0.2">
      <c r="B227" s="147"/>
      <c r="D227" s="39"/>
      <c r="E227" s="206"/>
      <c r="J227" s="206"/>
      <c r="N227" s="211"/>
    </row>
    <row r="228" spans="1:14" hidden="1" x14ac:dyDescent="0.2">
      <c r="D228" s="39"/>
      <c r="E228" s="206"/>
      <c r="J228" s="206"/>
      <c r="N228" s="211"/>
    </row>
    <row r="229" spans="1:14" hidden="1" x14ac:dyDescent="0.2">
      <c r="A229" s="39" t="s">
        <v>93</v>
      </c>
      <c r="B229" s="39" t="s">
        <v>197</v>
      </c>
      <c r="C229" s="39"/>
      <c r="D229" s="39"/>
      <c r="E229" s="39"/>
      <c r="F229" s="50">
        <f>G176</f>
        <v>0</v>
      </c>
      <c r="G229" s="39">
        <v>4</v>
      </c>
      <c r="H229" s="39">
        <v>1</v>
      </c>
      <c r="I229" s="39">
        <v>0</v>
      </c>
      <c r="J229" s="50">
        <f>2*I229*F229*G229/H229</f>
        <v>0</v>
      </c>
      <c r="K229" s="39">
        <f>0.22/1000</f>
        <v>2.2000000000000001E-4</v>
      </c>
      <c r="L229" s="39">
        <f>K229*J229</f>
        <v>0</v>
      </c>
      <c r="N229" s="211"/>
    </row>
    <row r="230" spans="1:14" hidden="1" x14ac:dyDescent="0.2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N230" s="211"/>
    </row>
    <row r="231" spans="1:14" hidden="1" x14ac:dyDescent="0.2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N231" s="211"/>
    </row>
    <row r="232" spans="1:14" hidden="1" x14ac:dyDescent="0.2">
      <c r="A232" s="39" t="s">
        <v>94</v>
      </c>
      <c r="B232" s="39" t="s">
        <v>197</v>
      </c>
      <c r="C232" s="39"/>
      <c r="D232" s="39"/>
      <c r="E232" s="39"/>
      <c r="F232" s="50">
        <f>G181</f>
        <v>0</v>
      </c>
      <c r="G232" s="39">
        <v>4</v>
      </c>
      <c r="H232" s="39">
        <v>1</v>
      </c>
      <c r="I232" s="39">
        <v>0</v>
      </c>
      <c r="J232" s="39">
        <f>2*I232*F232*G232/H232</f>
        <v>0</v>
      </c>
      <c r="K232" s="39">
        <f>0.22/1000</f>
        <v>2.2000000000000001E-4</v>
      </c>
      <c r="L232" s="39">
        <f>K232*J232</f>
        <v>0</v>
      </c>
      <c r="N232" s="211"/>
    </row>
    <row r="233" spans="1:14" x14ac:dyDescent="0.2">
      <c r="A233" s="39"/>
      <c r="B233" s="39"/>
      <c r="C233" s="39"/>
      <c r="D233" s="39"/>
      <c r="E233" s="39"/>
      <c r="F233" s="50"/>
      <c r="G233" s="39"/>
      <c r="H233" s="39"/>
      <c r="I233" s="39"/>
      <c r="J233" s="39"/>
      <c r="K233" s="39"/>
      <c r="L233" s="39"/>
      <c r="N233" s="211"/>
    </row>
    <row r="234" spans="1:14" x14ac:dyDescent="0.2">
      <c r="A234" s="39"/>
      <c r="B234" s="39"/>
      <c r="C234" s="39"/>
      <c r="D234" s="39"/>
      <c r="E234" s="39"/>
      <c r="F234" s="50"/>
      <c r="G234" s="39"/>
      <c r="H234" s="39"/>
      <c r="I234" s="39"/>
      <c r="J234" s="39"/>
      <c r="K234" s="39"/>
      <c r="L234" s="39"/>
      <c r="N234" s="211"/>
    </row>
    <row r="235" spans="1:14" ht="15.75" thickBot="1" x14ac:dyDescent="0.25">
      <c r="B235" s="351" t="s">
        <v>116</v>
      </c>
      <c r="C235" s="351"/>
      <c r="D235" s="351"/>
      <c r="E235" s="351"/>
      <c r="F235" s="351"/>
      <c r="G235" s="351"/>
      <c r="H235" s="351"/>
      <c r="I235" s="351"/>
      <c r="J235" s="206"/>
      <c r="N235" s="206"/>
    </row>
    <row r="236" spans="1:14" ht="28.5" customHeight="1" thickBot="1" x14ac:dyDescent="0.25">
      <c r="B236" s="209" t="s">
        <v>211</v>
      </c>
      <c r="C236" s="340" t="s">
        <v>214</v>
      </c>
      <c r="D236" s="341"/>
      <c r="E236" s="89" t="s">
        <v>212</v>
      </c>
      <c r="F236" s="33" t="s">
        <v>215</v>
      </c>
      <c r="G236" s="33" t="s">
        <v>216</v>
      </c>
      <c r="H236" s="89" t="s">
        <v>213</v>
      </c>
      <c r="I236" s="33" t="s">
        <v>210</v>
      </c>
      <c r="L236" s="33" t="s">
        <v>97</v>
      </c>
      <c r="N236" s="206"/>
    </row>
    <row r="237" spans="1:14" x14ac:dyDescent="0.2">
      <c r="A237" s="206" t="s">
        <v>90</v>
      </c>
      <c r="B237" s="208">
        <f>L10</f>
        <v>801.74895200000026</v>
      </c>
      <c r="C237" s="352">
        <f>L161</f>
        <v>57.959775000000008</v>
      </c>
      <c r="D237" s="352"/>
      <c r="E237" s="90">
        <f>L46+L79+L85</f>
        <v>71.118799999999993</v>
      </c>
      <c r="F237" s="206">
        <f>L194</f>
        <v>7.7</v>
      </c>
      <c r="G237" s="13">
        <f>L220</f>
        <v>2.0657999999999999</v>
      </c>
      <c r="H237" s="94">
        <f>J124</f>
        <v>22.553700150000001</v>
      </c>
      <c r="I237" s="208">
        <f>L98</f>
        <v>28.655999999999999</v>
      </c>
      <c r="J237" s="173">
        <f>E237+B237+I237</f>
        <v>901.52375200000017</v>
      </c>
      <c r="L237" s="206">
        <f>G156</f>
        <v>23.475000000000001</v>
      </c>
      <c r="N237" s="206"/>
    </row>
    <row r="238" spans="1:14" x14ac:dyDescent="0.2">
      <c r="A238" s="206" t="s">
        <v>91</v>
      </c>
      <c r="B238" s="208">
        <f>L17</f>
        <v>0</v>
      </c>
      <c r="C238" s="339">
        <f>L166</f>
        <v>0</v>
      </c>
      <c r="D238" s="339"/>
      <c r="E238" s="90">
        <f>L52+L91</f>
        <v>0</v>
      </c>
      <c r="F238" s="206">
        <f>L198</f>
        <v>0</v>
      </c>
      <c r="G238" s="13">
        <f>L223</f>
        <v>0</v>
      </c>
      <c r="H238" s="95">
        <f>J130</f>
        <v>0</v>
      </c>
      <c r="I238" s="208">
        <v>0</v>
      </c>
      <c r="J238" s="173">
        <f t="shared" ref="J238:J240" si="40">E238+B238</f>
        <v>0</v>
      </c>
      <c r="L238" s="208">
        <f>G163</f>
        <v>0</v>
      </c>
      <c r="N238" s="206"/>
    </row>
    <row r="239" spans="1:14" x14ac:dyDescent="0.2">
      <c r="A239" s="211" t="s">
        <v>92</v>
      </c>
      <c r="B239" s="208" t="e">
        <f>L25</f>
        <v>#REF!</v>
      </c>
      <c r="C239" s="339">
        <f>L173</f>
        <v>53.247320000000002</v>
      </c>
      <c r="D239" s="339"/>
      <c r="E239" s="90" t="e">
        <f>L61</f>
        <v>#REF!</v>
      </c>
      <c r="F239" s="13">
        <f>L207</f>
        <v>4.2160000000000002</v>
      </c>
      <c r="G239" s="13">
        <f>L226</f>
        <v>1.5091999999999999</v>
      </c>
      <c r="H239" s="95">
        <f>J139</f>
        <v>13.542108766666667</v>
      </c>
      <c r="I239" s="208" t="e">
        <f>L103</f>
        <v>#REF!</v>
      </c>
      <c r="J239" s="173" t="e">
        <f>E239+B239+I239</f>
        <v>#REF!</v>
      </c>
      <c r="L239" s="208">
        <f>G168</f>
        <v>17.149999999999999</v>
      </c>
      <c r="N239" s="206"/>
    </row>
    <row r="240" spans="1:14" x14ac:dyDescent="0.2">
      <c r="A240" s="206" t="s">
        <v>93</v>
      </c>
      <c r="B240" s="208">
        <f>L29</f>
        <v>0</v>
      </c>
      <c r="C240" s="339">
        <f>L179</f>
        <v>0</v>
      </c>
      <c r="D240" s="339"/>
      <c r="E240" s="90">
        <f>L66</f>
        <v>0</v>
      </c>
      <c r="F240" s="206">
        <f>L211</f>
        <v>0</v>
      </c>
      <c r="G240" s="13">
        <f>L229</f>
        <v>0</v>
      </c>
      <c r="H240" s="95">
        <f>J145</f>
        <v>0</v>
      </c>
      <c r="I240" s="38">
        <f>L107</f>
        <v>0</v>
      </c>
      <c r="J240" s="173">
        <f t="shared" si="40"/>
        <v>0</v>
      </c>
      <c r="L240" s="208">
        <f>G176</f>
        <v>0</v>
      </c>
      <c r="N240" s="206"/>
    </row>
    <row r="241" spans="1:14" x14ac:dyDescent="0.2">
      <c r="A241" s="206" t="s">
        <v>94</v>
      </c>
      <c r="B241" s="208">
        <f>L35</f>
        <v>0</v>
      </c>
      <c r="C241" s="339">
        <f>L184</f>
        <v>0</v>
      </c>
      <c r="D241" s="339"/>
      <c r="E241" s="90">
        <f>L73</f>
        <v>0</v>
      </c>
      <c r="F241" s="206">
        <f>L213</f>
        <v>0</v>
      </c>
      <c r="G241" s="13">
        <f>L232</f>
        <v>0</v>
      </c>
      <c r="H241" s="95">
        <f>J150</f>
        <v>0</v>
      </c>
      <c r="I241" s="38">
        <f>L111</f>
        <v>0</v>
      </c>
      <c r="L241" s="208">
        <f>G181</f>
        <v>0</v>
      </c>
      <c r="N241" s="206"/>
    </row>
    <row r="242" spans="1:14" ht="15" thickBot="1" x14ac:dyDescent="0.25">
      <c r="C242" s="337"/>
      <c r="D242" s="337"/>
      <c r="E242" s="91"/>
      <c r="H242" s="96"/>
      <c r="I242" s="12"/>
      <c r="L242" s="32"/>
      <c r="N242" s="206"/>
    </row>
    <row r="243" spans="1:14" ht="29.25" customHeight="1" thickBot="1" x14ac:dyDescent="0.25">
      <c r="B243" s="209" t="s">
        <v>211</v>
      </c>
      <c r="C243" s="340" t="s">
        <v>214</v>
      </c>
      <c r="D243" s="341"/>
      <c r="E243" s="89" t="s">
        <v>212</v>
      </c>
      <c r="F243" s="33" t="s">
        <v>215</v>
      </c>
      <c r="G243" s="33" t="s">
        <v>216</v>
      </c>
      <c r="H243" s="89" t="s">
        <v>213</v>
      </c>
      <c r="I243" s="33" t="s">
        <v>210</v>
      </c>
      <c r="L243" s="33" t="s">
        <v>97</v>
      </c>
      <c r="N243" s="206"/>
    </row>
    <row r="244" spans="1:14" x14ac:dyDescent="0.2">
      <c r="A244" s="206" t="s">
        <v>239</v>
      </c>
      <c r="B244" s="208">
        <f>B237+B238</f>
        <v>801.74895200000026</v>
      </c>
      <c r="C244" s="339">
        <f>C237+C238</f>
        <v>57.959775000000008</v>
      </c>
      <c r="D244" s="337"/>
      <c r="E244" s="90">
        <f>E237+E238</f>
        <v>71.118799999999993</v>
      </c>
      <c r="F244" s="208">
        <f>F237+F238</f>
        <v>7.7</v>
      </c>
      <c r="G244" s="208">
        <f>G237+G238</f>
        <v>2.0657999999999999</v>
      </c>
      <c r="H244" s="94">
        <f>H237+H238</f>
        <v>22.553700150000001</v>
      </c>
      <c r="I244" s="208">
        <f>I237+I238</f>
        <v>28.655999999999999</v>
      </c>
      <c r="L244" s="208">
        <f>L237+L238</f>
        <v>23.475000000000001</v>
      </c>
      <c r="M244" s="208">
        <f>SUM(B244:I244)</f>
        <v>991.80302715000028</v>
      </c>
      <c r="N244" s="206"/>
    </row>
    <row r="245" spans="1:14" x14ac:dyDescent="0.2">
      <c r="A245" s="206" t="s">
        <v>240</v>
      </c>
      <c r="B245" s="208" t="e">
        <f>B239+B240</f>
        <v>#REF!</v>
      </c>
      <c r="C245" s="342">
        <f>C239+C240</f>
        <v>53.247320000000002</v>
      </c>
      <c r="D245" s="343"/>
      <c r="E245" s="90" t="e">
        <f>E239+E240</f>
        <v>#REF!</v>
      </c>
      <c r="F245" s="208">
        <f>F239+F240</f>
        <v>4.2160000000000002</v>
      </c>
      <c r="G245" s="208">
        <f>G239+G240</f>
        <v>1.5091999999999999</v>
      </c>
      <c r="H245" s="97">
        <f>H239+H240</f>
        <v>13.542108766666667</v>
      </c>
      <c r="I245" s="208" t="e">
        <f>I239+I240</f>
        <v>#REF!</v>
      </c>
      <c r="L245" s="208">
        <f>L239+L240</f>
        <v>17.149999999999999</v>
      </c>
      <c r="M245" s="208" t="e">
        <f>SUM(B245:I245)</f>
        <v>#REF!</v>
      </c>
      <c r="N245" s="206"/>
    </row>
    <row r="246" spans="1:14" x14ac:dyDescent="0.2">
      <c r="B246" s="208"/>
      <c r="C246" s="342"/>
      <c r="D246" s="343"/>
      <c r="E246" s="90"/>
      <c r="F246" s="208"/>
      <c r="G246" s="208"/>
      <c r="H246" s="97"/>
      <c r="I246" s="208"/>
      <c r="L246" s="208">
        <f>L239+L241</f>
        <v>17.149999999999999</v>
      </c>
      <c r="M246" s="208">
        <f>SUM(B246:I246)</f>
        <v>0</v>
      </c>
      <c r="N246" s="206"/>
    </row>
    <row r="247" spans="1:14" x14ac:dyDescent="0.2">
      <c r="C247" s="337"/>
      <c r="D247" s="337"/>
      <c r="E247" s="91"/>
      <c r="H247" s="32"/>
      <c r="I247" s="12"/>
      <c r="L247" s="32"/>
      <c r="N247" s="206"/>
    </row>
    <row r="248" spans="1:14" x14ac:dyDescent="0.2">
      <c r="B248" s="207">
        <f>B244/SUM(B244:H244)</f>
        <v>0.832426337204627</v>
      </c>
      <c r="C248" s="338">
        <f>C244/SUM(B244:H244)</f>
        <v>6.0177494573705789E-2</v>
      </c>
      <c r="D248" s="338"/>
      <c r="E248" s="92">
        <f>E244/SUM(B244:H244)</f>
        <v>7.3840024415009656E-2</v>
      </c>
      <c r="F248" s="64">
        <f>F244/SUM(B244:H244)</f>
        <v>7.9946257247812732E-3</v>
      </c>
      <c r="G248" s="64">
        <f>G244/SUM(B244:H244)</f>
        <v>2.1448438730198899E-3</v>
      </c>
      <c r="H248" s="98">
        <f>H244/SUM(B244:H244)</f>
        <v>2.3416674208856268E-2</v>
      </c>
      <c r="I248" s="64">
        <f>I244/SUM(B244:H244)</f>
        <v>2.975246685316002E-2</v>
      </c>
      <c r="N248" s="206"/>
    </row>
    <row r="249" spans="1:14" x14ac:dyDescent="0.2">
      <c r="B249" s="207" t="e">
        <f>B245/SUM(B245:H245)</f>
        <v>#REF!</v>
      </c>
      <c r="C249" s="338" t="e">
        <f>C245/SUM(B245:H245)</f>
        <v>#REF!</v>
      </c>
      <c r="D249" s="338"/>
      <c r="E249" s="92" t="e">
        <f>E245/SUM(B245:H245)</f>
        <v>#REF!</v>
      </c>
      <c r="F249" s="64" t="e">
        <f>F245/SUM(B245:H245)</f>
        <v>#REF!</v>
      </c>
      <c r="G249" s="64" t="e">
        <f>G245/SUM(B245:H245)</f>
        <v>#REF!</v>
      </c>
      <c r="H249" s="98" t="e">
        <f>H245/SUM(B245:H245)</f>
        <v>#REF!</v>
      </c>
      <c r="I249" s="64" t="e">
        <f>I245/SUM(B245:H245)</f>
        <v>#REF!</v>
      </c>
      <c r="N249" s="206"/>
    </row>
    <row r="250" spans="1:14" x14ac:dyDescent="0.2">
      <c r="B250" s="207" t="e">
        <f>B246/SUM(B246:H246)</f>
        <v>#DIV/0!</v>
      </c>
      <c r="C250" s="338" t="e">
        <f>C246/SUM(B246:H246)</f>
        <v>#DIV/0!</v>
      </c>
      <c r="D250" s="338"/>
      <c r="E250" s="92" t="e">
        <f>E246/SUM(B246:H246)</f>
        <v>#DIV/0!</v>
      </c>
      <c r="F250" s="64" t="e">
        <f>F246/SUM(B246:H246)</f>
        <v>#DIV/0!</v>
      </c>
      <c r="G250" s="64" t="e">
        <f>G246/SUM(B246:H246)</f>
        <v>#DIV/0!</v>
      </c>
      <c r="H250" s="98" t="e">
        <f>H246/SUM(B246:H246)</f>
        <v>#DIV/0!</v>
      </c>
      <c r="I250" s="64" t="e">
        <f>I246/SUM(B246:H246)</f>
        <v>#DIV/0!</v>
      </c>
      <c r="N250" s="206"/>
    </row>
    <row r="251" spans="1:14" x14ac:dyDescent="0.2">
      <c r="C251" s="93"/>
      <c r="D251" s="93"/>
      <c r="F251" s="337"/>
      <c r="G251" s="337"/>
      <c r="H251" s="337"/>
      <c r="I251" s="337"/>
      <c r="J251" s="32"/>
      <c r="N251" s="206"/>
    </row>
    <row r="252" spans="1:14" x14ac:dyDescent="0.2">
      <c r="C252" s="93"/>
      <c r="D252" s="93"/>
      <c r="F252" s="337"/>
      <c r="G252" s="337"/>
      <c r="H252" s="337"/>
      <c r="I252" s="337"/>
      <c r="J252" s="32"/>
      <c r="N252" s="206"/>
    </row>
    <row r="253" spans="1:14" x14ac:dyDescent="0.2">
      <c r="C253" s="93"/>
      <c r="D253" s="93"/>
      <c r="F253" s="337"/>
      <c r="G253" s="337"/>
      <c r="H253" s="337"/>
      <c r="I253" s="337"/>
      <c r="J253" s="32"/>
      <c r="N253" s="206"/>
    </row>
    <row r="254" spans="1:14" x14ac:dyDescent="0.2">
      <c r="C254" s="93"/>
      <c r="D254" s="93"/>
      <c r="F254" s="337"/>
      <c r="G254" s="337"/>
      <c r="H254" s="337"/>
      <c r="I254" s="337"/>
      <c r="J254" s="32"/>
      <c r="N254" s="206"/>
    </row>
    <row r="255" spans="1:14" x14ac:dyDescent="0.2">
      <c r="C255" s="93"/>
      <c r="D255" s="93"/>
      <c r="F255" s="337"/>
      <c r="G255" s="337"/>
      <c r="H255" s="337"/>
      <c r="I255" s="337"/>
      <c r="J255" s="32"/>
      <c r="N255" s="206"/>
    </row>
    <row r="256" spans="1:14" x14ac:dyDescent="0.2">
      <c r="C256" s="93"/>
      <c r="D256" s="93"/>
      <c r="F256" s="337"/>
      <c r="G256" s="337"/>
      <c r="H256" s="337"/>
      <c r="I256" s="337"/>
      <c r="J256" s="32"/>
      <c r="N256" s="206"/>
    </row>
    <row r="257" spans="2:14" x14ac:dyDescent="0.2">
      <c r="C257" s="93"/>
      <c r="D257" s="93"/>
      <c r="F257" s="337"/>
      <c r="G257" s="337"/>
      <c r="H257" s="337"/>
      <c r="I257" s="337"/>
      <c r="J257" s="32"/>
      <c r="N257" s="206"/>
    </row>
    <row r="258" spans="2:14" x14ac:dyDescent="0.2">
      <c r="C258" s="93"/>
      <c r="D258" s="93"/>
      <c r="J258" s="206"/>
      <c r="N258" s="206"/>
    </row>
    <row r="259" spans="2:14" x14ac:dyDescent="0.2">
      <c r="C259" s="93">
        <v>0</v>
      </c>
      <c r="D259" s="93"/>
      <c r="J259" s="206"/>
      <c r="N259" s="206"/>
    </row>
    <row r="260" spans="2:14" x14ac:dyDescent="0.2">
      <c r="C260" s="208">
        <f>SUM(B244:I244)</f>
        <v>991.80302715000028</v>
      </c>
      <c r="D260" s="93"/>
      <c r="J260" s="206"/>
      <c r="N260" s="206"/>
    </row>
    <row r="261" spans="2:14" x14ac:dyDescent="0.2">
      <c r="C261" s="208" t="e">
        <f t="shared" ref="C261:C262" si="41">SUM(B245:I245)</f>
        <v>#REF!</v>
      </c>
      <c r="D261" s="93"/>
      <c r="J261" s="206"/>
      <c r="N261" s="206"/>
    </row>
    <row r="262" spans="2:14" x14ac:dyDescent="0.2">
      <c r="C262" s="208">
        <f t="shared" si="41"/>
        <v>0</v>
      </c>
      <c r="D262" s="93"/>
      <c r="J262" s="206"/>
      <c r="N262" s="206"/>
    </row>
    <row r="263" spans="2:14" x14ac:dyDescent="0.2">
      <c r="B263" s="208"/>
      <c r="C263" s="93">
        <v>0</v>
      </c>
      <c r="D263" s="93"/>
      <c r="J263" s="206"/>
      <c r="N263" s="206"/>
    </row>
    <row r="264" spans="2:14" x14ac:dyDescent="0.2">
      <c r="B264" s="208"/>
      <c r="C264" s="93"/>
      <c r="D264" s="93"/>
      <c r="E264" s="206"/>
      <c r="J264" s="206"/>
      <c r="N264" s="206"/>
    </row>
    <row r="265" spans="2:14" x14ac:dyDescent="0.2">
      <c r="C265" s="93"/>
      <c r="D265" s="93"/>
      <c r="E265" s="206"/>
      <c r="J265" s="206"/>
      <c r="N265" s="206"/>
    </row>
    <row r="266" spans="2:14" x14ac:dyDescent="0.2">
      <c r="C266" s="93"/>
      <c r="D266" s="93"/>
      <c r="E266" s="206"/>
      <c r="J266" s="206"/>
      <c r="N266" s="206"/>
    </row>
    <row r="267" spans="2:14" x14ac:dyDescent="0.2">
      <c r="C267" s="93"/>
      <c r="D267" s="93"/>
      <c r="E267" s="206"/>
      <c r="J267" s="206"/>
      <c r="N267" s="206"/>
    </row>
    <row r="268" spans="2:14" x14ac:dyDescent="0.2">
      <c r="C268" s="93"/>
      <c r="D268" s="93"/>
      <c r="E268" s="206"/>
      <c r="J268" s="206"/>
      <c r="N268" s="206"/>
    </row>
    <row r="269" spans="2:14" x14ac:dyDescent="0.2">
      <c r="C269" s="93"/>
      <c r="D269" s="93"/>
      <c r="E269" s="206"/>
      <c r="J269" s="206"/>
      <c r="N269" s="206"/>
    </row>
    <row r="270" spans="2:14" x14ac:dyDescent="0.2">
      <c r="C270" s="93"/>
      <c r="D270" s="93"/>
      <c r="E270" s="206"/>
      <c r="J270" s="206"/>
      <c r="N270" s="206"/>
    </row>
    <row r="271" spans="2:14" x14ac:dyDescent="0.2">
      <c r="C271" s="93"/>
      <c r="D271" s="93"/>
      <c r="E271" s="206"/>
      <c r="J271" s="206"/>
      <c r="N271" s="206"/>
    </row>
    <row r="272" spans="2:14" x14ac:dyDescent="0.2">
      <c r="C272" s="93"/>
      <c r="D272" s="93"/>
      <c r="E272" s="206"/>
      <c r="J272" s="206"/>
      <c r="N272" s="206"/>
    </row>
    <row r="273" spans="5:14" s="206" customFormat="1" x14ac:dyDescent="0.2"/>
    <row r="274" spans="5:14" s="206" customFormat="1" x14ac:dyDescent="0.2"/>
    <row r="275" spans="5:14" s="206" customFormat="1" x14ac:dyDescent="0.2"/>
    <row r="276" spans="5:14" s="206" customFormat="1" x14ac:dyDescent="0.2"/>
    <row r="277" spans="5:14" s="206" customFormat="1" x14ac:dyDescent="0.2"/>
    <row r="278" spans="5:14" s="206" customFormat="1" x14ac:dyDescent="0.2"/>
    <row r="279" spans="5:14" s="206" customFormat="1" x14ac:dyDescent="0.2"/>
    <row r="280" spans="5:14" x14ac:dyDescent="0.2">
      <c r="E280" s="206"/>
      <c r="H280" s="208"/>
      <c r="I280" s="208"/>
      <c r="J280" s="208"/>
      <c r="N280" s="206"/>
    </row>
    <row r="281" spans="5:14" x14ac:dyDescent="0.2">
      <c r="E281" s="206"/>
      <c r="H281" s="208"/>
      <c r="I281" s="208"/>
      <c r="J281" s="208"/>
      <c r="N281" s="206"/>
    </row>
    <row r="282" spans="5:14" s="206" customFormat="1" x14ac:dyDescent="0.2"/>
    <row r="283" spans="5:14" s="206" customFormat="1" x14ac:dyDescent="0.2"/>
    <row r="284" spans="5:14" s="206" customFormat="1" x14ac:dyDescent="0.2"/>
    <row r="285" spans="5:14" s="206" customFormat="1" x14ac:dyDescent="0.2"/>
    <row r="286" spans="5:14" s="206" customFormat="1" x14ac:dyDescent="0.2"/>
    <row r="287" spans="5:14" s="206" customFormat="1" x14ac:dyDescent="0.2"/>
    <row r="288" spans="5:14" s="206" customFormat="1" x14ac:dyDescent="0.2"/>
    <row r="289" spans="5:14" x14ac:dyDescent="0.2">
      <c r="E289" s="206"/>
      <c r="H289" s="32"/>
      <c r="J289" s="206"/>
      <c r="N289" s="206"/>
    </row>
    <row r="290" spans="5:14" x14ac:dyDescent="0.2">
      <c r="E290" s="206"/>
      <c r="H290" s="32"/>
      <c r="J290" s="206"/>
      <c r="N290" s="206"/>
    </row>
    <row r="291" spans="5:14" x14ac:dyDescent="0.2">
      <c r="E291" s="206"/>
      <c r="H291" s="32"/>
      <c r="J291" s="206"/>
      <c r="N291" s="206"/>
    </row>
    <row r="292" spans="5:14" x14ac:dyDescent="0.2">
      <c r="E292" s="206"/>
      <c r="J292" s="206"/>
      <c r="N292" s="206"/>
    </row>
    <row r="293" spans="5:14" x14ac:dyDescent="0.2">
      <c r="E293" s="206"/>
      <c r="J293" s="206"/>
      <c r="N293" s="206"/>
    </row>
    <row r="294" spans="5:14" x14ac:dyDescent="0.2">
      <c r="E294" s="206"/>
      <c r="J294" s="206"/>
      <c r="N294" s="206"/>
    </row>
    <row r="295" spans="5:14" x14ac:dyDescent="0.2">
      <c r="E295" s="206"/>
      <c r="J295" s="206"/>
      <c r="N295" s="206"/>
    </row>
    <row r="296" spans="5:14" x14ac:dyDescent="0.2">
      <c r="J296" s="206"/>
      <c r="N296" s="206"/>
    </row>
    <row r="297" spans="5:14" x14ac:dyDescent="0.2">
      <c r="J297" s="206"/>
      <c r="N297" s="206"/>
    </row>
    <row r="298" spans="5:14" x14ac:dyDescent="0.2">
      <c r="J298" s="206"/>
      <c r="N298" s="206"/>
    </row>
    <row r="299" spans="5:14" x14ac:dyDescent="0.2">
      <c r="J299" s="206"/>
      <c r="N299" s="206"/>
    </row>
    <row r="300" spans="5:14" x14ac:dyDescent="0.2">
      <c r="J300" s="206"/>
      <c r="N300" s="206"/>
    </row>
    <row r="301" spans="5:14" x14ac:dyDescent="0.2">
      <c r="J301" s="206"/>
      <c r="N301" s="206"/>
    </row>
    <row r="302" spans="5:14" x14ac:dyDescent="0.2">
      <c r="J302" s="206"/>
      <c r="N302" s="206"/>
    </row>
    <row r="303" spans="5:14" x14ac:dyDescent="0.2">
      <c r="J303" s="206"/>
      <c r="N303" s="206"/>
    </row>
    <row r="304" spans="5:14" x14ac:dyDescent="0.2">
      <c r="J304" s="206"/>
      <c r="N304" s="206"/>
    </row>
    <row r="305" spans="10:14" x14ac:dyDescent="0.2">
      <c r="J305" s="206"/>
      <c r="N305" s="206"/>
    </row>
    <row r="306" spans="10:14" x14ac:dyDescent="0.2">
      <c r="J306" s="206"/>
      <c r="N306" s="206"/>
    </row>
    <row r="307" spans="10:14" x14ac:dyDescent="0.2">
      <c r="J307" s="206"/>
      <c r="N307" s="206"/>
    </row>
    <row r="308" spans="10:14" x14ac:dyDescent="0.2">
      <c r="J308" s="206"/>
      <c r="N308" s="206"/>
    </row>
    <row r="309" spans="10:14" x14ac:dyDescent="0.2">
      <c r="J309" s="206"/>
      <c r="N309" s="206"/>
    </row>
    <row r="310" spans="10:14" x14ac:dyDescent="0.2">
      <c r="J310" s="206"/>
      <c r="N310" s="206"/>
    </row>
    <row r="311" spans="10:14" x14ac:dyDescent="0.2">
      <c r="J311" s="206"/>
      <c r="N311" s="206"/>
    </row>
    <row r="312" spans="10:14" x14ac:dyDescent="0.2">
      <c r="J312" s="206"/>
      <c r="N312" s="206"/>
    </row>
    <row r="313" spans="10:14" x14ac:dyDescent="0.2">
      <c r="J313" s="206"/>
      <c r="N313" s="206"/>
    </row>
    <row r="314" spans="10:14" x14ac:dyDescent="0.2">
      <c r="J314" s="206"/>
      <c r="N314" s="206"/>
    </row>
    <row r="315" spans="10:14" x14ac:dyDescent="0.2">
      <c r="J315" s="206"/>
      <c r="N315" s="206"/>
    </row>
    <row r="316" spans="10:14" x14ac:dyDescent="0.2">
      <c r="J316" s="206"/>
      <c r="N316" s="206"/>
    </row>
    <row r="317" spans="10:14" x14ac:dyDescent="0.2">
      <c r="J317" s="206"/>
      <c r="N317" s="206"/>
    </row>
    <row r="318" spans="10:14" x14ac:dyDescent="0.2">
      <c r="J318" s="206"/>
      <c r="N318" s="206"/>
    </row>
    <row r="319" spans="10:14" x14ac:dyDescent="0.2">
      <c r="J319" s="206"/>
      <c r="N319" s="206"/>
    </row>
    <row r="320" spans="10:14" x14ac:dyDescent="0.2">
      <c r="J320" s="206"/>
      <c r="N320" s="206"/>
    </row>
    <row r="321" spans="10:14" x14ac:dyDescent="0.2">
      <c r="J321" s="206"/>
      <c r="N321" s="206"/>
    </row>
    <row r="322" spans="10:14" x14ac:dyDescent="0.2">
      <c r="J322" s="206"/>
      <c r="N322" s="206"/>
    </row>
    <row r="323" spans="10:14" x14ac:dyDescent="0.2">
      <c r="J323" s="206"/>
      <c r="N323" s="206"/>
    </row>
    <row r="324" spans="10:14" x14ac:dyDescent="0.2">
      <c r="J324" s="206"/>
      <c r="N324" s="206"/>
    </row>
    <row r="325" spans="10:14" x14ac:dyDescent="0.2">
      <c r="J325" s="206"/>
      <c r="N325" s="206"/>
    </row>
    <row r="326" spans="10:14" x14ac:dyDescent="0.2">
      <c r="J326" s="206"/>
      <c r="N326" s="206"/>
    </row>
    <row r="327" spans="10:14" x14ac:dyDescent="0.2">
      <c r="J327" s="206"/>
      <c r="N327" s="206"/>
    </row>
    <row r="328" spans="10:14" x14ac:dyDescent="0.2">
      <c r="J328" s="206"/>
      <c r="N328" s="206"/>
    </row>
    <row r="329" spans="10:14" x14ac:dyDescent="0.2">
      <c r="J329" s="206"/>
      <c r="N329" s="206"/>
    </row>
    <row r="330" spans="10:14" x14ac:dyDescent="0.2">
      <c r="J330" s="206"/>
      <c r="N330" s="206"/>
    </row>
    <row r="331" spans="10:14" x14ac:dyDescent="0.2">
      <c r="J331" s="206"/>
      <c r="N331" s="206"/>
    </row>
    <row r="332" spans="10:14" x14ac:dyDescent="0.2">
      <c r="J332" s="206"/>
      <c r="N332" s="206"/>
    </row>
    <row r="333" spans="10:14" x14ac:dyDescent="0.2">
      <c r="J333" s="206"/>
      <c r="N333" s="206"/>
    </row>
    <row r="334" spans="10:14" x14ac:dyDescent="0.2">
      <c r="J334" s="206"/>
      <c r="N334" s="206"/>
    </row>
    <row r="335" spans="10:14" x14ac:dyDescent="0.2">
      <c r="J335" s="206"/>
      <c r="N335" s="206"/>
    </row>
    <row r="336" spans="10:14" x14ac:dyDescent="0.2">
      <c r="J336" s="206"/>
      <c r="N336" s="206"/>
    </row>
    <row r="337" spans="10:14" x14ac:dyDescent="0.2">
      <c r="J337" s="206"/>
      <c r="N337" s="206"/>
    </row>
    <row r="338" spans="10:14" x14ac:dyDescent="0.2">
      <c r="J338" s="206"/>
      <c r="N338" s="206"/>
    </row>
    <row r="339" spans="10:14" x14ac:dyDescent="0.2">
      <c r="J339" s="206"/>
      <c r="N339" s="206"/>
    </row>
    <row r="340" spans="10:14" x14ac:dyDescent="0.2">
      <c r="J340" s="206"/>
      <c r="N340" s="206"/>
    </row>
    <row r="341" spans="10:14" x14ac:dyDescent="0.2">
      <c r="J341" s="206"/>
      <c r="N341" s="206"/>
    </row>
    <row r="342" spans="10:14" x14ac:dyDescent="0.2">
      <c r="J342" s="206"/>
      <c r="N342" s="206"/>
    </row>
    <row r="343" spans="10:14" x14ac:dyDescent="0.2">
      <c r="J343" s="206"/>
      <c r="N343" s="206"/>
    </row>
    <row r="344" spans="10:14" x14ac:dyDescent="0.2">
      <c r="J344" s="206"/>
      <c r="N344" s="206"/>
    </row>
    <row r="345" spans="10:14" x14ac:dyDescent="0.2">
      <c r="J345" s="206"/>
      <c r="N345" s="206"/>
    </row>
    <row r="346" spans="10:14" x14ac:dyDescent="0.2">
      <c r="J346" s="206"/>
      <c r="N346" s="206"/>
    </row>
    <row r="347" spans="10:14" x14ac:dyDescent="0.2">
      <c r="J347" s="206"/>
      <c r="N347" s="206"/>
    </row>
    <row r="348" spans="10:14" x14ac:dyDescent="0.2">
      <c r="J348" s="206"/>
      <c r="N348" s="206"/>
    </row>
    <row r="349" spans="10:14" x14ac:dyDescent="0.2">
      <c r="J349" s="206"/>
      <c r="N349" s="206"/>
    </row>
    <row r="350" spans="10:14" x14ac:dyDescent="0.2">
      <c r="J350" s="206"/>
      <c r="N350" s="206"/>
    </row>
    <row r="351" spans="10:14" x14ac:dyDescent="0.2">
      <c r="J351" s="206"/>
      <c r="N351" s="206"/>
    </row>
    <row r="352" spans="10:14" x14ac:dyDescent="0.2">
      <c r="J352" s="206"/>
      <c r="N352" s="206"/>
    </row>
    <row r="353" spans="10:14" x14ac:dyDescent="0.2">
      <c r="J353" s="206"/>
      <c r="N353" s="206"/>
    </row>
    <row r="354" spans="10:14" x14ac:dyDescent="0.2">
      <c r="J354" s="206"/>
      <c r="N354" s="206"/>
    </row>
    <row r="355" spans="10:14" x14ac:dyDescent="0.2">
      <c r="J355" s="206"/>
      <c r="N355" s="206"/>
    </row>
    <row r="356" spans="10:14" x14ac:dyDescent="0.2">
      <c r="J356" s="206"/>
      <c r="N356" s="206"/>
    </row>
    <row r="357" spans="10:14" x14ac:dyDescent="0.2">
      <c r="J357" s="206"/>
      <c r="N357" s="206"/>
    </row>
    <row r="358" spans="10:14" x14ac:dyDescent="0.2">
      <c r="J358" s="206"/>
      <c r="N358" s="206"/>
    </row>
    <row r="359" spans="10:14" x14ac:dyDescent="0.2">
      <c r="J359" s="206"/>
      <c r="N359" s="206"/>
    </row>
    <row r="360" spans="10:14" x14ac:dyDescent="0.2">
      <c r="J360" s="206"/>
      <c r="N360" s="206"/>
    </row>
    <row r="361" spans="10:14" x14ac:dyDescent="0.2">
      <c r="J361" s="206"/>
      <c r="N361" s="206"/>
    </row>
    <row r="362" spans="10:14" x14ac:dyDescent="0.2">
      <c r="J362" s="206"/>
      <c r="N362" s="206"/>
    </row>
    <row r="363" spans="10:14" x14ac:dyDescent="0.2">
      <c r="J363" s="206"/>
      <c r="N363" s="206"/>
    </row>
    <row r="364" spans="10:14" x14ac:dyDescent="0.2">
      <c r="J364" s="206"/>
      <c r="N364" s="206"/>
    </row>
    <row r="365" spans="10:14" x14ac:dyDescent="0.2">
      <c r="J365" s="206"/>
      <c r="N365" s="206"/>
    </row>
    <row r="366" spans="10:14" x14ac:dyDescent="0.2">
      <c r="J366" s="206"/>
      <c r="N366" s="206"/>
    </row>
    <row r="367" spans="10:14" x14ac:dyDescent="0.2">
      <c r="J367" s="206"/>
      <c r="N367" s="206"/>
    </row>
    <row r="368" spans="10:14" x14ac:dyDescent="0.2">
      <c r="J368" s="206"/>
      <c r="N368" s="206"/>
    </row>
    <row r="369" spans="10:14" x14ac:dyDescent="0.2">
      <c r="J369" s="206"/>
      <c r="N369" s="206"/>
    </row>
    <row r="370" spans="10:14" x14ac:dyDescent="0.2">
      <c r="J370" s="206"/>
      <c r="N370" s="206"/>
    </row>
    <row r="371" spans="10:14" x14ac:dyDescent="0.2">
      <c r="J371" s="206"/>
      <c r="N371" s="206"/>
    </row>
    <row r="372" spans="10:14" x14ac:dyDescent="0.2">
      <c r="J372" s="206"/>
      <c r="N372" s="206"/>
    </row>
    <row r="373" spans="10:14" x14ac:dyDescent="0.2">
      <c r="J373" s="206"/>
      <c r="N373" s="206"/>
    </row>
    <row r="374" spans="10:14" x14ac:dyDescent="0.2">
      <c r="J374" s="206"/>
      <c r="N374" s="206"/>
    </row>
    <row r="375" spans="10:14" x14ac:dyDescent="0.2">
      <c r="J375" s="206"/>
      <c r="N375" s="206"/>
    </row>
    <row r="376" spans="10:14" x14ac:dyDescent="0.2">
      <c r="J376" s="206"/>
      <c r="N376" s="206"/>
    </row>
    <row r="377" spans="10:14" x14ac:dyDescent="0.2">
      <c r="J377" s="206"/>
      <c r="N377" s="206"/>
    </row>
    <row r="378" spans="10:14" x14ac:dyDescent="0.2">
      <c r="J378" s="206"/>
      <c r="N378" s="206"/>
    </row>
    <row r="379" spans="10:14" x14ac:dyDescent="0.2">
      <c r="J379" s="206"/>
      <c r="N379" s="206"/>
    </row>
    <row r="380" spans="10:14" x14ac:dyDescent="0.2">
      <c r="J380" s="206"/>
      <c r="N380" s="206"/>
    </row>
    <row r="381" spans="10:14" x14ac:dyDescent="0.2">
      <c r="J381" s="206"/>
      <c r="N381" s="206"/>
    </row>
    <row r="382" spans="10:14" x14ac:dyDescent="0.2">
      <c r="J382" s="206"/>
      <c r="N382" s="206"/>
    </row>
    <row r="383" spans="10:14" x14ac:dyDescent="0.2">
      <c r="J383" s="206"/>
      <c r="N383" s="206"/>
    </row>
    <row r="384" spans="10:14" x14ac:dyDescent="0.2">
      <c r="J384" s="206"/>
      <c r="N384" s="206"/>
    </row>
    <row r="385" spans="10:14" x14ac:dyDescent="0.2">
      <c r="J385" s="206"/>
      <c r="N385" s="206"/>
    </row>
    <row r="386" spans="10:14" x14ac:dyDescent="0.2">
      <c r="J386" s="206"/>
      <c r="N386" s="206"/>
    </row>
    <row r="387" spans="10:14" x14ac:dyDescent="0.2">
      <c r="J387" s="206"/>
      <c r="N387" s="206"/>
    </row>
    <row r="388" spans="10:14" x14ac:dyDescent="0.2">
      <c r="J388" s="206"/>
      <c r="N388" s="206"/>
    </row>
    <row r="389" spans="10:14" x14ac:dyDescent="0.2">
      <c r="J389" s="206"/>
      <c r="N389" s="206"/>
    </row>
    <row r="390" spans="10:14" x14ac:dyDescent="0.2">
      <c r="J390" s="206"/>
      <c r="N390" s="206"/>
    </row>
    <row r="391" spans="10:14" x14ac:dyDescent="0.2">
      <c r="J391" s="206"/>
      <c r="N391" s="206"/>
    </row>
    <row r="392" spans="10:14" x14ac:dyDescent="0.2">
      <c r="J392" s="206"/>
      <c r="N392" s="206"/>
    </row>
    <row r="393" spans="10:14" x14ac:dyDescent="0.2">
      <c r="J393" s="206"/>
      <c r="N393" s="206"/>
    </row>
    <row r="394" spans="10:14" x14ac:dyDescent="0.2">
      <c r="J394" s="206"/>
      <c r="N394" s="206"/>
    </row>
    <row r="395" spans="10:14" x14ac:dyDescent="0.2">
      <c r="J395" s="206"/>
      <c r="N395" s="206"/>
    </row>
    <row r="396" spans="10:14" x14ac:dyDescent="0.2">
      <c r="J396" s="206"/>
      <c r="N396" s="206"/>
    </row>
    <row r="397" spans="10:14" x14ac:dyDescent="0.2">
      <c r="J397" s="206"/>
      <c r="N397" s="206"/>
    </row>
    <row r="398" spans="10:14" x14ac:dyDescent="0.2">
      <c r="J398" s="206"/>
      <c r="N398" s="206"/>
    </row>
    <row r="399" spans="10:14" x14ac:dyDescent="0.2">
      <c r="J399" s="206"/>
      <c r="N399" s="206"/>
    </row>
    <row r="400" spans="10:14" x14ac:dyDescent="0.2">
      <c r="J400" s="206"/>
      <c r="N400" s="206"/>
    </row>
    <row r="401" spans="10:14" x14ac:dyDescent="0.2">
      <c r="J401" s="206"/>
      <c r="N401" s="206"/>
    </row>
    <row r="402" spans="10:14" x14ac:dyDescent="0.2">
      <c r="J402" s="206"/>
      <c r="N402" s="206"/>
    </row>
    <row r="403" spans="10:14" x14ac:dyDescent="0.2">
      <c r="J403" s="206"/>
      <c r="N403" s="206"/>
    </row>
    <row r="404" spans="10:14" x14ac:dyDescent="0.2">
      <c r="J404" s="206"/>
      <c r="N404" s="206"/>
    </row>
    <row r="405" spans="10:14" x14ac:dyDescent="0.2">
      <c r="J405" s="206"/>
      <c r="N405" s="206"/>
    </row>
    <row r="406" spans="10:14" x14ac:dyDescent="0.2">
      <c r="J406" s="206"/>
      <c r="N406" s="206"/>
    </row>
    <row r="407" spans="10:14" x14ac:dyDescent="0.2">
      <c r="J407" s="206"/>
      <c r="N407" s="206"/>
    </row>
    <row r="408" spans="10:14" x14ac:dyDescent="0.2">
      <c r="J408" s="206"/>
      <c r="N408" s="206"/>
    </row>
    <row r="409" spans="10:14" x14ac:dyDescent="0.2">
      <c r="J409" s="206"/>
      <c r="N409" s="206"/>
    </row>
    <row r="410" spans="10:14" x14ac:dyDescent="0.2">
      <c r="J410" s="206"/>
      <c r="N410" s="206"/>
    </row>
    <row r="411" spans="10:14" x14ac:dyDescent="0.2">
      <c r="J411" s="206"/>
      <c r="N411" s="206"/>
    </row>
    <row r="412" spans="10:14" x14ac:dyDescent="0.2">
      <c r="J412" s="206"/>
      <c r="N412" s="206"/>
    </row>
    <row r="413" spans="10:14" x14ac:dyDescent="0.2">
      <c r="J413" s="206"/>
      <c r="N413" s="206"/>
    </row>
    <row r="414" spans="10:14" x14ac:dyDescent="0.2">
      <c r="J414" s="206"/>
      <c r="N414" s="206"/>
    </row>
    <row r="415" spans="10:14" x14ac:dyDescent="0.2">
      <c r="J415" s="206"/>
      <c r="N415" s="206"/>
    </row>
    <row r="416" spans="10:14" x14ac:dyDescent="0.2">
      <c r="J416" s="206"/>
      <c r="N416" s="206"/>
    </row>
    <row r="417" spans="10:14" x14ac:dyDescent="0.2">
      <c r="J417" s="206"/>
      <c r="N417" s="206"/>
    </row>
    <row r="418" spans="10:14" x14ac:dyDescent="0.2">
      <c r="J418" s="206"/>
      <c r="N418" s="206"/>
    </row>
    <row r="419" spans="10:14" x14ac:dyDescent="0.2">
      <c r="J419" s="206"/>
      <c r="N419" s="206"/>
    </row>
    <row r="420" spans="10:14" x14ac:dyDescent="0.2">
      <c r="J420" s="206"/>
      <c r="N420" s="206"/>
    </row>
    <row r="421" spans="10:14" x14ac:dyDescent="0.2">
      <c r="J421" s="206"/>
      <c r="N421" s="206"/>
    </row>
    <row r="422" spans="10:14" x14ac:dyDescent="0.2">
      <c r="J422" s="206"/>
      <c r="N422" s="206"/>
    </row>
    <row r="423" spans="10:14" x14ac:dyDescent="0.2">
      <c r="J423" s="206"/>
      <c r="N423" s="206"/>
    </row>
    <row r="424" spans="10:14" x14ac:dyDescent="0.2">
      <c r="J424" s="206"/>
      <c r="N424" s="206"/>
    </row>
    <row r="425" spans="10:14" x14ac:dyDescent="0.2">
      <c r="J425" s="206"/>
      <c r="N425" s="206"/>
    </row>
    <row r="426" spans="10:14" x14ac:dyDescent="0.2">
      <c r="J426" s="206"/>
      <c r="N426" s="206"/>
    </row>
    <row r="427" spans="10:14" x14ac:dyDescent="0.2">
      <c r="J427" s="206"/>
      <c r="N427" s="206"/>
    </row>
    <row r="428" spans="10:14" x14ac:dyDescent="0.2">
      <c r="J428" s="206"/>
      <c r="N428" s="206"/>
    </row>
    <row r="429" spans="10:14" x14ac:dyDescent="0.2">
      <c r="J429" s="206"/>
      <c r="N429" s="206"/>
    </row>
    <row r="430" spans="10:14" x14ac:dyDescent="0.2">
      <c r="J430" s="206"/>
      <c r="N430" s="206"/>
    </row>
    <row r="431" spans="10:14" x14ac:dyDescent="0.2">
      <c r="J431" s="206"/>
      <c r="N431" s="206"/>
    </row>
    <row r="432" spans="10:14" x14ac:dyDescent="0.2">
      <c r="J432" s="206"/>
      <c r="N432" s="206"/>
    </row>
    <row r="433" spans="10:14" x14ac:dyDescent="0.2">
      <c r="J433" s="206"/>
      <c r="N433" s="206"/>
    </row>
    <row r="434" spans="10:14" x14ac:dyDescent="0.2">
      <c r="J434" s="206"/>
      <c r="N434" s="206"/>
    </row>
    <row r="435" spans="10:14" x14ac:dyDescent="0.2">
      <c r="J435" s="206"/>
      <c r="N435" s="206"/>
    </row>
    <row r="436" spans="10:14" x14ac:dyDescent="0.2">
      <c r="J436" s="206"/>
      <c r="N436" s="206"/>
    </row>
    <row r="437" spans="10:14" x14ac:dyDescent="0.2">
      <c r="J437" s="206"/>
      <c r="N437" s="206"/>
    </row>
    <row r="438" spans="10:14" x14ac:dyDescent="0.2">
      <c r="J438" s="206"/>
      <c r="N438" s="206"/>
    </row>
    <row r="439" spans="10:14" x14ac:dyDescent="0.2">
      <c r="J439" s="206"/>
      <c r="N439" s="206"/>
    </row>
    <row r="440" spans="10:14" x14ac:dyDescent="0.2">
      <c r="J440" s="206"/>
      <c r="N440" s="206"/>
    </row>
    <row r="441" spans="10:14" x14ac:dyDescent="0.2">
      <c r="J441" s="206"/>
      <c r="N441" s="206"/>
    </row>
    <row r="442" spans="10:14" x14ac:dyDescent="0.2">
      <c r="J442" s="206"/>
      <c r="N442" s="206"/>
    </row>
    <row r="443" spans="10:14" x14ac:dyDescent="0.2">
      <c r="J443" s="206"/>
      <c r="N443" s="206"/>
    </row>
    <row r="444" spans="10:14" x14ac:dyDescent="0.2">
      <c r="J444" s="206"/>
      <c r="N444" s="206"/>
    </row>
    <row r="445" spans="10:14" x14ac:dyDescent="0.2">
      <c r="J445" s="206"/>
      <c r="N445" s="206"/>
    </row>
    <row r="446" spans="10:14" x14ac:dyDescent="0.2">
      <c r="J446" s="206"/>
      <c r="N446" s="206"/>
    </row>
    <row r="447" spans="10:14" x14ac:dyDescent="0.2">
      <c r="J447" s="206"/>
      <c r="N447" s="206"/>
    </row>
    <row r="448" spans="10:14" x14ac:dyDescent="0.2">
      <c r="J448" s="206"/>
      <c r="N448" s="206"/>
    </row>
    <row r="449" spans="10:14" x14ac:dyDescent="0.2">
      <c r="J449" s="206"/>
      <c r="N449" s="206"/>
    </row>
    <row r="450" spans="10:14" x14ac:dyDescent="0.2">
      <c r="J450" s="206"/>
      <c r="N450" s="206"/>
    </row>
    <row r="451" spans="10:14" x14ac:dyDescent="0.2">
      <c r="J451" s="206"/>
      <c r="N451" s="206"/>
    </row>
    <row r="452" spans="10:14" x14ac:dyDescent="0.2">
      <c r="J452" s="206"/>
      <c r="N452" s="206"/>
    </row>
    <row r="453" spans="10:14" x14ac:dyDescent="0.2">
      <c r="J453" s="206"/>
      <c r="N453" s="206"/>
    </row>
    <row r="454" spans="10:14" x14ac:dyDescent="0.2">
      <c r="J454" s="206"/>
      <c r="N454" s="206"/>
    </row>
    <row r="455" spans="10:14" x14ac:dyDescent="0.2">
      <c r="J455" s="206"/>
      <c r="N455" s="206"/>
    </row>
    <row r="456" spans="10:14" x14ac:dyDescent="0.2">
      <c r="J456" s="206"/>
      <c r="N456" s="206"/>
    </row>
    <row r="457" spans="10:14" x14ac:dyDescent="0.2">
      <c r="J457" s="206"/>
      <c r="N457" s="206"/>
    </row>
    <row r="458" spans="10:14" x14ac:dyDescent="0.2">
      <c r="J458" s="206"/>
      <c r="N458" s="206"/>
    </row>
    <row r="459" spans="10:14" x14ac:dyDescent="0.2">
      <c r="J459" s="206"/>
      <c r="N459" s="206"/>
    </row>
    <row r="460" spans="10:14" x14ac:dyDescent="0.2">
      <c r="J460" s="206"/>
      <c r="N460" s="206"/>
    </row>
    <row r="461" spans="10:14" x14ac:dyDescent="0.2">
      <c r="J461" s="206"/>
      <c r="N461" s="206"/>
    </row>
    <row r="462" spans="10:14" x14ac:dyDescent="0.2">
      <c r="J462" s="206"/>
      <c r="N462" s="206"/>
    </row>
    <row r="463" spans="10:14" x14ac:dyDescent="0.2">
      <c r="J463" s="206"/>
      <c r="N463" s="206"/>
    </row>
    <row r="464" spans="10:14" x14ac:dyDescent="0.2">
      <c r="J464" s="206"/>
      <c r="N464" s="206"/>
    </row>
    <row r="465" spans="10:14" x14ac:dyDescent="0.2">
      <c r="J465" s="206"/>
      <c r="N465" s="206"/>
    </row>
    <row r="466" spans="10:14" x14ac:dyDescent="0.2">
      <c r="J466" s="206"/>
      <c r="N466" s="206"/>
    </row>
    <row r="467" spans="10:14" x14ac:dyDescent="0.2">
      <c r="J467" s="206"/>
      <c r="N467" s="206"/>
    </row>
    <row r="468" spans="10:14" x14ac:dyDescent="0.2">
      <c r="J468" s="206"/>
      <c r="N468" s="206"/>
    </row>
    <row r="469" spans="10:14" x14ac:dyDescent="0.2">
      <c r="J469" s="206"/>
      <c r="N469" s="206"/>
    </row>
    <row r="470" spans="10:14" x14ac:dyDescent="0.2">
      <c r="J470" s="206"/>
      <c r="N470" s="206"/>
    </row>
    <row r="471" spans="10:14" x14ac:dyDescent="0.2">
      <c r="J471" s="206"/>
      <c r="N471" s="206"/>
    </row>
    <row r="472" spans="10:14" x14ac:dyDescent="0.2">
      <c r="J472" s="206"/>
      <c r="N472" s="206"/>
    </row>
    <row r="473" spans="10:14" x14ac:dyDescent="0.2">
      <c r="J473" s="206"/>
      <c r="N473" s="206"/>
    </row>
    <row r="474" spans="10:14" x14ac:dyDescent="0.2">
      <c r="J474" s="206"/>
      <c r="N474" s="206"/>
    </row>
    <row r="475" spans="10:14" x14ac:dyDescent="0.2">
      <c r="J475" s="206"/>
      <c r="N475" s="206"/>
    </row>
    <row r="476" spans="10:14" x14ac:dyDescent="0.2">
      <c r="J476" s="206"/>
      <c r="N476" s="206"/>
    </row>
    <row r="477" spans="10:14" x14ac:dyDescent="0.2">
      <c r="J477" s="206"/>
      <c r="N477" s="206"/>
    </row>
    <row r="478" spans="10:14" x14ac:dyDescent="0.2">
      <c r="J478" s="206"/>
      <c r="N478" s="206"/>
    </row>
    <row r="479" spans="10:14" x14ac:dyDescent="0.2">
      <c r="J479" s="206"/>
      <c r="N479" s="206"/>
    </row>
    <row r="480" spans="10:14" x14ac:dyDescent="0.2">
      <c r="J480" s="206"/>
      <c r="N480" s="206"/>
    </row>
    <row r="481" spans="10:14" x14ac:dyDescent="0.2">
      <c r="J481" s="206"/>
      <c r="N481" s="206"/>
    </row>
    <row r="482" spans="10:14" x14ac:dyDescent="0.2">
      <c r="J482" s="206"/>
      <c r="N482" s="206"/>
    </row>
    <row r="483" spans="10:14" x14ac:dyDescent="0.2">
      <c r="J483" s="206"/>
      <c r="N483" s="206"/>
    </row>
    <row r="484" spans="10:14" x14ac:dyDescent="0.2">
      <c r="J484" s="206"/>
      <c r="N484" s="206"/>
    </row>
    <row r="485" spans="10:14" x14ac:dyDescent="0.2">
      <c r="J485" s="206"/>
      <c r="N485" s="206"/>
    </row>
    <row r="486" spans="10:14" x14ac:dyDescent="0.2">
      <c r="J486" s="206"/>
      <c r="N486" s="206"/>
    </row>
    <row r="487" spans="10:14" x14ac:dyDescent="0.2">
      <c r="J487" s="206"/>
      <c r="N487" s="206"/>
    </row>
    <row r="488" spans="10:14" x14ac:dyDescent="0.2">
      <c r="J488" s="206"/>
      <c r="N488" s="206"/>
    </row>
    <row r="489" spans="10:14" x14ac:dyDescent="0.2">
      <c r="J489" s="206"/>
      <c r="N489" s="206"/>
    </row>
    <row r="490" spans="10:14" x14ac:dyDescent="0.2">
      <c r="J490" s="206"/>
      <c r="N490" s="206"/>
    </row>
    <row r="491" spans="10:14" x14ac:dyDescent="0.2">
      <c r="J491" s="206"/>
      <c r="N491" s="206"/>
    </row>
    <row r="492" spans="10:14" x14ac:dyDescent="0.2">
      <c r="J492" s="206"/>
      <c r="N492" s="206"/>
    </row>
    <row r="493" spans="10:14" x14ac:dyDescent="0.2">
      <c r="J493" s="206"/>
      <c r="N493" s="206"/>
    </row>
    <row r="494" spans="10:14" x14ac:dyDescent="0.2">
      <c r="J494" s="206"/>
      <c r="N494" s="206"/>
    </row>
    <row r="495" spans="10:14" x14ac:dyDescent="0.2">
      <c r="J495" s="206"/>
      <c r="N495" s="206"/>
    </row>
    <row r="496" spans="10:14" x14ac:dyDescent="0.2">
      <c r="J496" s="206"/>
      <c r="N496" s="206"/>
    </row>
    <row r="497" spans="10:14" x14ac:dyDescent="0.2">
      <c r="J497" s="206"/>
      <c r="N497" s="206"/>
    </row>
    <row r="498" spans="10:14" x14ac:dyDescent="0.2">
      <c r="J498" s="206"/>
      <c r="N498" s="206"/>
    </row>
    <row r="499" spans="10:14" x14ac:dyDescent="0.2">
      <c r="J499" s="206"/>
      <c r="N499" s="206"/>
    </row>
    <row r="500" spans="10:14" x14ac:dyDescent="0.2">
      <c r="J500" s="206"/>
      <c r="N500" s="206"/>
    </row>
    <row r="501" spans="10:14" x14ac:dyDescent="0.2">
      <c r="J501" s="206"/>
      <c r="N501" s="206"/>
    </row>
    <row r="502" spans="10:14" x14ac:dyDescent="0.2">
      <c r="J502" s="206"/>
      <c r="N502" s="206"/>
    </row>
    <row r="503" spans="10:14" x14ac:dyDescent="0.2">
      <c r="J503" s="206"/>
      <c r="N503" s="206"/>
    </row>
    <row r="504" spans="10:14" x14ac:dyDescent="0.2">
      <c r="J504" s="206"/>
      <c r="N504" s="206"/>
    </row>
    <row r="505" spans="10:14" x14ac:dyDescent="0.2">
      <c r="J505" s="206"/>
      <c r="N505" s="206"/>
    </row>
    <row r="506" spans="10:14" x14ac:dyDescent="0.2">
      <c r="J506" s="206"/>
      <c r="N506" s="206"/>
    </row>
    <row r="507" spans="10:14" x14ac:dyDescent="0.2">
      <c r="J507" s="206"/>
      <c r="N507" s="206"/>
    </row>
    <row r="508" spans="10:14" x14ac:dyDescent="0.2">
      <c r="J508" s="206"/>
      <c r="N508" s="206"/>
    </row>
    <row r="509" spans="10:14" x14ac:dyDescent="0.2">
      <c r="J509" s="206"/>
      <c r="N509" s="206"/>
    </row>
    <row r="510" spans="10:14" x14ac:dyDescent="0.2">
      <c r="J510" s="206"/>
      <c r="N510" s="206"/>
    </row>
    <row r="511" spans="10:14" x14ac:dyDescent="0.2">
      <c r="J511" s="206"/>
      <c r="N511" s="206"/>
    </row>
    <row r="512" spans="10:14" x14ac:dyDescent="0.2">
      <c r="J512" s="206"/>
      <c r="N512" s="206"/>
    </row>
    <row r="513" spans="10:14" x14ac:dyDescent="0.2">
      <c r="J513" s="206"/>
      <c r="N513" s="206"/>
    </row>
    <row r="514" spans="10:14" x14ac:dyDescent="0.2">
      <c r="J514" s="206"/>
      <c r="N514" s="206"/>
    </row>
    <row r="515" spans="10:14" x14ac:dyDescent="0.2">
      <c r="J515" s="206"/>
      <c r="N515" s="206"/>
    </row>
    <row r="516" spans="10:14" x14ac:dyDescent="0.2">
      <c r="J516" s="206"/>
      <c r="N516" s="206"/>
    </row>
    <row r="517" spans="10:14" x14ac:dyDescent="0.2">
      <c r="J517" s="206"/>
      <c r="N517" s="206"/>
    </row>
    <row r="518" spans="10:14" x14ac:dyDescent="0.2">
      <c r="J518" s="206"/>
      <c r="N518" s="206"/>
    </row>
    <row r="519" spans="10:14" x14ac:dyDescent="0.2">
      <c r="J519" s="206"/>
      <c r="N519" s="206"/>
    </row>
    <row r="520" spans="10:14" x14ac:dyDescent="0.2">
      <c r="J520" s="206"/>
      <c r="N520" s="206"/>
    </row>
    <row r="521" spans="10:14" x14ac:dyDescent="0.2">
      <c r="J521" s="206"/>
      <c r="N521" s="206"/>
    </row>
    <row r="522" spans="10:14" x14ac:dyDescent="0.2">
      <c r="J522" s="206"/>
      <c r="N522" s="206"/>
    </row>
    <row r="523" spans="10:14" x14ac:dyDescent="0.2">
      <c r="J523" s="206"/>
      <c r="N523" s="206"/>
    </row>
    <row r="524" spans="10:14" x14ac:dyDescent="0.2">
      <c r="J524" s="206"/>
      <c r="N524" s="206"/>
    </row>
    <row r="525" spans="10:14" x14ac:dyDescent="0.2">
      <c r="J525" s="206"/>
      <c r="N525" s="206"/>
    </row>
    <row r="526" spans="10:14" x14ac:dyDescent="0.2">
      <c r="J526" s="206"/>
      <c r="N526" s="206"/>
    </row>
    <row r="527" spans="10:14" x14ac:dyDescent="0.2">
      <c r="J527" s="206"/>
      <c r="N527" s="206"/>
    </row>
    <row r="528" spans="10:14" x14ac:dyDescent="0.2">
      <c r="J528" s="206"/>
      <c r="N528" s="206"/>
    </row>
    <row r="529" spans="10:14" x14ac:dyDescent="0.2">
      <c r="J529" s="206"/>
      <c r="N529" s="206"/>
    </row>
    <row r="530" spans="10:14" x14ac:dyDescent="0.2">
      <c r="J530" s="206"/>
      <c r="N530" s="206"/>
    </row>
    <row r="531" spans="10:14" x14ac:dyDescent="0.2">
      <c r="J531" s="206"/>
      <c r="N531" s="206"/>
    </row>
    <row r="532" spans="10:14" x14ac:dyDescent="0.2">
      <c r="J532" s="206"/>
      <c r="N532" s="206"/>
    </row>
    <row r="533" spans="10:14" x14ac:dyDescent="0.2">
      <c r="J533" s="206"/>
      <c r="N533" s="206"/>
    </row>
    <row r="534" spans="10:14" x14ac:dyDescent="0.2">
      <c r="J534" s="206"/>
      <c r="N534" s="206"/>
    </row>
    <row r="535" spans="10:14" x14ac:dyDescent="0.2">
      <c r="J535" s="206"/>
      <c r="N535" s="206"/>
    </row>
    <row r="536" spans="10:14" x14ac:dyDescent="0.2">
      <c r="J536" s="206"/>
      <c r="N536" s="206"/>
    </row>
    <row r="537" spans="10:14" x14ac:dyDescent="0.2">
      <c r="J537" s="206"/>
      <c r="N537" s="206"/>
    </row>
    <row r="538" spans="10:14" x14ac:dyDescent="0.2">
      <c r="J538" s="206"/>
      <c r="N538" s="206"/>
    </row>
    <row r="539" spans="10:14" x14ac:dyDescent="0.2">
      <c r="J539" s="206"/>
      <c r="N539" s="206"/>
    </row>
    <row r="540" spans="10:14" x14ac:dyDescent="0.2">
      <c r="J540" s="206"/>
      <c r="N540" s="206"/>
    </row>
    <row r="541" spans="10:14" x14ac:dyDescent="0.2">
      <c r="J541" s="206"/>
      <c r="N541" s="206"/>
    </row>
    <row r="542" spans="10:14" x14ac:dyDescent="0.2">
      <c r="J542" s="206"/>
      <c r="N542" s="206"/>
    </row>
    <row r="543" spans="10:14" x14ac:dyDescent="0.2">
      <c r="J543" s="206"/>
      <c r="N543" s="206"/>
    </row>
    <row r="544" spans="10:14" x14ac:dyDescent="0.2">
      <c r="J544" s="206"/>
      <c r="N544" s="206"/>
    </row>
    <row r="545" spans="10:14" x14ac:dyDescent="0.2">
      <c r="J545" s="206"/>
      <c r="N545" s="206"/>
    </row>
    <row r="546" spans="10:14" x14ac:dyDescent="0.2">
      <c r="J546" s="206"/>
      <c r="N546" s="206"/>
    </row>
    <row r="547" spans="10:14" x14ac:dyDescent="0.2">
      <c r="J547" s="206"/>
      <c r="N547" s="206"/>
    </row>
    <row r="548" spans="10:14" x14ac:dyDescent="0.2">
      <c r="J548" s="206"/>
      <c r="N548" s="206"/>
    </row>
    <row r="549" spans="10:14" x14ac:dyDescent="0.2">
      <c r="J549" s="206"/>
      <c r="N549" s="206"/>
    </row>
    <row r="550" spans="10:14" x14ac:dyDescent="0.2">
      <c r="J550" s="206"/>
      <c r="N550" s="206"/>
    </row>
    <row r="551" spans="10:14" x14ac:dyDescent="0.2">
      <c r="J551" s="206"/>
      <c r="N551" s="206"/>
    </row>
    <row r="552" spans="10:14" x14ac:dyDescent="0.2">
      <c r="J552" s="206"/>
      <c r="N552" s="206"/>
    </row>
    <row r="553" spans="10:14" x14ac:dyDescent="0.2">
      <c r="J553" s="206"/>
      <c r="N553" s="206"/>
    </row>
    <row r="554" spans="10:14" x14ac:dyDescent="0.2">
      <c r="J554" s="206"/>
      <c r="N554" s="206"/>
    </row>
    <row r="555" spans="10:14" x14ac:dyDescent="0.2">
      <c r="J555" s="206"/>
      <c r="N555" s="206"/>
    </row>
    <row r="556" spans="10:14" x14ac:dyDescent="0.2">
      <c r="J556" s="206"/>
      <c r="N556" s="206"/>
    </row>
    <row r="557" spans="10:14" x14ac:dyDescent="0.2">
      <c r="J557" s="206"/>
      <c r="N557" s="206"/>
    </row>
    <row r="558" spans="10:14" x14ac:dyDescent="0.2">
      <c r="J558" s="206"/>
      <c r="N558" s="206"/>
    </row>
    <row r="559" spans="10:14" x14ac:dyDescent="0.2">
      <c r="J559" s="206"/>
      <c r="N559" s="206"/>
    </row>
    <row r="560" spans="10:14" x14ac:dyDescent="0.2">
      <c r="J560" s="206"/>
      <c r="N560" s="206"/>
    </row>
    <row r="561" spans="10:14" x14ac:dyDescent="0.2">
      <c r="J561" s="206"/>
      <c r="N561" s="206"/>
    </row>
    <row r="562" spans="10:14" x14ac:dyDescent="0.2">
      <c r="J562" s="206"/>
      <c r="N562" s="206"/>
    </row>
    <row r="563" spans="10:14" x14ac:dyDescent="0.2">
      <c r="J563" s="206"/>
      <c r="N563" s="206"/>
    </row>
    <row r="564" spans="10:14" x14ac:dyDescent="0.2">
      <c r="J564" s="206"/>
      <c r="N564" s="206"/>
    </row>
    <row r="565" spans="10:14" x14ac:dyDescent="0.2">
      <c r="J565" s="206"/>
      <c r="N565" s="206"/>
    </row>
    <row r="566" spans="10:14" x14ac:dyDescent="0.2">
      <c r="J566" s="206"/>
      <c r="N566" s="206"/>
    </row>
    <row r="567" spans="10:14" x14ac:dyDescent="0.2">
      <c r="J567" s="206"/>
      <c r="N567" s="206"/>
    </row>
    <row r="568" spans="10:14" x14ac:dyDescent="0.2">
      <c r="J568" s="206"/>
      <c r="N568" s="206"/>
    </row>
    <row r="569" spans="10:14" x14ac:dyDescent="0.2">
      <c r="J569" s="206"/>
      <c r="N569" s="206"/>
    </row>
    <row r="570" spans="10:14" x14ac:dyDescent="0.2">
      <c r="J570" s="206"/>
      <c r="N570" s="206"/>
    </row>
    <row r="571" spans="10:14" x14ac:dyDescent="0.2">
      <c r="J571" s="206"/>
      <c r="N571" s="206"/>
    </row>
    <row r="572" spans="10:14" x14ac:dyDescent="0.2">
      <c r="J572" s="206"/>
      <c r="N572" s="206"/>
    </row>
    <row r="573" spans="10:14" x14ac:dyDescent="0.2">
      <c r="J573" s="206"/>
      <c r="N573" s="206"/>
    </row>
    <row r="574" spans="10:14" x14ac:dyDescent="0.2">
      <c r="J574" s="206"/>
      <c r="N574" s="206"/>
    </row>
    <row r="575" spans="10:14" x14ac:dyDescent="0.2">
      <c r="J575" s="206"/>
      <c r="N575" s="206"/>
    </row>
    <row r="576" spans="10:14" x14ac:dyDescent="0.2">
      <c r="J576" s="206"/>
      <c r="N576" s="206"/>
    </row>
    <row r="577" spans="10:14" x14ac:dyDescent="0.2">
      <c r="J577" s="206"/>
      <c r="N577" s="206"/>
    </row>
    <row r="578" spans="10:14" x14ac:dyDescent="0.2">
      <c r="J578" s="206"/>
      <c r="N578" s="206"/>
    </row>
    <row r="579" spans="10:14" x14ac:dyDescent="0.2">
      <c r="J579" s="206"/>
      <c r="N579" s="206"/>
    </row>
    <row r="580" spans="10:14" x14ac:dyDescent="0.2">
      <c r="J580" s="206"/>
      <c r="N580" s="206"/>
    </row>
    <row r="581" spans="10:14" x14ac:dyDescent="0.2">
      <c r="J581" s="206"/>
      <c r="N581" s="206"/>
    </row>
    <row r="582" spans="10:14" x14ac:dyDescent="0.2">
      <c r="J582" s="206"/>
      <c r="N582" s="206"/>
    </row>
    <row r="583" spans="10:14" x14ac:dyDescent="0.2">
      <c r="J583" s="206"/>
      <c r="N583" s="206"/>
    </row>
    <row r="584" spans="10:14" x14ac:dyDescent="0.2">
      <c r="J584" s="206"/>
      <c r="N584" s="206"/>
    </row>
    <row r="585" spans="10:14" x14ac:dyDescent="0.2">
      <c r="J585" s="206"/>
      <c r="N585" s="206"/>
    </row>
    <row r="586" spans="10:14" x14ac:dyDescent="0.2">
      <c r="J586" s="206"/>
      <c r="N586" s="206"/>
    </row>
    <row r="587" spans="10:14" x14ac:dyDescent="0.2">
      <c r="J587" s="206"/>
      <c r="N587" s="206"/>
    </row>
    <row r="588" spans="10:14" x14ac:dyDescent="0.2">
      <c r="J588" s="206"/>
      <c r="N588" s="206"/>
    </row>
    <row r="589" spans="10:14" x14ac:dyDescent="0.2">
      <c r="J589" s="206"/>
      <c r="N589" s="206"/>
    </row>
    <row r="590" spans="10:14" x14ac:dyDescent="0.2">
      <c r="J590" s="206"/>
      <c r="N590" s="206"/>
    </row>
    <row r="591" spans="10:14" x14ac:dyDescent="0.2">
      <c r="J591" s="206"/>
      <c r="N591" s="206"/>
    </row>
    <row r="592" spans="10:14" x14ac:dyDescent="0.2">
      <c r="J592" s="206"/>
      <c r="N592" s="206"/>
    </row>
    <row r="593" spans="10:14" x14ac:dyDescent="0.2">
      <c r="J593" s="206"/>
      <c r="N593" s="206"/>
    </row>
    <row r="594" spans="10:14" x14ac:dyDescent="0.2">
      <c r="J594" s="206"/>
      <c r="N594" s="206"/>
    </row>
    <row r="595" spans="10:14" x14ac:dyDescent="0.2">
      <c r="J595" s="206"/>
      <c r="N595" s="206"/>
    </row>
    <row r="596" spans="10:14" x14ac:dyDescent="0.2">
      <c r="J596" s="206"/>
      <c r="N596" s="206"/>
    </row>
    <row r="597" spans="10:14" x14ac:dyDescent="0.2">
      <c r="J597" s="206"/>
      <c r="N597" s="206"/>
    </row>
    <row r="598" spans="10:14" x14ac:dyDescent="0.2">
      <c r="J598" s="206"/>
      <c r="N598" s="206"/>
    </row>
    <row r="599" spans="10:14" x14ac:dyDescent="0.2">
      <c r="J599" s="206"/>
      <c r="N599" s="206"/>
    </row>
    <row r="600" spans="10:14" x14ac:dyDescent="0.2">
      <c r="J600" s="206"/>
      <c r="N600" s="206"/>
    </row>
    <row r="601" spans="10:14" x14ac:dyDescent="0.2">
      <c r="J601" s="206"/>
      <c r="N601" s="206"/>
    </row>
    <row r="602" spans="10:14" x14ac:dyDescent="0.2">
      <c r="J602" s="206"/>
      <c r="N602" s="206"/>
    </row>
    <row r="603" spans="10:14" x14ac:dyDescent="0.2">
      <c r="J603" s="206"/>
      <c r="N603" s="206"/>
    </row>
    <row r="604" spans="10:14" x14ac:dyDescent="0.2">
      <c r="J604" s="206"/>
      <c r="N604" s="206"/>
    </row>
    <row r="605" spans="10:14" x14ac:dyDescent="0.2">
      <c r="J605" s="206"/>
      <c r="N605" s="206"/>
    </row>
    <row r="606" spans="10:14" x14ac:dyDescent="0.2">
      <c r="J606" s="206"/>
      <c r="N606" s="206"/>
    </row>
    <row r="607" spans="10:14" x14ac:dyDescent="0.2">
      <c r="J607" s="206"/>
      <c r="N607" s="206"/>
    </row>
    <row r="608" spans="10:14" x14ac:dyDescent="0.2">
      <c r="J608" s="206"/>
      <c r="N608" s="206"/>
    </row>
    <row r="609" spans="10:14" x14ac:dyDescent="0.2">
      <c r="J609" s="206"/>
      <c r="N609" s="206"/>
    </row>
    <row r="610" spans="10:14" x14ac:dyDescent="0.2">
      <c r="J610" s="206"/>
      <c r="N610" s="206"/>
    </row>
    <row r="611" spans="10:14" x14ac:dyDescent="0.2">
      <c r="J611" s="206"/>
      <c r="N611" s="206"/>
    </row>
    <row r="612" spans="10:14" x14ac:dyDescent="0.2">
      <c r="J612" s="206"/>
      <c r="N612" s="206"/>
    </row>
    <row r="613" spans="10:14" x14ac:dyDescent="0.2">
      <c r="J613" s="206"/>
      <c r="N613" s="206"/>
    </row>
    <row r="614" spans="10:14" x14ac:dyDescent="0.2">
      <c r="J614" s="206"/>
      <c r="N614" s="206"/>
    </row>
    <row r="615" spans="10:14" x14ac:dyDescent="0.2">
      <c r="J615" s="206"/>
      <c r="N615" s="206"/>
    </row>
    <row r="616" spans="10:14" x14ac:dyDescent="0.2">
      <c r="J616" s="206"/>
      <c r="N616" s="206"/>
    </row>
    <row r="617" spans="10:14" x14ac:dyDescent="0.2">
      <c r="J617" s="206"/>
      <c r="N617" s="206"/>
    </row>
    <row r="618" spans="10:14" x14ac:dyDescent="0.2">
      <c r="J618" s="206"/>
      <c r="N618" s="206"/>
    </row>
    <row r="619" spans="10:14" x14ac:dyDescent="0.2">
      <c r="J619" s="206"/>
      <c r="N619" s="206"/>
    </row>
    <row r="620" spans="10:14" x14ac:dyDescent="0.2">
      <c r="J620" s="206"/>
      <c r="N620" s="206"/>
    </row>
    <row r="621" spans="10:14" x14ac:dyDescent="0.2">
      <c r="J621" s="206"/>
      <c r="N621" s="206"/>
    </row>
    <row r="622" spans="10:14" x14ac:dyDescent="0.2">
      <c r="J622" s="206"/>
      <c r="N622" s="206"/>
    </row>
    <row r="623" spans="10:14" x14ac:dyDescent="0.2">
      <c r="J623" s="206"/>
      <c r="N623" s="206"/>
    </row>
    <row r="624" spans="10:14" x14ac:dyDescent="0.2">
      <c r="J624" s="206"/>
      <c r="N624" s="206"/>
    </row>
    <row r="625" spans="10:14" x14ac:dyDescent="0.2">
      <c r="J625" s="206"/>
      <c r="N625" s="206"/>
    </row>
    <row r="626" spans="10:14" x14ac:dyDescent="0.2">
      <c r="J626" s="206"/>
      <c r="N626" s="206"/>
    </row>
    <row r="627" spans="10:14" x14ac:dyDescent="0.2">
      <c r="J627" s="206"/>
      <c r="N627" s="206"/>
    </row>
    <row r="628" spans="10:14" x14ac:dyDescent="0.2">
      <c r="J628" s="206"/>
      <c r="N628" s="206"/>
    </row>
    <row r="629" spans="10:14" x14ac:dyDescent="0.2">
      <c r="J629" s="206"/>
      <c r="N629" s="206"/>
    </row>
    <row r="630" spans="10:14" x14ac:dyDescent="0.2">
      <c r="J630" s="206"/>
      <c r="N630" s="206"/>
    </row>
    <row r="631" spans="10:14" x14ac:dyDescent="0.2">
      <c r="J631" s="206"/>
      <c r="N631" s="206"/>
    </row>
    <row r="632" spans="10:14" x14ac:dyDescent="0.2">
      <c r="J632" s="206"/>
      <c r="N632" s="206"/>
    </row>
    <row r="633" spans="10:14" x14ac:dyDescent="0.2">
      <c r="J633" s="206"/>
      <c r="N633" s="206"/>
    </row>
    <row r="634" spans="10:14" x14ac:dyDescent="0.2">
      <c r="J634" s="206"/>
      <c r="N634" s="206"/>
    </row>
    <row r="635" spans="10:14" x14ac:dyDescent="0.2">
      <c r="J635" s="206"/>
      <c r="N635" s="206"/>
    </row>
    <row r="636" spans="10:14" x14ac:dyDescent="0.2">
      <c r="J636" s="206"/>
      <c r="N636" s="206"/>
    </row>
    <row r="637" spans="10:14" x14ac:dyDescent="0.2">
      <c r="J637" s="206"/>
      <c r="N637" s="206"/>
    </row>
    <row r="638" spans="10:14" x14ac:dyDescent="0.2">
      <c r="J638" s="206"/>
      <c r="N638" s="206"/>
    </row>
    <row r="639" spans="10:14" x14ac:dyDescent="0.2">
      <c r="J639" s="206"/>
      <c r="N639" s="206"/>
    </row>
    <row r="640" spans="10:14" x14ac:dyDescent="0.2">
      <c r="J640" s="206"/>
      <c r="N640" s="206"/>
    </row>
    <row r="641" spans="10:14" x14ac:dyDescent="0.2">
      <c r="J641" s="206"/>
      <c r="N641" s="206"/>
    </row>
    <row r="642" spans="10:14" x14ac:dyDescent="0.2">
      <c r="J642" s="206"/>
      <c r="N642" s="206"/>
    </row>
    <row r="643" spans="10:14" x14ac:dyDescent="0.2">
      <c r="J643" s="206"/>
      <c r="N643" s="206"/>
    </row>
    <row r="644" spans="10:14" x14ac:dyDescent="0.2">
      <c r="J644" s="206"/>
      <c r="N644" s="206"/>
    </row>
    <row r="645" spans="10:14" x14ac:dyDescent="0.2">
      <c r="J645" s="206"/>
      <c r="N645" s="206"/>
    </row>
    <row r="646" spans="10:14" x14ac:dyDescent="0.2">
      <c r="J646" s="206"/>
      <c r="N646" s="206"/>
    </row>
    <row r="647" spans="10:14" x14ac:dyDescent="0.2">
      <c r="J647" s="206"/>
      <c r="N647" s="206"/>
    </row>
    <row r="648" spans="10:14" x14ac:dyDescent="0.2">
      <c r="J648" s="206"/>
      <c r="N648" s="206"/>
    </row>
    <row r="649" spans="10:14" x14ac:dyDescent="0.2">
      <c r="J649" s="206"/>
      <c r="N649" s="206"/>
    </row>
    <row r="650" spans="10:14" x14ac:dyDescent="0.2">
      <c r="J650" s="206"/>
      <c r="N650" s="206"/>
    </row>
    <row r="651" spans="10:14" x14ac:dyDescent="0.2">
      <c r="J651" s="206"/>
      <c r="N651" s="206"/>
    </row>
    <row r="652" spans="10:14" x14ac:dyDescent="0.2">
      <c r="J652" s="206"/>
      <c r="N652" s="206"/>
    </row>
    <row r="653" spans="10:14" x14ac:dyDescent="0.2">
      <c r="J653" s="206"/>
      <c r="N653" s="206"/>
    </row>
    <row r="654" spans="10:14" x14ac:dyDescent="0.2">
      <c r="J654" s="206"/>
      <c r="N654" s="206"/>
    </row>
    <row r="655" spans="10:14" x14ac:dyDescent="0.2">
      <c r="J655" s="206"/>
      <c r="N655" s="206"/>
    </row>
    <row r="656" spans="10:14" x14ac:dyDescent="0.2">
      <c r="J656" s="206"/>
      <c r="N656" s="206"/>
    </row>
    <row r="657" spans="10:14" x14ac:dyDescent="0.2">
      <c r="J657" s="206"/>
      <c r="N657" s="206"/>
    </row>
    <row r="658" spans="10:14" x14ac:dyDescent="0.2">
      <c r="J658" s="206"/>
      <c r="N658" s="206"/>
    </row>
    <row r="659" spans="10:14" x14ac:dyDescent="0.2">
      <c r="J659" s="206"/>
      <c r="N659" s="206"/>
    </row>
    <row r="660" spans="10:14" x14ac:dyDescent="0.2">
      <c r="J660" s="206"/>
      <c r="N660" s="206"/>
    </row>
    <row r="661" spans="10:14" x14ac:dyDescent="0.2">
      <c r="J661" s="206"/>
      <c r="N661" s="206"/>
    </row>
    <row r="662" spans="10:14" x14ac:dyDescent="0.2">
      <c r="J662" s="206"/>
      <c r="N662" s="206"/>
    </row>
    <row r="663" spans="10:14" x14ac:dyDescent="0.2">
      <c r="J663" s="206"/>
      <c r="N663" s="206"/>
    </row>
    <row r="664" spans="10:14" x14ac:dyDescent="0.2">
      <c r="J664" s="206"/>
      <c r="N664" s="206"/>
    </row>
    <row r="665" spans="10:14" x14ac:dyDescent="0.2">
      <c r="J665" s="206"/>
      <c r="N665" s="206"/>
    </row>
    <row r="666" spans="10:14" x14ac:dyDescent="0.2">
      <c r="J666" s="206"/>
      <c r="N666" s="206"/>
    </row>
    <row r="667" spans="10:14" x14ac:dyDescent="0.2">
      <c r="J667" s="206"/>
      <c r="N667" s="206"/>
    </row>
    <row r="668" spans="10:14" x14ac:dyDescent="0.2">
      <c r="J668" s="206"/>
      <c r="N668" s="206"/>
    </row>
    <row r="669" spans="10:14" x14ac:dyDescent="0.2">
      <c r="J669" s="206"/>
      <c r="N669" s="206"/>
    </row>
    <row r="670" spans="10:14" x14ac:dyDescent="0.2">
      <c r="J670" s="206"/>
      <c r="N670" s="206"/>
    </row>
    <row r="671" spans="10:14" x14ac:dyDescent="0.2">
      <c r="J671" s="206"/>
      <c r="N671" s="206"/>
    </row>
    <row r="672" spans="10:14" x14ac:dyDescent="0.2">
      <c r="J672" s="206"/>
      <c r="N672" s="206"/>
    </row>
    <row r="673" spans="10:14" x14ac:dyDescent="0.2">
      <c r="J673" s="206"/>
      <c r="N673" s="206"/>
    </row>
    <row r="674" spans="10:14" x14ac:dyDescent="0.2">
      <c r="J674" s="206"/>
      <c r="N674" s="206"/>
    </row>
    <row r="675" spans="10:14" x14ac:dyDescent="0.2">
      <c r="J675" s="206"/>
      <c r="N675" s="206"/>
    </row>
    <row r="676" spans="10:14" x14ac:dyDescent="0.2">
      <c r="J676" s="206"/>
      <c r="N676" s="206"/>
    </row>
    <row r="677" spans="10:14" x14ac:dyDescent="0.2">
      <c r="J677" s="206"/>
      <c r="N677" s="206"/>
    </row>
    <row r="678" spans="10:14" x14ac:dyDescent="0.2">
      <c r="J678" s="206"/>
      <c r="N678" s="206"/>
    </row>
    <row r="679" spans="10:14" x14ac:dyDescent="0.2">
      <c r="J679" s="206"/>
      <c r="N679" s="206"/>
    </row>
    <row r="680" spans="10:14" x14ac:dyDescent="0.2">
      <c r="J680" s="206"/>
      <c r="N680" s="206"/>
    </row>
    <row r="681" spans="10:14" x14ac:dyDescent="0.2">
      <c r="J681" s="206"/>
      <c r="N681" s="206"/>
    </row>
    <row r="682" spans="10:14" x14ac:dyDescent="0.2">
      <c r="J682" s="206"/>
      <c r="N682" s="206"/>
    </row>
    <row r="683" spans="10:14" x14ac:dyDescent="0.2">
      <c r="J683" s="206"/>
      <c r="N683" s="206"/>
    </row>
    <row r="684" spans="10:14" x14ac:dyDescent="0.2">
      <c r="J684" s="206"/>
      <c r="N684" s="206"/>
    </row>
    <row r="685" spans="10:14" x14ac:dyDescent="0.2">
      <c r="J685" s="206"/>
      <c r="N685" s="206"/>
    </row>
    <row r="686" spans="10:14" x14ac:dyDescent="0.2">
      <c r="J686" s="206"/>
      <c r="N686" s="206"/>
    </row>
    <row r="687" spans="10:14" x14ac:dyDescent="0.2">
      <c r="J687" s="206"/>
      <c r="N687" s="206"/>
    </row>
    <row r="688" spans="10:14" x14ac:dyDescent="0.2">
      <c r="J688" s="206"/>
      <c r="N688" s="206"/>
    </row>
    <row r="689" spans="10:14" x14ac:dyDescent="0.2">
      <c r="J689" s="206"/>
      <c r="N689" s="206"/>
    </row>
    <row r="690" spans="10:14" x14ac:dyDescent="0.2">
      <c r="J690" s="206"/>
      <c r="N690" s="206"/>
    </row>
    <row r="691" spans="10:14" x14ac:dyDescent="0.2">
      <c r="J691" s="206"/>
      <c r="N691" s="206"/>
    </row>
    <row r="692" spans="10:14" x14ac:dyDescent="0.2">
      <c r="J692" s="206"/>
      <c r="N692" s="206"/>
    </row>
    <row r="693" spans="10:14" x14ac:dyDescent="0.2">
      <c r="J693" s="206"/>
      <c r="N693" s="206"/>
    </row>
    <row r="694" spans="10:14" x14ac:dyDescent="0.2">
      <c r="J694" s="206"/>
      <c r="N694" s="206"/>
    </row>
    <row r="695" spans="10:14" x14ac:dyDescent="0.2">
      <c r="J695" s="206"/>
      <c r="N695" s="206"/>
    </row>
    <row r="696" spans="10:14" x14ac:dyDescent="0.2">
      <c r="J696" s="206"/>
      <c r="N696" s="206"/>
    </row>
    <row r="697" spans="10:14" x14ac:dyDescent="0.2">
      <c r="J697" s="206"/>
      <c r="N697" s="206"/>
    </row>
    <row r="698" spans="10:14" x14ac:dyDescent="0.2">
      <c r="J698" s="206"/>
      <c r="N698" s="206"/>
    </row>
    <row r="699" spans="10:14" x14ac:dyDescent="0.2">
      <c r="J699" s="206"/>
      <c r="N699" s="206"/>
    </row>
    <row r="700" spans="10:14" x14ac:dyDescent="0.2">
      <c r="J700" s="206"/>
      <c r="N700" s="206"/>
    </row>
    <row r="701" spans="10:14" x14ac:dyDescent="0.2">
      <c r="J701" s="206"/>
      <c r="N701" s="206"/>
    </row>
    <row r="702" spans="10:14" x14ac:dyDescent="0.2">
      <c r="J702" s="206"/>
      <c r="N702" s="206"/>
    </row>
    <row r="703" spans="10:14" x14ac:dyDescent="0.2">
      <c r="J703" s="206"/>
      <c r="N703" s="206"/>
    </row>
    <row r="704" spans="10:14" x14ac:dyDescent="0.2">
      <c r="J704" s="206"/>
      <c r="N704" s="206"/>
    </row>
    <row r="705" spans="10:14" x14ac:dyDescent="0.2">
      <c r="J705" s="206"/>
      <c r="N705" s="206"/>
    </row>
    <row r="706" spans="10:14" x14ac:dyDescent="0.2">
      <c r="J706" s="206"/>
      <c r="N706" s="206"/>
    </row>
    <row r="707" spans="10:14" x14ac:dyDescent="0.2">
      <c r="J707" s="206"/>
      <c r="N707" s="206"/>
    </row>
    <row r="708" spans="10:14" x14ac:dyDescent="0.2">
      <c r="J708" s="206"/>
      <c r="N708" s="206"/>
    </row>
    <row r="709" spans="10:14" x14ac:dyDescent="0.2">
      <c r="J709" s="206"/>
      <c r="N709" s="206"/>
    </row>
    <row r="710" spans="10:14" x14ac:dyDescent="0.2">
      <c r="J710" s="206"/>
      <c r="N710" s="206"/>
    </row>
    <row r="711" spans="10:14" x14ac:dyDescent="0.2">
      <c r="J711" s="206"/>
      <c r="N711" s="206"/>
    </row>
    <row r="712" spans="10:14" x14ac:dyDescent="0.2">
      <c r="J712" s="206"/>
      <c r="N712" s="206"/>
    </row>
    <row r="713" spans="10:14" x14ac:dyDescent="0.2">
      <c r="J713" s="206"/>
      <c r="N713" s="206"/>
    </row>
    <row r="714" spans="10:14" x14ac:dyDescent="0.2">
      <c r="J714" s="206"/>
      <c r="N714" s="206"/>
    </row>
    <row r="715" spans="10:14" x14ac:dyDescent="0.2">
      <c r="J715" s="206"/>
      <c r="N715" s="206"/>
    </row>
    <row r="716" spans="10:14" x14ac:dyDescent="0.2">
      <c r="J716" s="206"/>
      <c r="N716" s="206"/>
    </row>
    <row r="717" spans="10:14" x14ac:dyDescent="0.2">
      <c r="J717" s="206"/>
      <c r="N717" s="206"/>
    </row>
    <row r="718" spans="10:14" x14ac:dyDescent="0.2">
      <c r="J718" s="206"/>
      <c r="N718" s="206"/>
    </row>
    <row r="719" spans="10:14" x14ac:dyDescent="0.2">
      <c r="J719" s="206"/>
      <c r="N719" s="206"/>
    </row>
    <row r="720" spans="10:14" x14ac:dyDescent="0.2">
      <c r="J720" s="206"/>
      <c r="N720" s="206"/>
    </row>
    <row r="721" spans="10:14" x14ac:dyDescent="0.2">
      <c r="J721" s="206"/>
      <c r="N721" s="206"/>
    </row>
    <row r="722" spans="10:14" x14ac:dyDescent="0.2">
      <c r="J722" s="206"/>
      <c r="N722" s="206"/>
    </row>
    <row r="723" spans="10:14" x14ac:dyDescent="0.2">
      <c r="J723" s="206"/>
      <c r="N723" s="206"/>
    </row>
    <row r="724" spans="10:14" x14ac:dyDescent="0.2">
      <c r="J724" s="206"/>
      <c r="N724" s="206"/>
    </row>
    <row r="725" spans="10:14" x14ac:dyDescent="0.2">
      <c r="J725" s="206"/>
      <c r="N725" s="206"/>
    </row>
    <row r="726" spans="10:14" x14ac:dyDescent="0.2">
      <c r="J726" s="206"/>
      <c r="N726" s="206"/>
    </row>
    <row r="727" spans="10:14" x14ac:dyDescent="0.2">
      <c r="J727" s="206"/>
      <c r="N727" s="206"/>
    </row>
    <row r="728" spans="10:14" x14ac:dyDescent="0.2">
      <c r="J728" s="206"/>
      <c r="N728" s="206"/>
    </row>
    <row r="729" spans="10:14" x14ac:dyDescent="0.2">
      <c r="J729" s="206"/>
      <c r="N729" s="206"/>
    </row>
    <row r="730" spans="10:14" x14ac:dyDescent="0.2">
      <c r="J730" s="206"/>
      <c r="N730" s="206"/>
    </row>
    <row r="731" spans="10:14" x14ac:dyDescent="0.2">
      <c r="J731" s="206"/>
      <c r="N731" s="206"/>
    </row>
    <row r="732" spans="10:14" x14ac:dyDescent="0.2">
      <c r="J732" s="206"/>
      <c r="N732" s="206"/>
    </row>
    <row r="733" spans="10:14" x14ac:dyDescent="0.2">
      <c r="J733" s="206"/>
      <c r="N733" s="206"/>
    </row>
    <row r="734" spans="10:14" x14ac:dyDescent="0.2">
      <c r="J734" s="206"/>
      <c r="N734" s="206"/>
    </row>
    <row r="735" spans="10:14" x14ac:dyDescent="0.2">
      <c r="J735" s="206"/>
      <c r="N735" s="206"/>
    </row>
    <row r="736" spans="10:14" x14ac:dyDescent="0.2">
      <c r="J736" s="206"/>
      <c r="N736" s="206"/>
    </row>
    <row r="737" spans="10:14" x14ac:dyDescent="0.2">
      <c r="J737" s="206"/>
      <c r="N737" s="206"/>
    </row>
    <row r="738" spans="10:14" x14ac:dyDescent="0.2">
      <c r="J738" s="206"/>
      <c r="N738" s="206"/>
    </row>
    <row r="739" spans="10:14" x14ac:dyDescent="0.2">
      <c r="J739" s="206"/>
      <c r="N739" s="206"/>
    </row>
    <row r="740" spans="10:14" x14ac:dyDescent="0.2">
      <c r="J740" s="206"/>
      <c r="N740" s="206"/>
    </row>
    <row r="741" spans="10:14" x14ac:dyDescent="0.2">
      <c r="J741" s="206"/>
      <c r="N741" s="206"/>
    </row>
    <row r="742" spans="10:14" x14ac:dyDescent="0.2">
      <c r="J742" s="206"/>
      <c r="N742" s="206"/>
    </row>
    <row r="743" spans="10:14" x14ac:dyDescent="0.2">
      <c r="J743" s="206"/>
      <c r="N743" s="206"/>
    </row>
    <row r="744" spans="10:14" x14ac:dyDescent="0.2">
      <c r="J744" s="206"/>
      <c r="N744" s="206"/>
    </row>
    <row r="745" spans="10:14" x14ac:dyDescent="0.2">
      <c r="J745" s="206"/>
      <c r="N745" s="206"/>
    </row>
    <row r="746" spans="10:14" x14ac:dyDescent="0.2">
      <c r="J746" s="206"/>
      <c r="N746" s="206"/>
    </row>
    <row r="747" spans="10:14" x14ac:dyDescent="0.2">
      <c r="J747" s="206"/>
      <c r="N747" s="206"/>
    </row>
    <row r="748" spans="10:14" x14ac:dyDescent="0.2">
      <c r="J748" s="206"/>
      <c r="N748" s="206"/>
    </row>
    <row r="749" spans="10:14" x14ac:dyDescent="0.2">
      <c r="J749" s="206"/>
      <c r="N749" s="206"/>
    </row>
    <row r="750" spans="10:14" x14ac:dyDescent="0.2">
      <c r="J750" s="206"/>
      <c r="N750" s="206"/>
    </row>
    <row r="751" spans="10:14" x14ac:dyDescent="0.2">
      <c r="J751" s="206"/>
      <c r="N751" s="206"/>
    </row>
    <row r="752" spans="10:14" x14ac:dyDescent="0.2">
      <c r="J752" s="206"/>
      <c r="N752" s="206"/>
    </row>
    <row r="753" spans="10:14" x14ac:dyDescent="0.2">
      <c r="J753" s="206"/>
      <c r="N753" s="206"/>
    </row>
    <row r="754" spans="10:14" x14ac:dyDescent="0.2">
      <c r="J754" s="206"/>
      <c r="N754" s="206"/>
    </row>
    <row r="755" spans="10:14" x14ac:dyDescent="0.2">
      <c r="J755" s="206"/>
      <c r="N755" s="206"/>
    </row>
    <row r="756" spans="10:14" x14ac:dyDescent="0.2">
      <c r="J756" s="206"/>
      <c r="N756" s="206"/>
    </row>
    <row r="757" spans="10:14" x14ac:dyDescent="0.2">
      <c r="J757" s="206"/>
      <c r="N757" s="206"/>
    </row>
    <row r="758" spans="10:14" x14ac:dyDescent="0.2">
      <c r="J758" s="206"/>
      <c r="N758" s="206"/>
    </row>
    <row r="759" spans="10:14" x14ac:dyDescent="0.2">
      <c r="J759" s="206"/>
      <c r="N759" s="206"/>
    </row>
    <row r="760" spans="10:14" x14ac:dyDescent="0.2">
      <c r="J760" s="206"/>
      <c r="N760" s="206"/>
    </row>
    <row r="761" spans="10:14" x14ac:dyDescent="0.2">
      <c r="J761" s="206"/>
      <c r="N761" s="206"/>
    </row>
    <row r="762" spans="10:14" x14ac:dyDescent="0.2">
      <c r="J762" s="206"/>
      <c r="N762" s="206"/>
    </row>
    <row r="763" spans="10:14" x14ac:dyDescent="0.2">
      <c r="J763" s="206"/>
      <c r="N763" s="206"/>
    </row>
    <row r="764" spans="10:14" x14ac:dyDescent="0.2">
      <c r="J764" s="206"/>
      <c r="N764" s="206"/>
    </row>
    <row r="765" spans="10:14" x14ac:dyDescent="0.2">
      <c r="J765" s="206"/>
      <c r="N765" s="206"/>
    </row>
    <row r="766" spans="10:14" x14ac:dyDescent="0.2">
      <c r="J766" s="206"/>
      <c r="N766" s="206"/>
    </row>
    <row r="767" spans="10:14" x14ac:dyDescent="0.2">
      <c r="J767" s="206"/>
      <c r="N767" s="206"/>
    </row>
    <row r="768" spans="10:14" x14ac:dyDescent="0.2">
      <c r="J768" s="206"/>
      <c r="N768" s="206"/>
    </row>
    <row r="769" spans="10:14" x14ac:dyDescent="0.2">
      <c r="J769" s="206"/>
      <c r="N769" s="206"/>
    </row>
    <row r="770" spans="10:14" x14ac:dyDescent="0.2">
      <c r="J770" s="206"/>
      <c r="N770" s="206"/>
    </row>
    <row r="771" spans="10:14" x14ac:dyDescent="0.2">
      <c r="J771" s="206"/>
      <c r="N771" s="206"/>
    </row>
    <row r="772" spans="10:14" x14ac:dyDescent="0.2">
      <c r="J772" s="206"/>
      <c r="N772" s="206"/>
    </row>
    <row r="773" spans="10:14" x14ac:dyDescent="0.2">
      <c r="J773" s="206"/>
      <c r="N773" s="206"/>
    </row>
    <row r="774" spans="10:14" x14ac:dyDescent="0.2">
      <c r="J774" s="206"/>
      <c r="N774" s="206"/>
    </row>
    <row r="775" spans="10:14" x14ac:dyDescent="0.2">
      <c r="J775" s="206"/>
      <c r="N775" s="206"/>
    </row>
    <row r="776" spans="10:14" x14ac:dyDescent="0.2">
      <c r="J776" s="206"/>
      <c r="N776" s="206"/>
    </row>
    <row r="777" spans="10:14" x14ac:dyDescent="0.2">
      <c r="J777" s="206"/>
      <c r="N777" s="206"/>
    </row>
    <row r="778" spans="10:14" x14ac:dyDescent="0.2">
      <c r="J778" s="206"/>
      <c r="N778" s="206"/>
    </row>
    <row r="779" spans="10:14" x14ac:dyDescent="0.2">
      <c r="J779" s="206"/>
      <c r="N779" s="206"/>
    </row>
    <row r="780" spans="10:14" x14ac:dyDescent="0.2">
      <c r="J780" s="206"/>
      <c r="N780" s="206"/>
    </row>
    <row r="781" spans="10:14" x14ac:dyDescent="0.2">
      <c r="J781" s="206"/>
      <c r="N781" s="206"/>
    </row>
    <row r="782" spans="10:14" x14ac:dyDescent="0.2">
      <c r="J782" s="206"/>
      <c r="N782" s="206"/>
    </row>
    <row r="783" spans="10:14" x14ac:dyDescent="0.2">
      <c r="J783" s="206"/>
      <c r="N783" s="206"/>
    </row>
    <row r="784" spans="10:14" x14ac:dyDescent="0.2">
      <c r="J784" s="206"/>
      <c r="N784" s="206"/>
    </row>
    <row r="785" spans="10:14" x14ac:dyDescent="0.2">
      <c r="J785" s="206"/>
      <c r="N785" s="206"/>
    </row>
    <row r="786" spans="10:14" x14ac:dyDescent="0.2">
      <c r="J786" s="206"/>
      <c r="N786" s="206"/>
    </row>
    <row r="787" spans="10:14" x14ac:dyDescent="0.2">
      <c r="J787" s="206"/>
      <c r="N787" s="206"/>
    </row>
    <row r="788" spans="10:14" x14ac:dyDescent="0.2">
      <c r="J788" s="206"/>
      <c r="N788" s="206"/>
    </row>
    <row r="789" spans="10:14" x14ac:dyDescent="0.2">
      <c r="J789" s="206"/>
      <c r="N789" s="206"/>
    </row>
    <row r="790" spans="10:14" x14ac:dyDescent="0.2">
      <c r="J790" s="206"/>
      <c r="N790" s="206"/>
    </row>
    <row r="791" spans="10:14" x14ac:dyDescent="0.2">
      <c r="J791" s="206"/>
      <c r="N791" s="206"/>
    </row>
    <row r="792" spans="10:14" x14ac:dyDescent="0.2">
      <c r="J792" s="206"/>
      <c r="N792" s="206"/>
    </row>
    <row r="793" spans="10:14" x14ac:dyDescent="0.2">
      <c r="J793" s="206"/>
      <c r="N793" s="206"/>
    </row>
    <row r="794" spans="10:14" x14ac:dyDescent="0.2">
      <c r="J794" s="206"/>
      <c r="N794" s="206"/>
    </row>
    <row r="795" spans="10:14" x14ac:dyDescent="0.2">
      <c r="J795" s="206"/>
      <c r="N795" s="206"/>
    </row>
    <row r="796" spans="10:14" x14ac:dyDescent="0.2">
      <c r="J796" s="206"/>
      <c r="N796" s="206"/>
    </row>
    <row r="797" spans="10:14" x14ac:dyDescent="0.2">
      <c r="J797" s="206"/>
      <c r="N797" s="206"/>
    </row>
    <row r="798" spans="10:14" x14ac:dyDescent="0.2">
      <c r="J798" s="206"/>
      <c r="N798" s="206"/>
    </row>
    <row r="799" spans="10:14" x14ac:dyDescent="0.2">
      <c r="J799" s="206"/>
      <c r="N799" s="206"/>
    </row>
    <row r="800" spans="10:14" x14ac:dyDescent="0.2">
      <c r="J800" s="206"/>
      <c r="N800" s="206"/>
    </row>
    <row r="801" spans="10:14" x14ac:dyDescent="0.2">
      <c r="J801" s="206"/>
      <c r="N801" s="206"/>
    </row>
    <row r="802" spans="10:14" x14ac:dyDescent="0.2">
      <c r="J802" s="206"/>
      <c r="N802" s="206"/>
    </row>
    <row r="803" spans="10:14" x14ac:dyDescent="0.2">
      <c r="J803" s="206"/>
      <c r="N803" s="206"/>
    </row>
    <row r="804" spans="10:14" x14ac:dyDescent="0.2">
      <c r="J804" s="206"/>
      <c r="N804" s="206"/>
    </row>
    <row r="805" spans="10:14" x14ac:dyDescent="0.2">
      <c r="J805" s="206"/>
      <c r="N805" s="206"/>
    </row>
    <row r="806" spans="10:14" x14ac:dyDescent="0.2">
      <c r="J806" s="206"/>
      <c r="N806" s="206"/>
    </row>
    <row r="807" spans="10:14" x14ac:dyDescent="0.2">
      <c r="J807" s="206"/>
      <c r="N807" s="206"/>
    </row>
    <row r="808" spans="10:14" x14ac:dyDescent="0.2">
      <c r="J808" s="206"/>
      <c r="N808" s="206"/>
    </row>
    <row r="809" spans="10:14" x14ac:dyDescent="0.2">
      <c r="J809" s="206"/>
      <c r="N809" s="206"/>
    </row>
    <row r="810" spans="10:14" x14ac:dyDescent="0.2">
      <c r="J810" s="206"/>
      <c r="N810" s="206"/>
    </row>
    <row r="811" spans="10:14" x14ac:dyDescent="0.2">
      <c r="J811" s="206"/>
      <c r="N811" s="206"/>
    </row>
    <row r="812" spans="10:14" x14ac:dyDescent="0.2">
      <c r="J812" s="206"/>
      <c r="N812" s="206"/>
    </row>
    <row r="813" spans="10:14" x14ac:dyDescent="0.2">
      <c r="J813" s="206"/>
      <c r="N813" s="206"/>
    </row>
    <row r="814" spans="10:14" x14ac:dyDescent="0.2">
      <c r="J814" s="206"/>
      <c r="N814" s="206"/>
    </row>
    <row r="815" spans="10:14" x14ac:dyDescent="0.2">
      <c r="J815" s="206"/>
      <c r="N815" s="206"/>
    </row>
    <row r="816" spans="10:14" x14ac:dyDescent="0.2">
      <c r="J816" s="206"/>
      <c r="N816" s="206"/>
    </row>
    <row r="817" spans="10:14" x14ac:dyDescent="0.2">
      <c r="J817" s="206"/>
      <c r="N817" s="206"/>
    </row>
    <row r="818" spans="10:14" x14ac:dyDescent="0.2">
      <c r="J818" s="206"/>
      <c r="N818" s="206"/>
    </row>
    <row r="819" spans="10:14" x14ac:dyDescent="0.2">
      <c r="J819" s="206"/>
      <c r="N819" s="206"/>
    </row>
    <row r="820" spans="10:14" x14ac:dyDescent="0.2">
      <c r="J820" s="206"/>
      <c r="N820" s="206"/>
    </row>
    <row r="821" spans="10:14" x14ac:dyDescent="0.2">
      <c r="J821" s="206"/>
      <c r="N821" s="206"/>
    </row>
    <row r="822" spans="10:14" x14ac:dyDescent="0.2">
      <c r="J822" s="206"/>
      <c r="N822" s="206"/>
    </row>
    <row r="823" spans="10:14" x14ac:dyDescent="0.2">
      <c r="J823" s="206"/>
      <c r="N823" s="206"/>
    </row>
    <row r="824" spans="10:14" x14ac:dyDescent="0.2">
      <c r="J824" s="206"/>
      <c r="N824" s="206"/>
    </row>
    <row r="825" spans="10:14" x14ac:dyDescent="0.2">
      <c r="J825" s="206"/>
      <c r="N825" s="206"/>
    </row>
    <row r="826" spans="10:14" x14ac:dyDescent="0.2">
      <c r="J826" s="206"/>
      <c r="N826" s="206"/>
    </row>
    <row r="827" spans="10:14" x14ac:dyDescent="0.2">
      <c r="J827" s="206"/>
      <c r="N827" s="206"/>
    </row>
    <row r="828" spans="10:14" x14ac:dyDescent="0.2">
      <c r="J828" s="206"/>
      <c r="N828" s="206"/>
    </row>
    <row r="829" spans="10:14" x14ac:dyDescent="0.2">
      <c r="J829" s="206"/>
      <c r="N829" s="206"/>
    </row>
    <row r="830" spans="10:14" x14ac:dyDescent="0.2">
      <c r="J830" s="206"/>
      <c r="N830" s="206"/>
    </row>
    <row r="831" spans="10:14" x14ac:dyDescent="0.2">
      <c r="J831" s="206"/>
      <c r="N831" s="206"/>
    </row>
    <row r="832" spans="10:14" x14ac:dyDescent="0.2">
      <c r="J832" s="206"/>
      <c r="N832" s="206"/>
    </row>
    <row r="833" spans="10:14" x14ac:dyDescent="0.2">
      <c r="J833" s="206"/>
      <c r="N833" s="206"/>
    </row>
    <row r="834" spans="10:14" x14ac:dyDescent="0.2">
      <c r="J834" s="206"/>
      <c r="N834" s="206"/>
    </row>
    <row r="835" spans="10:14" x14ac:dyDescent="0.2">
      <c r="J835" s="206"/>
      <c r="N835" s="206"/>
    </row>
    <row r="836" spans="10:14" x14ac:dyDescent="0.2">
      <c r="J836" s="206"/>
      <c r="N836" s="206"/>
    </row>
    <row r="837" spans="10:14" x14ac:dyDescent="0.2">
      <c r="J837" s="206"/>
      <c r="N837" s="206"/>
    </row>
    <row r="838" spans="10:14" x14ac:dyDescent="0.2">
      <c r="J838" s="206"/>
      <c r="N838" s="206"/>
    </row>
    <row r="839" spans="10:14" x14ac:dyDescent="0.2">
      <c r="J839" s="206"/>
      <c r="N839" s="206"/>
    </row>
    <row r="840" spans="10:14" x14ac:dyDescent="0.2">
      <c r="J840" s="206"/>
      <c r="N840" s="206"/>
    </row>
    <row r="841" spans="10:14" x14ac:dyDescent="0.2">
      <c r="J841" s="206"/>
      <c r="N841" s="206"/>
    </row>
    <row r="842" spans="10:14" x14ac:dyDescent="0.2">
      <c r="J842" s="206"/>
      <c r="N842" s="206"/>
    </row>
    <row r="843" spans="10:14" x14ac:dyDescent="0.2">
      <c r="J843" s="206"/>
      <c r="N843" s="206"/>
    </row>
    <row r="844" spans="10:14" x14ac:dyDescent="0.2">
      <c r="J844" s="206"/>
      <c r="N844" s="206"/>
    </row>
    <row r="845" spans="10:14" x14ac:dyDescent="0.2">
      <c r="J845" s="206"/>
      <c r="N845" s="206"/>
    </row>
    <row r="846" spans="10:14" x14ac:dyDescent="0.2">
      <c r="J846" s="206"/>
      <c r="N846" s="206"/>
    </row>
    <row r="847" spans="10:14" x14ac:dyDescent="0.2">
      <c r="J847" s="206"/>
      <c r="N847" s="206"/>
    </row>
    <row r="848" spans="10:14" x14ac:dyDescent="0.2">
      <c r="J848" s="206"/>
      <c r="N848" s="206"/>
    </row>
    <row r="849" spans="10:14" x14ac:dyDescent="0.2">
      <c r="J849" s="206"/>
      <c r="N849" s="206"/>
    </row>
    <row r="850" spans="10:14" x14ac:dyDescent="0.2">
      <c r="J850" s="206"/>
      <c r="N850" s="206"/>
    </row>
    <row r="851" spans="10:14" x14ac:dyDescent="0.2">
      <c r="J851" s="206"/>
      <c r="N851" s="206"/>
    </row>
    <row r="852" spans="10:14" x14ac:dyDescent="0.2">
      <c r="J852" s="206"/>
      <c r="N852" s="206"/>
    </row>
    <row r="853" spans="10:14" x14ac:dyDescent="0.2">
      <c r="J853" s="206"/>
      <c r="N853" s="206"/>
    </row>
    <row r="854" spans="10:14" x14ac:dyDescent="0.2">
      <c r="J854" s="206"/>
      <c r="N854" s="206"/>
    </row>
    <row r="855" spans="10:14" x14ac:dyDescent="0.2">
      <c r="J855" s="206"/>
      <c r="N855" s="206"/>
    </row>
    <row r="856" spans="10:14" x14ac:dyDescent="0.2">
      <c r="J856" s="206"/>
      <c r="N856" s="206"/>
    </row>
    <row r="857" spans="10:14" x14ac:dyDescent="0.2">
      <c r="J857" s="206"/>
      <c r="N857" s="206"/>
    </row>
    <row r="858" spans="10:14" x14ac:dyDescent="0.2">
      <c r="J858" s="206"/>
      <c r="N858" s="206"/>
    </row>
    <row r="859" spans="10:14" x14ac:dyDescent="0.2">
      <c r="J859" s="206"/>
      <c r="N859" s="206"/>
    </row>
    <row r="860" spans="10:14" x14ac:dyDescent="0.2">
      <c r="J860" s="206"/>
      <c r="N860" s="206"/>
    </row>
    <row r="861" spans="10:14" x14ac:dyDescent="0.2">
      <c r="J861" s="206"/>
      <c r="N861" s="206"/>
    </row>
    <row r="862" spans="10:14" x14ac:dyDescent="0.2">
      <c r="J862" s="206"/>
      <c r="N862" s="206"/>
    </row>
    <row r="863" spans="10:14" x14ac:dyDescent="0.2">
      <c r="J863" s="206"/>
      <c r="N863" s="206"/>
    </row>
    <row r="864" spans="10:14" x14ac:dyDescent="0.2">
      <c r="J864" s="206"/>
      <c r="N864" s="206"/>
    </row>
    <row r="865" spans="10:14" x14ac:dyDescent="0.2">
      <c r="J865" s="206"/>
      <c r="N865" s="206"/>
    </row>
    <row r="866" spans="10:14" x14ac:dyDescent="0.2">
      <c r="J866" s="206"/>
      <c r="N866" s="206"/>
    </row>
    <row r="867" spans="10:14" x14ac:dyDescent="0.2">
      <c r="J867" s="206"/>
      <c r="N867" s="206"/>
    </row>
    <row r="868" spans="10:14" x14ac:dyDescent="0.2">
      <c r="J868" s="206"/>
      <c r="N868" s="206"/>
    </row>
    <row r="869" spans="10:14" x14ac:dyDescent="0.2">
      <c r="J869" s="206"/>
      <c r="N869" s="206"/>
    </row>
    <row r="870" spans="10:14" x14ac:dyDescent="0.2">
      <c r="J870" s="206"/>
      <c r="N870" s="206"/>
    </row>
    <row r="871" spans="10:14" x14ac:dyDescent="0.2">
      <c r="J871" s="206"/>
      <c r="N871" s="206"/>
    </row>
    <row r="872" spans="10:14" x14ac:dyDescent="0.2">
      <c r="J872" s="206"/>
      <c r="N872" s="206"/>
    </row>
    <row r="873" spans="10:14" x14ac:dyDescent="0.2">
      <c r="J873" s="206"/>
      <c r="N873" s="206"/>
    </row>
    <row r="874" spans="10:14" x14ac:dyDescent="0.2">
      <c r="J874" s="206"/>
      <c r="N874" s="206"/>
    </row>
    <row r="875" spans="10:14" x14ac:dyDescent="0.2">
      <c r="J875" s="206"/>
      <c r="N875" s="206"/>
    </row>
    <row r="876" spans="10:14" x14ac:dyDescent="0.2">
      <c r="J876" s="206"/>
      <c r="N876" s="206"/>
    </row>
    <row r="877" spans="10:14" x14ac:dyDescent="0.2">
      <c r="J877" s="206"/>
      <c r="N877" s="206"/>
    </row>
    <row r="878" spans="10:14" x14ac:dyDescent="0.2">
      <c r="J878" s="206"/>
      <c r="N878" s="206"/>
    </row>
    <row r="879" spans="10:14" x14ac:dyDescent="0.2">
      <c r="J879" s="206"/>
      <c r="N879" s="206"/>
    </row>
    <row r="880" spans="10:14" x14ac:dyDescent="0.2">
      <c r="J880" s="206"/>
      <c r="N880" s="206"/>
    </row>
    <row r="881" spans="10:14" x14ac:dyDescent="0.2">
      <c r="J881" s="206"/>
      <c r="N881" s="206"/>
    </row>
    <row r="882" spans="10:14" x14ac:dyDescent="0.2">
      <c r="J882" s="206"/>
      <c r="N882" s="206"/>
    </row>
    <row r="883" spans="10:14" x14ac:dyDescent="0.2">
      <c r="J883" s="206"/>
      <c r="N883" s="206"/>
    </row>
    <row r="884" spans="10:14" x14ac:dyDescent="0.2">
      <c r="J884" s="206"/>
      <c r="N884" s="206"/>
    </row>
    <row r="885" spans="10:14" x14ac:dyDescent="0.2">
      <c r="J885" s="206"/>
      <c r="N885" s="206"/>
    </row>
    <row r="886" spans="10:14" x14ac:dyDescent="0.2">
      <c r="J886" s="206"/>
      <c r="N886" s="206"/>
    </row>
    <row r="887" spans="10:14" x14ac:dyDescent="0.2">
      <c r="J887" s="206"/>
      <c r="N887" s="206"/>
    </row>
    <row r="888" spans="10:14" x14ac:dyDescent="0.2">
      <c r="J888" s="206"/>
      <c r="N888" s="206"/>
    </row>
    <row r="889" spans="10:14" x14ac:dyDescent="0.2">
      <c r="J889" s="206"/>
      <c r="N889" s="206"/>
    </row>
    <row r="890" spans="10:14" x14ac:dyDescent="0.2">
      <c r="J890" s="206"/>
      <c r="N890" s="206"/>
    </row>
    <row r="891" spans="10:14" x14ac:dyDescent="0.2">
      <c r="J891" s="206"/>
      <c r="N891" s="206"/>
    </row>
    <row r="892" spans="10:14" x14ac:dyDescent="0.2">
      <c r="J892" s="206"/>
      <c r="N892" s="206"/>
    </row>
    <row r="893" spans="10:14" x14ac:dyDescent="0.2">
      <c r="J893" s="206"/>
      <c r="N893" s="206"/>
    </row>
    <row r="894" spans="10:14" x14ac:dyDescent="0.2">
      <c r="J894" s="206"/>
      <c r="N894" s="206"/>
    </row>
    <row r="895" spans="10:14" x14ac:dyDescent="0.2">
      <c r="J895" s="206"/>
      <c r="N895" s="206"/>
    </row>
    <row r="896" spans="10:14" x14ac:dyDescent="0.2">
      <c r="J896" s="206"/>
      <c r="N896" s="206"/>
    </row>
    <row r="897" spans="10:14" x14ac:dyDescent="0.2">
      <c r="J897" s="206"/>
      <c r="N897" s="206"/>
    </row>
    <row r="898" spans="10:14" x14ac:dyDescent="0.2">
      <c r="J898" s="206"/>
      <c r="N898" s="206"/>
    </row>
    <row r="899" spans="10:14" x14ac:dyDescent="0.2">
      <c r="J899" s="206"/>
      <c r="N899" s="206"/>
    </row>
    <row r="900" spans="10:14" x14ac:dyDescent="0.2">
      <c r="J900" s="206"/>
      <c r="N900" s="206"/>
    </row>
    <row r="901" spans="10:14" x14ac:dyDescent="0.2">
      <c r="J901" s="206"/>
      <c r="N901" s="206"/>
    </row>
    <row r="902" spans="10:14" x14ac:dyDescent="0.2">
      <c r="J902" s="206"/>
      <c r="N902" s="206"/>
    </row>
    <row r="903" spans="10:14" x14ac:dyDescent="0.2">
      <c r="J903" s="206"/>
      <c r="N903" s="206"/>
    </row>
    <row r="904" spans="10:14" x14ac:dyDescent="0.2">
      <c r="J904" s="206"/>
      <c r="N904" s="206"/>
    </row>
    <row r="905" spans="10:14" x14ac:dyDescent="0.2">
      <c r="J905" s="206"/>
      <c r="N905" s="206"/>
    </row>
    <row r="906" spans="10:14" x14ac:dyDescent="0.2">
      <c r="J906" s="206"/>
      <c r="N906" s="206"/>
    </row>
    <row r="907" spans="10:14" x14ac:dyDescent="0.2">
      <c r="J907" s="206"/>
      <c r="N907" s="206"/>
    </row>
    <row r="908" spans="10:14" x14ac:dyDescent="0.2">
      <c r="J908" s="206"/>
      <c r="N908" s="206"/>
    </row>
    <row r="909" spans="10:14" x14ac:dyDescent="0.2">
      <c r="J909" s="206"/>
      <c r="N909" s="206"/>
    </row>
    <row r="910" spans="10:14" x14ac:dyDescent="0.2">
      <c r="J910" s="206"/>
      <c r="N910" s="206"/>
    </row>
    <row r="911" spans="10:14" x14ac:dyDescent="0.2">
      <c r="J911" s="206"/>
      <c r="N911" s="206"/>
    </row>
    <row r="912" spans="10:14" x14ac:dyDescent="0.2">
      <c r="J912" s="206"/>
      <c r="N912" s="206"/>
    </row>
    <row r="913" spans="10:14" x14ac:dyDescent="0.2">
      <c r="J913" s="206"/>
      <c r="N913" s="206"/>
    </row>
    <row r="914" spans="10:14" x14ac:dyDescent="0.2">
      <c r="J914" s="206"/>
      <c r="N914" s="206"/>
    </row>
    <row r="915" spans="10:14" x14ac:dyDescent="0.2">
      <c r="J915" s="206"/>
      <c r="N915" s="206"/>
    </row>
    <row r="916" spans="10:14" x14ac:dyDescent="0.2">
      <c r="J916" s="206"/>
      <c r="N916" s="206"/>
    </row>
    <row r="917" spans="10:14" x14ac:dyDescent="0.2">
      <c r="J917" s="206"/>
      <c r="N917" s="206"/>
    </row>
    <row r="918" spans="10:14" x14ac:dyDescent="0.2">
      <c r="J918" s="206"/>
      <c r="N918" s="206"/>
    </row>
    <row r="919" spans="10:14" x14ac:dyDescent="0.2">
      <c r="J919" s="206"/>
      <c r="N919" s="206"/>
    </row>
    <row r="920" spans="10:14" x14ac:dyDescent="0.2">
      <c r="J920" s="206"/>
      <c r="N920" s="206"/>
    </row>
    <row r="921" spans="10:14" x14ac:dyDescent="0.2">
      <c r="J921" s="206"/>
      <c r="N921" s="206"/>
    </row>
    <row r="922" spans="10:14" x14ac:dyDescent="0.2">
      <c r="J922" s="206"/>
      <c r="N922" s="206"/>
    </row>
    <row r="923" spans="10:14" x14ac:dyDescent="0.2">
      <c r="J923" s="206"/>
      <c r="N923" s="206"/>
    </row>
    <row r="924" spans="10:14" x14ac:dyDescent="0.2">
      <c r="J924" s="206"/>
      <c r="N924" s="206"/>
    </row>
    <row r="925" spans="10:14" x14ac:dyDescent="0.2">
      <c r="J925" s="206"/>
      <c r="N925" s="206"/>
    </row>
    <row r="926" spans="10:14" x14ac:dyDescent="0.2">
      <c r="J926" s="206"/>
      <c r="N926" s="206"/>
    </row>
    <row r="927" spans="10:14" x14ac:dyDescent="0.2">
      <c r="J927" s="206"/>
      <c r="N927" s="206"/>
    </row>
    <row r="928" spans="10:14" x14ac:dyDescent="0.2">
      <c r="J928" s="206"/>
      <c r="N928" s="206"/>
    </row>
    <row r="929" spans="10:14" x14ac:dyDescent="0.2">
      <c r="J929" s="206"/>
      <c r="N929" s="206"/>
    </row>
    <row r="930" spans="10:14" x14ac:dyDescent="0.2">
      <c r="J930" s="206"/>
      <c r="N930" s="206"/>
    </row>
    <row r="931" spans="10:14" x14ac:dyDescent="0.2">
      <c r="J931" s="206"/>
      <c r="N931" s="206"/>
    </row>
    <row r="932" spans="10:14" x14ac:dyDescent="0.2">
      <c r="J932" s="206"/>
      <c r="N932" s="206"/>
    </row>
    <row r="933" spans="10:14" x14ac:dyDescent="0.2">
      <c r="J933" s="206"/>
      <c r="N933" s="206"/>
    </row>
    <row r="934" spans="10:14" x14ac:dyDescent="0.2">
      <c r="J934" s="206"/>
      <c r="N934" s="206"/>
    </row>
    <row r="935" spans="10:14" x14ac:dyDescent="0.2">
      <c r="J935" s="206"/>
      <c r="N935" s="206"/>
    </row>
    <row r="936" spans="10:14" x14ac:dyDescent="0.2">
      <c r="J936" s="206"/>
      <c r="N936" s="206"/>
    </row>
    <row r="937" spans="10:14" x14ac:dyDescent="0.2">
      <c r="J937" s="206"/>
      <c r="N937" s="206"/>
    </row>
    <row r="938" spans="10:14" x14ac:dyDescent="0.2">
      <c r="J938" s="206"/>
      <c r="N938" s="206"/>
    </row>
    <row r="939" spans="10:14" x14ac:dyDescent="0.2">
      <c r="J939" s="206"/>
      <c r="N939" s="206"/>
    </row>
    <row r="940" spans="10:14" x14ac:dyDescent="0.2">
      <c r="J940" s="206"/>
      <c r="N940" s="206"/>
    </row>
    <row r="941" spans="10:14" x14ac:dyDescent="0.2">
      <c r="J941" s="206"/>
      <c r="N941" s="206"/>
    </row>
    <row r="942" spans="10:14" x14ac:dyDescent="0.2">
      <c r="J942" s="206"/>
      <c r="N942" s="206"/>
    </row>
    <row r="943" spans="10:14" x14ac:dyDescent="0.2">
      <c r="J943" s="206"/>
      <c r="N943" s="206"/>
    </row>
    <row r="944" spans="10:14" x14ac:dyDescent="0.2">
      <c r="J944" s="206"/>
      <c r="N944" s="206"/>
    </row>
    <row r="945" spans="10:14" x14ac:dyDescent="0.2">
      <c r="J945" s="206"/>
      <c r="N945" s="206"/>
    </row>
    <row r="946" spans="10:14" x14ac:dyDescent="0.2">
      <c r="J946" s="206"/>
      <c r="N946" s="206"/>
    </row>
    <row r="947" spans="10:14" x14ac:dyDescent="0.2">
      <c r="J947" s="206"/>
      <c r="N947" s="206"/>
    </row>
    <row r="948" spans="10:14" x14ac:dyDescent="0.2">
      <c r="J948" s="206"/>
      <c r="N948" s="206"/>
    </row>
    <row r="949" spans="10:14" x14ac:dyDescent="0.2">
      <c r="J949" s="206"/>
      <c r="N949" s="206"/>
    </row>
    <row r="950" spans="10:14" x14ac:dyDescent="0.2">
      <c r="J950" s="206"/>
      <c r="N950" s="206"/>
    </row>
    <row r="951" spans="10:14" x14ac:dyDescent="0.2">
      <c r="J951" s="206"/>
      <c r="N951" s="206"/>
    </row>
    <row r="952" spans="10:14" x14ac:dyDescent="0.2">
      <c r="J952" s="206"/>
      <c r="N952" s="206"/>
    </row>
    <row r="953" spans="10:14" x14ac:dyDescent="0.2">
      <c r="J953" s="206"/>
      <c r="N953" s="206"/>
    </row>
    <row r="954" spans="10:14" x14ac:dyDescent="0.2">
      <c r="J954" s="206"/>
      <c r="N954" s="206"/>
    </row>
    <row r="955" spans="10:14" x14ac:dyDescent="0.2">
      <c r="J955" s="206"/>
      <c r="N955" s="206"/>
    </row>
    <row r="956" spans="10:14" x14ac:dyDescent="0.2">
      <c r="J956" s="206"/>
      <c r="N956" s="206"/>
    </row>
    <row r="957" spans="10:14" x14ac:dyDescent="0.2">
      <c r="J957" s="206"/>
      <c r="N957" s="206"/>
    </row>
    <row r="958" spans="10:14" x14ac:dyDescent="0.2">
      <c r="J958" s="206"/>
      <c r="N958" s="206"/>
    </row>
    <row r="959" spans="10:14" x14ac:dyDescent="0.2">
      <c r="J959" s="206"/>
      <c r="N959" s="206"/>
    </row>
    <row r="960" spans="10:14" x14ac:dyDescent="0.2">
      <c r="J960" s="206"/>
      <c r="N960" s="206"/>
    </row>
    <row r="961" spans="10:14" x14ac:dyDescent="0.2">
      <c r="J961" s="206"/>
      <c r="N961" s="206"/>
    </row>
    <row r="962" spans="10:14" x14ac:dyDescent="0.2">
      <c r="J962" s="206"/>
      <c r="N962" s="206"/>
    </row>
    <row r="963" spans="10:14" x14ac:dyDescent="0.2">
      <c r="J963" s="206"/>
      <c r="N963" s="206"/>
    </row>
    <row r="964" spans="10:14" x14ac:dyDescent="0.2">
      <c r="J964" s="206"/>
      <c r="N964" s="206"/>
    </row>
    <row r="965" spans="10:14" x14ac:dyDescent="0.2">
      <c r="J965" s="206"/>
      <c r="N965" s="206"/>
    </row>
    <row r="966" spans="10:14" x14ac:dyDescent="0.2">
      <c r="J966" s="206"/>
      <c r="N966" s="206"/>
    </row>
    <row r="967" spans="10:14" x14ac:dyDescent="0.2">
      <c r="J967" s="206"/>
      <c r="N967" s="206"/>
    </row>
    <row r="968" spans="10:14" x14ac:dyDescent="0.2">
      <c r="J968" s="206"/>
      <c r="N968" s="206"/>
    </row>
    <row r="969" spans="10:14" x14ac:dyDescent="0.2">
      <c r="J969" s="206"/>
      <c r="N969" s="206"/>
    </row>
    <row r="970" spans="10:14" x14ac:dyDescent="0.2">
      <c r="J970" s="206"/>
      <c r="N970" s="206"/>
    </row>
    <row r="971" spans="10:14" x14ac:dyDescent="0.2">
      <c r="J971" s="206"/>
      <c r="N971" s="206"/>
    </row>
    <row r="972" spans="10:14" x14ac:dyDescent="0.2">
      <c r="J972" s="206"/>
      <c r="N972" s="206"/>
    </row>
    <row r="973" spans="10:14" x14ac:dyDescent="0.2">
      <c r="J973" s="206"/>
      <c r="N973" s="206"/>
    </row>
    <row r="974" spans="10:14" x14ac:dyDescent="0.2">
      <c r="J974" s="206"/>
      <c r="N974" s="206"/>
    </row>
    <row r="975" spans="10:14" x14ac:dyDescent="0.2">
      <c r="J975" s="206"/>
      <c r="N975" s="206"/>
    </row>
    <row r="976" spans="10:14" x14ac:dyDescent="0.2">
      <c r="J976" s="206"/>
      <c r="N976" s="206"/>
    </row>
    <row r="977" spans="10:14" x14ac:dyDescent="0.2">
      <c r="J977" s="206"/>
      <c r="N977" s="206"/>
    </row>
    <row r="978" spans="10:14" x14ac:dyDescent="0.2">
      <c r="J978" s="206"/>
      <c r="N978" s="206"/>
    </row>
    <row r="979" spans="10:14" x14ac:dyDescent="0.2">
      <c r="J979" s="206"/>
      <c r="N979" s="206"/>
    </row>
    <row r="980" spans="10:14" x14ac:dyDescent="0.2">
      <c r="J980" s="206"/>
      <c r="N980" s="206"/>
    </row>
    <row r="981" spans="10:14" x14ac:dyDescent="0.2">
      <c r="J981" s="206"/>
      <c r="N981" s="206"/>
    </row>
    <row r="982" spans="10:14" x14ac:dyDescent="0.2">
      <c r="J982" s="206"/>
      <c r="N982" s="206"/>
    </row>
    <row r="983" spans="10:14" x14ac:dyDescent="0.2">
      <c r="J983" s="206"/>
      <c r="N983" s="206"/>
    </row>
    <row r="984" spans="10:14" x14ac:dyDescent="0.2">
      <c r="J984" s="206"/>
      <c r="N984" s="206"/>
    </row>
    <row r="985" spans="10:14" x14ac:dyDescent="0.2">
      <c r="J985" s="206"/>
      <c r="N985" s="206"/>
    </row>
    <row r="986" spans="10:14" x14ac:dyDescent="0.2">
      <c r="J986" s="206"/>
      <c r="N986" s="206"/>
    </row>
    <row r="987" spans="10:14" x14ac:dyDescent="0.2">
      <c r="J987" s="206"/>
      <c r="N987" s="206"/>
    </row>
    <row r="988" spans="10:14" x14ac:dyDescent="0.2">
      <c r="J988" s="206"/>
      <c r="N988" s="206"/>
    </row>
    <row r="989" spans="10:14" x14ac:dyDescent="0.2">
      <c r="J989" s="206"/>
      <c r="N989" s="206"/>
    </row>
    <row r="990" spans="10:14" x14ac:dyDescent="0.2">
      <c r="J990" s="206"/>
      <c r="N990" s="206"/>
    </row>
    <row r="991" spans="10:14" x14ac:dyDescent="0.2">
      <c r="J991" s="206"/>
      <c r="N991" s="206"/>
    </row>
    <row r="992" spans="10:14" x14ac:dyDescent="0.2">
      <c r="J992" s="206"/>
      <c r="N992" s="206"/>
    </row>
    <row r="993" spans="10:14" x14ac:dyDescent="0.2">
      <c r="J993" s="206"/>
      <c r="N993" s="206"/>
    </row>
    <row r="994" spans="10:14" x14ac:dyDescent="0.2">
      <c r="J994" s="206"/>
      <c r="N994" s="206"/>
    </row>
    <row r="995" spans="10:14" x14ac:dyDescent="0.2">
      <c r="J995" s="206"/>
      <c r="N995" s="206"/>
    </row>
    <row r="996" spans="10:14" x14ac:dyDescent="0.2">
      <c r="J996" s="206"/>
      <c r="N996" s="206"/>
    </row>
    <row r="997" spans="10:14" x14ac:dyDescent="0.2">
      <c r="J997" s="206"/>
      <c r="N997" s="206"/>
    </row>
    <row r="998" spans="10:14" x14ac:dyDescent="0.2">
      <c r="J998" s="206"/>
      <c r="N998" s="206"/>
    </row>
    <row r="999" spans="10:14" x14ac:dyDescent="0.2">
      <c r="J999" s="206"/>
      <c r="N999" s="206"/>
    </row>
    <row r="1000" spans="10:14" x14ac:dyDescent="0.2">
      <c r="J1000" s="206"/>
      <c r="N1000" s="206"/>
    </row>
    <row r="1001" spans="10:14" x14ac:dyDescent="0.2">
      <c r="J1001" s="206"/>
      <c r="N1001" s="206"/>
    </row>
    <row r="1002" spans="10:14" x14ac:dyDescent="0.2">
      <c r="J1002" s="206"/>
      <c r="N1002" s="206"/>
    </row>
    <row r="1003" spans="10:14" x14ac:dyDescent="0.2">
      <c r="J1003" s="206"/>
      <c r="N1003" s="206"/>
    </row>
    <row r="1004" spans="10:14" x14ac:dyDescent="0.2">
      <c r="J1004" s="206"/>
      <c r="N1004" s="206"/>
    </row>
    <row r="1005" spans="10:14" x14ac:dyDescent="0.2">
      <c r="J1005" s="206"/>
      <c r="N1005" s="206"/>
    </row>
    <row r="1006" spans="10:14" x14ac:dyDescent="0.2">
      <c r="J1006" s="206"/>
      <c r="N1006" s="206"/>
    </row>
    <row r="1007" spans="10:14" x14ac:dyDescent="0.2">
      <c r="J1007" s="206"/>
      <c r="N1007" s="206"/>
    </row>
    <row r="1008" spans="10:14" x14ac:dyDescent="0.2">
      <c r="J1008" s="206"/>
      <c r="N1008" s="206"/>
    </row>
    <row r="1009" spans="10:14" x14ac:dyDescent="0.2">
      <c r="J1009" s="206"/>
      <c r="N1009" s="206"/>
    </row>
    <row r="1010" spans="10:14" x14ac:dyDescent="0.2">
      <c r="J1010" s="206"/>
      <c r="N1010" s="206"/>
    </row>
    <row r="1011" spans="10:14" x14ac:dyDescent="0.2">
      <c r="J1011" s="206"/>
      <c r="N1011" s="206"/>
    </row>
    <row r="1012" spans="10:14" x14ac:dyDescent="0.2">
      <c r="J1012" s="206"/>
      <c r="N1012" s="206"/>
    </row>
    <row r="1013" spans="10:14" x14ac:dyDescent="0.2">
      <c r="J1013" s="206"/>
      <c r="N1013" s="206"/>
    </row>
    <row r="1014" spans="10:14" x14ac:dyDescent="0.2">
      <c r="J1014" s="206"/>
      <c r="N1014" s="206"/>
    </row>
    <row r="1015" spans="10:14" x14ac:dyDescent="0.2">
      <c r="J1015" s="206"/>
      <c r="N1015" s="206"/>
    </row>
    <row r="1016" spans="10:14" x14ac:dyDescent="0.2">
      <c r="J1016" s="206"/>
      <c r="N1016" s="206"/>
    </row>
    <row r="1017" spans="10:14" x14ac:dyDescent="0.2">
      <c r="J1017" s="206"/>
      <c r="N1017" s="206"/>
    </row>
    <row r="1018" spans="10:14" x14ac:dyDescent="0.2">
      <c r="J1018" s="206"/>
      <c r="N1018" s="206"/>
    </row>
    <row r="1019" spans="10:14" x14ac:dyDescent="0.2">
      <c r="J1019" s="206"/>
      <c r="N1019" s="206"/>
    </row>
  </sheetData>
  <mergeCells count="50">
    <mergeCell ref="F257:G257"/>
    <mergeCell ref="H257:I257"/>
    <mergeCell ref="F254:G254"/>
    <mergeCell ref="H254:I254"/>
    <mergeCell ref="F255:G255"/>
    <mergeCell ref="H255:I255"/>
    <mergeCell ref="F256:G256"/>
    <mergeCell ref="H256:I256"/>
    <mergeCell ref="F251:G251"/>
    <mergeCell ref="H251:I251"/>
    <mergeCell ref="F252:G252"/>
    <mergeCell ref="H252:I252"/>
    <mergeCell ref="F253:G253"/>
    <mergeCell ref="H253:I253"/>
    <mergeCell ref="C250:D250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V92:W92"/>
    <mergeCell ref="C93:D93"/>
    <mergeCell ref="W103:X103"/>
    <mergeCell ref="C238:D238"/>
    <mergeCell ref="C115:D115"/>
    <mergeCell ref="W137:X137"/>
    <mergeCell ref="F153:J153"/>
    <mergeCell ref="C154:D154"/>
    <mergeCell ref="F186:J186"/>
    <mergeCell ref="C187:D187"/>
    <mergeCell ref="F217:J217"/>
    <mergeCell ref="C218:D218"/>
    <mergeCell ref="B235:I235"/>
    <mergeCell ref="C236:D236"/>
    <mergeCell ref="C237:D237"/>
    <mergeCell ref="F114:J114"/>
    <mergeCell ref="C39:D39"/>
    <mergeCell ref="F92:J92"/>
    <mergeCell ref="F1:J1"/>
    <mergeCell ref="K1:N1"/>
    <mergeCell ref="C2:D2"/>
    <mergeCell ref="I2:J2"/>
    <mergeCell ref="F38:J38"/>
    <mergeCell ref="K38:N38"/>
  </mergeCells>
  <pageMargins left="0.7" right="0.7" top="0.78740157499999996" bottom="0.78740157499999996" header="0.3" footer="0.3"/>
  <pageSetup paperSize="9" scale="34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0"/>
  <dimension ref="A1:AD1011"/>
  <sheetViews>
    <sheetView zoomScale="85" zoomScaleNormal="85" workbookViewId="0">
      <selection activeCell="B117" sqref="B117"/>
    </sheetView>
  </sheetViews>
  <sheetFormatPr baseColWidth="10" defaultRowHeight="14.25" x14ac:dyDescent="0.2"/>
  <cols>
    <col min="1" max="1" width="16" style="142" customWidth="1"/>
    <col min="2" max="2" width="28.75" style="142" customWidth="1"/>
    <col min="3" max="3" width="17" style="142" customWidth="1"/>
    <col min="4" max="4" width="7.25" style="142" customWidth="1"/>
    <col min="5" max="5" width="35.125" style="12" customWidth="1"/>
    <col min="6" max="6" width="11.625" style="142" customWidth="1"/>
    <col min="7" max="7" width="13.625" style="142" customWidth="1"/>
    <col min="8" max="8" width="14.75" style="142" customWidth="1"/>
    <col min="9" max="9" width="10" style="142" customWidth="1"/>
    <col min="10" max="10" width="15.25" style="20" customWidth="1"/>
    <col min="11" max="11" width="11" style="142"/>
    <col min="12" max="12" width="9" style="142" customWidth="1"/>
    <col min="13" max="13" width="18.625" style="142" customWidth="1"/>
    <col min="14" max="14" width="26.25" style="20" customWidth="1"/>
    <col min="15" max="15" width="11" style="142"/>
    <col min="16" max="16" width="10.625" style="142" customWidth="1"/>
    <col min="17" max="17" width="25.375" style="142" customWidth="1"/>
    <col min="18" max="18" width="20.625" style="142" customWidth="1"/>
    <col min="19" max="19" width="17.75" style="142" customWidth="1"/>
    <col min="20" max="21" width="11" style="142"/>
    <col min="22" max="22" width="37" style="142" customWidth="1"/>
    <col min="23" max="24" width="20.25" style="142" customWidth="1"/>
    <col min="25" max="25" width="21.625" style="142" customWidth="1"/>
    <col min="26" max="26" width="22.375" style="142" customWidth="1"/>
    <col min="27" max="27" width="22.5" style="142" customWidth="1"/>
    <col min="28" max="28" width="20.5" style="142" customWidth="1"/>
    <col min="29" max="16384" width="11" style="142"/>
  </cols>
  <sheetData>
    <row r="1" spans="1:27" ht="18.75" thickBot="1" x14ac:dyDescent="0.25">
      <c r="B1" s="16"/>
      <c r="C1" s="16"/>
      <c r="D1" s="16"/>
      <c r="E1" s="16"/>
      <c r="F1" s="355" t="s">
        <v>111</v>
      </c>
      <c r="G1" s="355"/>
      <c r="H1" s="355"/>
      <c r="I1" s="355"/>
      <c r="J1" s="355"/>
      <c r="K1" s="351" t="s">
        <v>40</v>
      </c>
      <c r="L1" s="351"/>
      <c r="M1" s="351"/>
      <c r="N1" s="351"/>
    </row>
    <row r="2" spans="1:27" ht="33" x14ac:dyDescent="0.2">
      <c r="A2" s="1" t="s">
        <v>33</v>
      </c>
      <c r="B2" s="2"/>
      <c r="C2" s="356" t="s">
        <v>0</v>
      </c>
      <c r="D2" s="357"/>
      <c r="E2" s="139" t="s">
        <v>19</v>
      </c>
      <c r="F2" s="2" t="s">
        <v>1</v>
      </c>
      <c r="G2" s="2" t="s">
        <v>24</v>
      </c>
      <c r="H2" s="2" t="s">
        <v>22</v>
      </c>
      <c r="I2" s="356" t="s">
        <v>35</v>
      </c>
      <c r="J2" s="358"/>
      <c r="K2" s="140" t="s">
        <v>2</v>
      </c>
      <c r="L2" s="2" t="s">
        <v>3</v>
      </c>
      <c r="M2" s="2" t="s">
        <v>4</v>
      </c>
      <c r="N2" s="10" t="s">
        <v>5</v>
      </c>
      <c r="Z2" s="142" t="s">
        <v>134</v>
      </c>
      <c r="AA2" s="142" t="s">
        <v>131</v>
      </c>
    </row>
    <row r="3" spans="1:27" ht="16.5" thickBot="1" x14ac:dyDescent="0.25">
      <c r="A3" s="5"/>
      <c r="B3" s="6"/>
      <c r="C3" s="7" t="s">
        <v>35</v>
      </c>
      <c r="D3" s="37" t="s">
        <v>115</v>
      </c>
      <c r="E3" s="11"/>
      <c r="F3" s="6" t="s">
        <v>6</v>
      </c>
      <c r="G3" s="6" t="s">
        <v>23</v>
      </c>
      <c r="H3" s="6"/>
      <c r="I3" s="7" t="s">
        <v>35</v>
      </c>
      <c r="J3" s="37" t="s">
        <v>115</v>
      </c>
      <c r="K3" s="18" t="s">
        <v>34</v>
      </c>
      <c r="L3" s="6" t="s">
        <v>7</v>
      </c>
      <c r="M3" s="6"/>
      <c r="N3" s="8"/>
    </row>
    <row r="4" spans="1:27" x14ac:dyDescent="0.2">
      <c r="A4" s="147" t="s">
        <v>90</v>
      </c>
      <c r="B4" s="147" t="s">
        <v>13</v>
      </c>
      <c r="C4" s="147">
        <v>0</v>
      </c>
      <c r="D4" s="147" t="s">
        <v>10</v>
      </c>
      <c r="E4" s="148" t="s">
        <v>36</v>
      </c>
      <c r="F4" s="143">
        <f>C4</f>
        <v>0</v>
      </c>
      <c r="I4" s="142">
        <f>C4</f>
        <v>0</v>
      </c>
      <c r="J4" s="20" t="s">
        <v>10</v>
      </c>
      <c r="K4" s="17">
        <f>AA12</f>
        <v>0.15431880000000001</v>
      </c>
      <c r="L4" s="13">
        <f t="shared" ref="L4:L9" si="0">I4*K4</f>
        <v>0</v>
      </c>
      <c r="N4" s="142" t="s">
        <v>49</v>
      </c>
      <c r="U4" s="142" t="s">
        <v>124</v>
      </c>
      <c r="W4" s="142">
        <v>300</v>
      </c>
      <c r="X4" s="142" t="s">
        <v>130</v>
      </c>
      <c r="Y4" s="142" t="s">
        <v>125</v>
      </c>
      <c r="Z4" s="142">
        <v>485</v>
      </c>
      <c r="AA4" s="142">
        <f>W4/1000*Z4/1000</f>
        <v>0.14549999999999999</v>
      </c>
    </row>
    <row r="5" spans="1:27" ht="14.25" customHeight="1" x14ac:dyDescent="0.2">
      <c r="A5" s="161" t="s">
        <v>239</v>
      </c>
      <c r="B5" s="147" t="s">
        <v>14</v>
      </c>
      <c r="C5" s="147">
        <f>4004*1.15</f>
        <v>4604.5999999999995</v>
      </c>
      <c r="D5" s="147" t="s">
        <v>10</v>
      </c>
      <c r="E5" s="149" t="s">
        <v>37</v>
      </c>
      <c r="F5" s="143">
        <f>C5</f>
        <v>4604.5999999999995</v>
      </c>
      <c r="I5" s="142">
        <f>C5</f>
        <v>4604.5999999999995</v>
      </c>
      <c r="J5" s="20" t="s">
        <v>10</v>
      </c>
      <c r="K5" s="17">
        <f>AA27</f>
        <v>0.16408880000000001</v>
      </c>
      <c r="L5" s="143">
        <f t="shared" si="0"/>
        <v>755.56328847999998</v>
      </c>
      <c r="N5" s="142" t="s">
        <v>49</v>
      </c>
      <c r="W5" s="142">
        <v>100</v>
      </c>
      <c r="X5" s="142" t="s">
        <v>130</v>
      </c>
      <c r="Y5" s="142" t="s">
        <v>126</v>
      </c>
      <c r="Z5" s="142">
        <v>4</v>
      </c>
      <c r="AA5" s="142">
        <f t="shared" ref="AA5:AA10" si="1">W5/1000*Z5/1000</f>
        <v>4.0000000000000002E-4</v>
      </c>
    </row>
    <row r="6" spans="1:27" x14ac:dyDescent="0.2">
      <c r="A6" s="147"/>
      <c r="B6" s="147" t="s">
        <v>15</v>
      </c>
      <c r="C6" s="150">
        <f>(70+70+55+55)</f>
        <v>250</v>
      </c>
      <c r="D6" s="147" t="s">
        <v>12</v>
      </c>
      <c r="E6" s="149" t="s">
        <v>38</v>
      </c>
      <c r="F6" s="143">
        <f>C6*0.4</f>
        <v>100</v>
      </c>
      <c r="I6" s="143">
        <f>F6</f>
        <v>100</v>
      </c>
      <c r="J6" s="20" t="s">
        <v>10</v>
      </c>
      <c r="K6" s="17">
        <f>AA12</f>
        <v>0.15431880000000001</v>
      </c>
      <c r="L6" s="143">
        <f t="shared" si="0"/>
        <v>15.431880000000001</v>
      </c>
      <c r="N6" s="142" t="s">
        <v>49</v>
      </c>
      <c r="W6" s="142">
        <f>650+340+680</f>
        <v>1670</v>
      </c>
      <c r="X6" s="142" t="s">
        <v>130</v>
      </c>
      <c r="Y6" s="142" t="s">
        <v>127</v>
      </c>
      <c r="Z6" s="142">
        <v>5</v>
      </c>
      <c r="AA6" s="142">
        <f t="shared" si="1"/>
        <v>8.3499999999999998E-3</v>
      </c>
    </row>
    <row r="7" spans="1:27" x14ac:dyDescent="0.2">
      <c r="A7" s="147"/>
      <c r="B7" s="147" t="s">
        <v>8</v>
      </c>
      <c r="C7" s="147">
        <v>233</v>
      </c>
      <c r="D7" s="147" t="s">
        <v>11</v>
      </c>
      <c r="E7" s="149"/>
      <c r="F7" s="143" t="s">
        <v>25</v>
      </c>
      <c r="H7" s="142">
        <f>C7</f>
        <v>233</v>
      </c>
      <c r="I7" s="142">
        <f>H7</f>
        <v>233</v>
      </c>
      <c r="J7" s="20" t="s">
        <v>11</v>
      </c>
      <c r="K7" s="142">
        <v>0.63600000000000001</v>
      </c>
      <c r="L7" s="143">
        <f t="shared" si="0"/>
        <v>148.18799999999999</v>
      </c>
      <c r="M7" s="142" t="s">
        <v>41</v>
      </c>
      <c r="N7" s="142" t="s">
        <v>194</v>
      </c>
      <c r="W7" s="142">
        <f>200</f>
        <v>200</v>
      </c>
      <c r="X7" s="142" t="s">
        <v>130</v>
      </c>
      <c r="Y7" s="142" t="s">
        <v>128</v>
      </c>
      <c r="Z7" s="142">
        <v>0.34399999999999997</v>
      </c>
      <c r="AA7" s="142">
        <f t="shared" si="1"/>
        <v>6.8800000000000005E-5</v>
      </c>
    </row>
    <row r="8" spans="1:27" x14ac:dyDescent="0.2">
      <c r="A8" s="147"/>
      <c r="B8" s="147" t="s">
        <v>188</v>
      </c>
      <c r="C8" s="147">
        <v>0</v>
      </c>
      <c r="D8" s="147" t="s">
        <v>11</v>
      </c>
      <c r="E8" s="149"/>
      <c r="F8" s="143"/>
      <c r="H8" s="150">
        <f>C8</f>
        <v>0</v>
      </c>
      <c r="I8" s="150">
        <f>H8</f>
        <v>0</v>
      </c>
      <c r="J8" s="20" t="s">
        <v>11</v>
      </c>
      <c r="K8" s="142">
        <v>2.7109999999999999</v>
      </c>
      <c r="L8" s="143">
        <f t="shared" si="0"/>
        <v>0</v>
      </c>
      <c r="M8" s="142" t="s">
        <v>193</v>
      </c>
      <c r="N8" s="142" t="s">
        <v>194</v>
      </c>
    </row>
    <row r="9" spans="1:27" ht="15" thickBot="1" x14ac:dyDescent="0.25">
      <c r="A9" s="147"/>
      <c r="B9" s="147" t="s">
        <v>189</v>
      </c>
      <c r="C9" s="147">
        <v>0</v>
      </c>
      <c r="D9" s="147" t="s">
        <v>191</v>
      </c>
      <c r="E9" s="149" t="s">
        <v>192</v>
      </c>
      <c r="F9" s="143"/>
      <c r="I9" s="142">
        <f>C9*22/1000</f>
        <v>0</v>
      </c>
      <c r="J9" s="20" t="s">
        <v>11</v>
      </c>
      <c r="K9" s="142">
        <v>0.91300000000000003</v>
      </c>
      <c r="L9" s="143">
        <f t="shared" si="0"/>
        <v>0</v>
      </c>
      <c r="M9" s="142" t="s">
        <v>48</v>
      </c>
      <c r="N9" s="142" t="s">
        <v>49</v>
      </c>
    </row>
    <row r="10" spans="1:27" ht="15" thickBot="1" x14ac:dyDescent="0.25">
      <c r="A10" s="39"/>
      <c r="E10" s="40"/>
      <c r="F10" s="143"/>
      <c r="J10" s="26"/>
      <c r="L10" s="36">
        <f>SUM(L4:L9)</f>
        <v>919.18316847999995</v>
      </c>
      <c r="N10" s="142"/>
      <c r="W10" s="142">
        <v>2.5</v>
      </c>
      <c r="X10" s="142" t="s">
        <v>130</v>
      </c>
      <c r="Y10" s="142" t="s">
        <v>129</v>
      </c>
      <c r="AA10" s="142">
        <f t="shared" si="1"/>
        <v>0</v>
      </c>
    </row>
    <row r="11" spans="1:27" ht="13.5" customHeight="1" x14ac:dyDescent="0.2">
      <c r="A11" s="39"/>
      <c r="B11" s="39">
        <v>0.9</v>
      </c>
      <c r="C11" s="39">
        <f>B11*C6*8</f>
        <v>1800</v>
      </c>
      <c r="D11" s="39"/>
      <c r="E11" s="39"/>
      <c r="J11" s="26"/>
      <c r="N11" s="142"/>
    </row>
    <row r="12" spans="1:27" x14ac:dyDescent="0.2">
      <c r="A12" s="39"/>
      <c r="B12" s="39"/>
      <c r="C12" s="39"/>
      <c r="D12" s="39"/>
      <c r="E12" s="39"/>
      <c r="J12" s="26"/>
      <c r="N12" s="142"/>
      <c r="Z12" s="55" t="s">
        <v>132</v>
      </c>
      <c r="AA12" s="56">
        <f>SUM(AA4:AA10)</f>
        <v>0.15431880000000001</v>
      </c>
    </row>
    <row r="13" spans="1:27" x14ac:dyDescent="0.2">
      <c r="A13" s="39" t="s">
        <v>91</v>
      </c>
      <c r="B13" s="39" t="s">
        <v>16</v>
      </c>
      <c r="C13" s="39">
        <v>0</v>
      </c>
      <c r="D13" s="39" t="s">
        <v>10</v>
      </c>
      <c r="E13" s="40" t="s">
        <v>39</v>
      </c>
      <c r="F13" s="50">
        <f>C13</f>
        <v>0</v>
      </c>
      <c r="G13" s="39"/>
      <c r="H13" s="39"/>
      <c r="I13" s="39">
        <v>0</v>
      </c>
      <c r="J13" s="157" t="s">
        <v>10</v>
      </c>
      <c r="K13" s="158">
        <f>AA38</f>
        <v>0.16428880000000001</v>
      </c>
      <c r="L13" s="50">
        <f>I13*K13</f>
        <v>0</v>
      </c>
      <c r="M13" s="39"/>
      <c r="N13" s="39"/>
    </row>
    <row r="14" spans="1:27" x14ac:dyDescent="0.2">
      <c r="A14" s="39"/>
      <c r="B14" s="39" t="s">
        <v>17</v>
      </c>
      <c r="C14" s="39">
        <v>0</v>
      </c>
      <c r="D14" s="39" t="s">
        <v>18</v>
      </c>
      <c r="E14" s="40" t="s">
        <v>190</v>
      </c>
      <c r="F14" s="50" t="s">
        <v>25</v>
      </c>
      <c r="G14" s="39"/>
      <c r="H14" s="39"/>
      <c r="I14" s="39">
        <f>15/1000*C14</f>
        <v>0</v>
      </c>
      <c r="J14" s="157" t="s">
        <v>11</v>
      </c>
      <c r="K14" s="39">
        <v>2.3140000000000001</v>
      </c>
      <c r="L14" s="50">
        <f>I14*K14</f>
        <v>0</v>
      </c>
      <c r="M14" s="39" t="s">
        <v>42</v>
      </c>
      <c r="N14" s="39" t="s">
        <v>194</v>
      </c>
    </row>
    <row r="15" spans="1:27" x14ac:dyDescent="0.2">
      <c r="A15" s="39"/>
      <c r="B15" s="39" t="s">
        <v>20</v>
      </c>
      <c r="C15" s="39">
        <v>0</v>
      </c>
      <c r="D15" s="39" t="s">
        <v>12</v>
      </c>
      <c r="E15" s="40"/>
      <c r="F15" s="49">
        <f>PI()*0.025^2*C15</f>
        <v>0</v>
      </c>
      <c r="G15" s="39">
        <v>7.8</v>
      </c>
      <c r="H15" s="49">
        <f>C15*21/1000</f>
        <v>0</v>
      </c>
      <c r="I15" s="49">
        <f>H15</f>
        <v>0</v>
      </c>
      <c r="J15" s="157" t="s">
        <v>11</v>
      </c>
      <c r="K15" s="39">
        <v>2.266</v>
      </c>
      <c r="L15" s="50">
        <f>I15*K15</f>
        <v>0</v>
      </c>
      <c r="M15" s="39" t="s">
        <v>41</v>
      </c>
      <c r="N15" s="39" t="s">
        <v>194</v>
      </c>
    </row>
    <row r="16" spans="1:27" ht="14.25" customHeight="1" thickBot="1" x14ac:dyDescent="0.25">
      <c r="A16" s="39"/>
      <c r="B16" s="39" t="s">
        <v>9</v>
      </c>
      <c r="C16" s="39">
        <v>0</v>
      </c>
      <c r="D16" s="39" t="s">
        <v>11</v>
      </c>
      <c r="E16" s="40" t="s">
        <v>21</v>
      </c>
      <c r="F16" s="49"/>
      <c r="G16" s="39"/>
      <c r="H16" s="49">
        <f>C16</f>
        <v>0</v>
      </c>
      <c r="I16" s="49">
        <f>H16</f>
        <v>0</v>
      </c>
      <c r="J16" s="157" t="s">
        <v>11</v>
      </c>
      <c r="K16" s="39">
        <v>0.91300000000000003</v>
      </c>
      <c r="L16" s="50">
        <f>I16*K16</f>
        <v>0</v>
      </c>
      <c r="M16" s="39" t="s">
        <v>48</v>
      </c>
      <c r="N16" s="39" t="s">
        <v>49</v>
      </c>
      <c r="Z16" s="142" t="s">
        <v>134</v>
      </c>
      <c r="AA16" s="142" t="s">
        <v>131</v>
      </c>
    </row>
    <row r="17" spans="1:27" ht="15" thickBot="1" x14ac:dyDescent="0.25">
      <c r="A17" s="39"/>
      <c r="B17" s="39"/>
      <c r="C17" s="39"/>
      <c r="D17" s="39"/>
      <c r="E17" s="40"/>
      <c r="F17" s="49"/>
      <c r="G17" s="39"/>
      <c r="H17" s="39"/>
      <c r="I17" s="39"/>
      <c r="J17" s="159"/>
      <c r="K17" s="39"/>
      <c r="L17" s="160">
        <f>SUM(L13:L16)</f>
        <v>0</v>
      </c>
      <c r="M17" s="39"/>
      <c r="N17" s="39"/>
    </row>
    <row r="18" spans="1:27" x14ac:dyDescent="0.2">
      <c r="A18" s="39"/>
      <c r="B18" s="39"/>
      <c r="C18" s="39"/>
      <c r="D18" s="39"/>
      <c r="E18" s="39"/>
      <c r="J18" s="26"/>
      <c r="N18" s="142"/>
      <c r="U18" s="142" t="s">
        <v>133</v>
      </c>
      <c r="W18" s="142">
        <v>320</v>
      </c>
      <c r="X18" s="142" t="s">
        <v>130</v>
      </c>
      <c r="Y18" s="142" t="s">
        <v>125</v>
      </c>
      <c r="Z18" s="142">
        <v>485</v>
      </c>
      <c r="AA18" s="142">
        <f>W18/1000*Z18/1000</f>
        <v>0.1552</v>
      </c>
    </row>
    <row r="19" spans="1:27" x14ac:dyDescent="0.2">
      <c r="A19" s="39"/>
      <c r="B19" s="39"/>
      <c r="C19" s="39"/>
      <c r="D19" s="39"/>
      <c r="E19" s="39"/>
      <c r="J19" s="26"/>
      <c r="N19" s="142"/>
      <c r="W19" s="142">
        <v>80</v>
      </c>
      <c r="X19" s="142" t="s">
        <v>130</v>
      </c>
      <c r="Y19" s="142" t="s">
        <v>126</v>
      </c>
      <c r="Z19" s="142">
        <v>4</v>
      </c>
      <c r="AA19" s="142">
        <f t="shared" ref="AA19:AA25" si="2">W19/1000*Z19/1000</f>
        <v>3.2000000000000003E-4</v>
      </c>
    </row>
    <row r="20" spans="1:27" x14ac:dyDescent="0.2">
      <c r="A20" s="147" t="s">
        <v>92</v>
      </c>
      <c r="B20" s="147" t="s">
        <v>28</v>
      </c>
      <c r="C20" s="147">
        <v>4940</v>
      </c>
      <c r="D20" s="147" t="s">
        <v>26</v>
      </c>
      <c r="E20" s="149" t="s">
        <v>259</v>
      </c>
      <c r="F20" s="154" t="s">
        <v>25</v>
      </c>
      <c r="G20" s="147"/>
      <c r="H20" s="147">
        <f>C20*0.2</f>
        <v>988</v>
      </c>
      <c r="I20" s="147">
        <f>H20</f>
        <v>988</v>
      </c>
      <c r="J20" s="155" t="s">
        <v>11</v>
      </c>
      <c r="K20" s="17">
        <f>0.27*0.913+0.73*0.067</f>
        <v>0.29542000000000002</v>
      </c>
      <c r="L20" s="143">
        <f>I20*K20</f>
        <v>291.87495999999999</v>
      </c>
      <c r="M20" s="142" t="s">
        <v>137</v>
      </c>
      <c r="N20" s="142" t="s">
        <v>49</v>
      </c>
      <c r="W20" s="142">
        <f>677+341+682</f>
        <v>1700</v>
      </c>
      <c r="X20" s="142" t="s">
        <v>130</v>
      </c>
      <c r="Y20" s="142" t="s">
        <v>127</v>
      </c>
      <c r="Z20" s="142">
        <v>5</v>
      </c>
      <c r="AA20" s="142">
        <f t="shared" si="2"/>
        <v>8.5000000000000006E-3</v>
      </c>
    </row>
    <row r="21" spans="1:27" ht="15" x14ac:dyDescent="0.2">
      <c r="A21" s="161" t="s">
        <v>240</v>
      </c>
      <c r="B21" s="147" t="s">
        <v>76</v>
      </c>
      <c r="C21" s="147">
        <v>371</v>
      </c>
      <c r="D21" s="147" t="s">
        <v>11</v>
      </c>
      <c r="E21" s="149"/>
      <c r="F21" s="154" t="s">
        <v>25</v>
      </c>
      <c r="G21" s="147"/>
      <c r="H21" s="147"/>
      <c r="I21" s="147">
        <f>C21</f>
        <v>371</v>
      </c>
      <c r="J21" s="155" t="s">
        <v>11</v>
      </c>
      <c r="K21" s="142">
        <v>0.68400000000000005</v>
      </c>
      <c r="L21" s="143">
        <f>I21*K21</f>
        <v>253.76400000000001</v>
      </c>
      <c r="M21" s="142" t="s">
        <v>42</v>
      </c>
      <c r="N21" s="142" t="s">
        <v>194</v>
      </c>
      <c r="W21" s="142">
        <f>200</f>
        <v>200</v>
      </c>
      <c r="X21" s="142" t="s">
        <v>130</v>
      </c>
      <c r="Y21" s="142" t="s">
        <v>128</v>
      </c>
      <c r="Z21" s="142">
        <v>0.34399999999999997</v>
      </c>
      <c r="AA21" s="142">
        <f t="shared" si="2"/>
        <v>6.8800000000000005E-5</v>
      </c>
    </row>
    <row r="22" spans="1:27" x14ac:dyDescent="0.2">
      <c r="A22" s="147"/>
      <c r="B22" s="147" t="s">
        <v>188</v>
      </c>
      <c r="C22" s="147">
        <v>0</v>
      </c>
      <c r="D22" s="147" t="s">
        <v>11</v>
      </c>
      <c r="E22" s="149"/>
      <c r="F22" s="156"/>
      <c r="G22" s="147"/>
      <c r="H22" s="147">
        <f>C22</f>
        <v>0</v>
      </c>
      <c r="I22" s="147">
        <f>C22</f>
        <v>0</v>
      </c>
      <c r="J22" s="155" t="s">
        <v>11</v>
      </c>
      <c r="K22" s="142">
        <v>2.7109999999999999</v>
      </c>
      <c r="L22" s="143">
        <f>I22*K22</f>
        <v>0</v>
      </c>
      <c r="M22" s="142" t="s">
        <v>193</v>
      </c>
      <c r="N22" s="142" t="s">
        <v>194</v>
      </c>
    </row>
    <row r="23" spans="1:27" x14ac:dyDescent="0.2">
      <c r="A23" s="147"/>
      <c r="B23" s="147" t="s">
        <v>189</v>
      </c>
      <c r="C23" s="147">
        <v>0</v>
      </c>
      <c r="D23" s="147" t="s">
        <v>191</v>
      </c>
      <c r="E23" s="149" t="s">
        <v>192</v>
      </c>
      <c r="F23" s="156"/>
      <c r="G23" s="147"/>
      <c r="H23" s="147"/>
      <c r="I23" s="147">
        <f>C23*22/1000</f>
        <v>0</v>
      </c>
      <c r="J23" s="155" t="s">
        <v>11</v>
      </c>
      <c r="K23" s="142">
        <v>0.91300000000000003</v>
      </c>
      <c r="L23" s="143">
        <f>I23*K23</f>
        <v>0</v>
      </c>
      <c r="M23" s="142" t="s">
        <v>48</v>
      </c>
      <c r="N23" s="142" t="s">
        <v>49</v>
      </c>
    </row>
    <row r="24" spans="1:27" ht="15" thickBot="1" x14ac:dyDescent="0.25">
      <c r="A24" s="147"/>
      <c r="B24" s="147" t="s">
        <v>202</v>
      </c>
      <c r="C24" s="147">
        <v>4940</v>
      </c>
      <c r="D24" s="147" t="s">
        <v>26</v>
      </c>
      <c r="E24" s="149" t="s">
        <v>203</v>
      </c>
      <c r="F24" s="156"/>
      <c r="G24" s="147"/>
      <c r="H24" s="147">
        <f>0.008*C24</f>
        <v>39.520000000000003</v>
      </c>
      <c r="I24" s="147">
        <f>H24</f>
        <v>39.520000000000003</v>
      </c>
      <c r="J24" s="155" t="s">
        <v>11</v>
      </c>
      <c r="K24" s="142">
        <v>0.53600000000000003</v>
      </c>
      <c r="L24" s="143">
        <f>I24*K24</f>
        <v>21.182720000000003</v>
      </c>
      <c r="M24" s="142" t="s">
        <v>204</v>
      </c>
      <c r="N24" s="142" t="s">
        <v>194</v>
      </c>
    </row>
    <row r="25" spans="1:27" ht="15" thickBot="1" x14ac:dyDescent="0.25">
      <c r="A25" s="39"/>
      <c r="B25" s="39"/>
      <c r="C25" s="39"/>
      <c r="D25" s="39"/>
      <c r="E25" s="40"/>
      <c r="F25" s="13"/>
      <c r="J25" s="26"/>
      <c r="L25" s="36">
        <f>SUM(L20:L24)</f>
        <v>566.82168000000001</v>
      </c>
      <c r="N25" s="142"/>
      <c r="W25" s="142">
        <v>2.5</v>
      </c>
      <c r="X25" s="142" t="s">
        <v>130</v>
      </c>
      <c r="Y25" s="142" t="s">
        <v>129</v>
      </c>
      <c r="AA25" s="142">
        <f t="shared" si="2"/>
        <v>0</v>
      </c>
    </row>
    <row r="26" spans="1:27" ht="13.5" customHeight="1" x14ac:dyDescent="0.2">
      <c r="A26" s="39"/>
      <c r="B26" s="39"/>
      <c r="C26" s="39"/>
      <c r="D26" s="39"/>
      <c r="E26" s="39"/>
      <c r="J26" s="26"/>
      <c r="N26" s="142"/>
    </row>
    <row r="27" spans="1:27" x14ac:dyDescent="0.2">
      <c r="A27" s="39"/>
      <c r="B27" s="39"/>
      <c r="C27" s="39"/>
      <c r="D27" s="39"/>
      <c r="E27" s="39"/>
      <c r="J27" s="26"/>
      <c r="N27" s="142"/>
      <c r="Z27" s="55" t="s">
        <v>135</v>
      </c>
      <c r="AA27" s="56">
        <f>SUM(AA18:AA25)</f>
        <v>0.16408880000000001</v>
      </c>
    </row>
    <row r="28" spans="1:27" ht="15" thickBot="1" x14ac:dyDescent="0.25">
      <c r="A28" s="39" t="s">
        <v>93</v>
      </c>
      <c r="B28" s="39" t="s">
        <v>27</v>
      </c>
      <c r="C28" s="39">
        <v>0</v>
      </c>
      <c r="D28" s="39" t="s">
        <v>26</v>
      </c>
      <c r="E28" s="40" t="s">
        <v>75</v>
      </c>
      <c r="F28" s="49" t="s">
        <v>25</v>
      </c>
      <c r="G28" s="39"/>
      <c r="H28" s="39"/>
      <c r="I28" s="39">
        <f>C28*0.233</f>
        <v>0</v>
      </c>
      <c r="J28" s="157" t="s">
        <v>11</v>
      </c>
      <c r="K28" s="39">
        <v>0.91300000000000003</v>
      </c>
      <c r="L28" s="50">
        <f>I28*K28</f>
        <v>0</v>
      </c>
      <c r="M28" s="39" t="s">
        <v>48</v>
      </c>
      <c r="N28" s="39" t="s">
        <v>49</v>
      </c>
    </row>
    <row r="29" spans="1:27" ht="15" thickBo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159"/>
      <c r="K29" s="39"/>
      <c r="L29" s="160">
        <f>SUM(L28)</f>
        <v>0</v>
      </c>
      <c r="M29" s="39"/>
      <c r="N29" s="39"/>
    </row>
    <row r="30" spans="1:27" ht="13.5" customHeight="1" x14ac:dyDescent="0.2">
      <c r="A30" s="39"/>
      <c r="B30" s="39"/>
      <c r="C30" s="39"/>
      <c r="D30" s="39"/>
      <c r="E30" s="39"/>
      <c r="F30" s="39"/>
      <c r="G30" s="39"/>
      <c r="H30" s="39"/>
      <c r="I30" s="39"/>
      <c r="J30" s="159"/>
      <c r="K30" s="39"/>
      <c r="L30" s="39"/>
      <c r="M30" s="39"/>
      <c r="N30" s="39"/>
      <c r="U30" s="142" t="s">
        <v>136</v>
      </c>
      <c r="Z30" s="142" t="s">
        <v>134</v>
      </c>
      <c r="AA30" s="142" t="s">
        <v>131</v>
      </c>
    </row>
    <row r="31" spans="1:27" x14ac:dyDescent="0.2">
      <c r="A31" s="39"/>
      <c r="B31" s="39"/>
      <c r="C31" s="39"/>
      <c r="D31" s="39"/>
      <c r="E31" s="39"/>
      <c r="F31" s="39"/>
      <c r="G31" s="39"/>
      <c r="H31" s="39"/>
      <c r="I31" s="39"/>
      <c r="J31" s="159"/>
      <c r="K31" s="39"/>
      <c r="L31" s="39"/>
      <c r="M31" s="39"/>
      <c r="N31" s="39"/>
    </row>
    <row r="32" spans="1:27" x14ac:dyDescent="0.2">
      <c r="A32" s="39" t="s">
        <v>94</v>
      </c>
      <c r="B32" s="39" t="s">
        <v>43</v>
      </c>
      <c r="C32" s="39" t="s">
        <v>31</v>
      </c>
      <c r="D32" s="39" t="s">
        <v>71</v>
      </c>
      <c r="E32" s="40" t="s">
        <v>29</v>
      </c>
      <c r="F32" s="49" t="s">
        <v>25</v>
      </c>
      <c r="G32" s="39"/>
      <c r="H32" s="39">
        <v>0</v>
      </c>
      <c r="I32" s="39">
        <f>H32</f>
        <v>0</v>
      </c>
      <c r="J32" s="157" t="s">
        <v>11</v>
      </c>
      <c r="K32" s="39">
        <v>0.91300000000000003</v>
      </c>
      <c r="L32" s="50">
        <f>I32*K32</f>
        <v>0</v>
      </c>
      <c r="M32" s="39" t="s">
        <v>48</v>
      </c>
      <c r="N32" s="39" t="s">
        <v>49</v>
      </c>
      <c r="W32" s="142">
        <v>320</v>
      </c>
      <c r="X32" s="142" t="s">
        <v>130</v>
      </c>
      <c r="Y32" s="142" t="s">
        <v>125</v>
      </c>
      <c r="Z32" s="142">
        <v>485</v>
      </c>
      <c r="AA32" s="142">
        <f>W32/1000*Z32/1000</f>
        <v>0.1552</v>
      </c>
    </row>
    <row r="33" spans="1:27" x14ac:dyDescent="0.2">
      <c r="A33" s="39"/>
      <c r="B33" s="39" t="s">
        <v>44</v>
      </c>
      <c r="C33" s="39">
        <v>0</v>
      </c>
      <c r="D33" s="39" t="s">
        <v>10</v>
      </c>
      <c r="E33" s="40" t="s">
        <v>30</v>
      </c>
      <c r="F33" s="49" t="s">
        <v>25</v>
      </c>
      <c r="G33" s="39"/>
      <c r="H33" s="39">
        <v>0</v>
      </c>
      <c r="I33" s="39">
        <f>H33</f>
        <v>0</v>
      </c>
      <c r="J33" s="157" t="s">
        <v>11</v>
      </c>
      <c r="K33" s="39">
        <v>0.28000000000000003</v>
      </c>
      <c r="L33" s="50">
        <f>I33*K33</f>
        <v>0</v>
      </c>
      <c r="M33" s="39"/>
      <c r="N33" s="39" t="s">
        <v>50</v>
      </c>
      <c r="W33" s="142">
        <v>130</v>
      </c>
      <c r="X33" s="142" t="s">
        <v>130</v>
      </c>
      <c r="Y33" s="142" t="s">
        <v>126</v>
      </c>
      <c r="Z33" s="142">
        <v>4</v>
      </c>
      <c r="AA33" s="142">
        <f t="shared" ref="AA33:AA36" si="3">W33/1000*Z33/1000</f>
        <v>5.2000000000000006E-4</v>
      </c>
    </row>
    <row r="34" spans="1:27" ht="15" thickBot="1" x14ac:dyDescent="0.25">
      <c r="A34" s="39"/>
      <c r="B34" s="39" t="s">
        <v>45</v>
      </c>
      <c r="C34" s="39">
        <f>47500</f>
        <v>47500</v>
      </c>
      <c r="D34" s="39" t="s">
        <v>12</v>
      </c>
      <c r="E34" s="40" t="s">
        <v>32</v>
      </c>
      <c r="F34" s="49">
        <f>C34*PI()*(0.008^2-0.005^2)</f>
        <v>5.8198003907750913</v>
      </c>
      <c r="G34" s="39">
        <v>1.4</v>
      </c>
      <c r="H34" s="49">
        <v>0</v>
      </c>
      <c r="I34" s="49">
        <f>H34</f>
        <v>0</v>
      </c>
      <c r="J34" s="157" t="s">
        <v>11</v>
      </c>
      <c r="K34" s="39">
        <v>3.23</v>
      </c>
      <c r="L34" s="50">
        <f>I34*K34</f>
        <v>0</v>
      </c>
      <c r="M34" s="39" t="s">
        <v>47</v>
      </c>
      <c r="N34" s="39" t="s">
        <v>46</v>
      </c>
      <c r="W34" s="142">
        <f>677+341+682</f>
        <v>1700</v>
      </c>
      <c r="X34" s="142" t="s">
        <v>130</v>
      </c>
      <c r="Y34" s="142" t="s">
        <v>127</v>
      </c>
      <c r="Z34" s="142">
        <v>5</v>
      </c>
      <c r="AA34" s="142">
        <f t="shared" si="3"/>
        <v>8.5000000000000006E-3</v>
      </c>
    </row>
    <row r="35" spans="1:27" ht="15" thickBot="1" x14ac:dyDescent="0.25">
      <c r="A35" s="39"/>
      <c r="B35" s="39"/>
      <c r="C35" s="39"/>
      <c r="D35" s="39"/>
      <c r="E35" s="40"/>
      <c r="I35" s="39"/>
      <c r="J35" s="157"/>
      <c r="K35" s="39"/>
      <c r="L35" s="160">
        <f>SUM(L32:L34)</f>
        <v>0</v>
      </c>
      <c r="M35" s="39"/>
      <c r="N35" s="39"/>
      <c r="W35" s="142">
        <f>200</f>
        <v>200</v>
      </c>
      <c r="X35" s="142" t="s">
        <v>130</v>
      </c>
      <c r="Y35" s="142" t="s">
        <v>128</v>
      </c>
      <c r="Z35" s="142">
        <v>0.34399999999999997</v>
      </c>
      <c r="AA35" s="142">
        <f t="shared" si="3"/>
        <v>6.8800000000000005E-5</v>
      </c>
    </row>
    <row r="36" spans="1:27" x14ac:dyDescent="0.2">
      <c r="A36" s="39"/>
      <c r="B36" s="39"/>
      <c r="C36" s="39"/>
      <c r="D36" s="39"/>
      <c r="E36" s="40"/>
      <c r="N36" s="142"/>
      <c r="W36" s="142">
        <v>2.5</v>
      </c>
      <c r="X36" s="142" t="s">
        <v>130</v>
      </c>
      <c r="Y36" s="142" t="s">
        <v>129</v>
      </c>
      <c r="AA36" s="142">
        <f t="shared" si="3"/>
        <v>0</v>
      </c>
    </row>
    <row r="37" spans="1:27" x14ac:dyDescent="0.2">
      <c r="A37" s="39"/>
      <c r="B37" s="40"/>
      <c r="C37" s="40"/>
      <c r="D37" s="40"/>
      <c r="E37" s="40"/>
      <c r="F37" s="12"/>
      <c r="G37" s="12"/>
      <c r="H37" s="12"/>
      <c r="I37" s="12"/>
      <c r="J37" s="26"/>
      <c r="N37" s="142"/>
    </row>
    <row r="38" spans="1:27" ht="18.75" thickBot="1" x14ac:dyDescent="0.25">
      <c r="A38" s="39"/>
      <c r="B38" s="41"/>
      <c r="C38" s="41"/>
      <c r="D38" s="41"/>
      <c r="E38" s="41"/>
      <c r="F38" s="349" t="s">
        <v>112</v>
      </c>
      <c r="G38" s="349"/>
      <c r="H38" s="349"/>
      <c r="I38" s="349"/>
      <c r="J38" s="350"/>
      <c r="K38" s="351" t="s">
        <v>40</v>
      </c>
      <c r="L38" s="351"/>
      <c r="M38" s="351"/>
      <c r="N38" s="351"/>
      <c r="Z38" s="55" t="s">
        <v>136</v>
      </c>
      <c r="AA38" s="56">
        <f>SUM(AA32:AA36)</f>
        <v>0.16428880000000001</v>
      </c>
    </row>
    <row r="39" spans="1:27" ht="42.75" x14ac:dyDescent="0.2">
      <c r="A39" s="162" t="s">
        <v>33</v>
      </c>
      <c r="B39" s="163"/>
      <c r="C39" s="353" t="s">
        <v>54</v>
      </c>
      <c r="D39" s="354"/>
      <c r="E39" s="163" t="s">
        <v>19</v>
      </c>
      <c r="F39" s="22" t="s">
        <v>56</v>
      </c>
      <c r="G39" s="24" t="s">
        <v>57</v>
      </c>
      <c r="H39" s="24" t="s">
        <v>58</v>
      </c>
      <c r="I39" s="2" t="s">
        <v>74</v>
      </c>
      <c r="J39" s="28" t="s">
        <v>73</v>
      </c>
      <c r="K39" s="140" t="s">
        <v>2</v>
      </c>
      <c r="L39" s="2" t="s">
        <v>3</v>
      </c>
      <c r="M39" s="27" t="s">
        <v>72</v>
      </c>
      <c r="N39" s="10" t="s">
        <v>5</v>
      </c>
      <c r="O39" s="2" t="s">
        <v>64</v>
      </c>
    </row>
    <row r="40" spans="1:27" ht="16.5" thickBot="1" x14ac:dyDescent="0.25">
      <c r="A40" s="44"/>
      <c r="B40" s="45"/>
      <c r="C40" s="46"/>
      <c r="D40" s="47"/>
      <c r="E40" s="48"/>
      <c r="F40" s="6" t="s">
        <v>23</v>
      </c>
      <c r="G40" s="23" t="s">
        <v>7</v>
      </c>
      <c r="H40" s="6" t="s">
        <v>59</v>
      </c>
      <c r="I40" s="6" t="s">
        <v>156</v>
      </c>
      <c r="J40" s="19" t="s">
        <v>60</v>
      </c>
      <c r="K40" s="18" t="s">
        <v>62</v>
      </c>
      <c r="L40" s="6" t="s">
        <v>7</v>
      </c>
      <c r="M40" s="21" t="s">
        <v>40</v>
      </c>
      <c r="N40" s="8"/>
      <c r="O40" s="6" t="s">
        <v>63</v>
      </c>
    </row>
    <row r="41" spans="1:27" x14ac:dyDescent="0.2">
      <c r="A41" s="152" t="s">
        <v>90</v>
      </c>
      <c r="B41" s="152" t="s">
        <v>51</v>
      </c>
      <c r="C41" s="153">
        <f>I4+I5+I6</f>
        <v>4704.5999999999995</v>
      </c>
      <c r="D41" s="152" t="s">
        <v>10</v>
      </c>
      <c r="E41" s="164" t="s">
        <v>241</v>
      </c>
      <c r="F41" s="152">
        <v>2.2999999999999998</v>
      </c>
      <c r="G41" s="142">
        <f>F41*C41</f>
        <v>10820.579999999998</v>
      </c>
      <c r="H41" s="142">
        <v>24</v>
      </c>
      <c r="I41" s="142">
        <v>8</v>
      </c>
      <c r="J41" s="20">
        <v>20</v>
      </c>
      <c r="K41" s="29">
        <f>IF(N41="Road Rigid &gt; 17t",0.00122,0.0012)</f>
        <v>1.1999999999999999E-3</v>
      </c>
      <c r="L41" s="142">
        <f>J41*M41*K41*(1+O41/100)</f>
        <v>28.271999999999998</v>
      </c>
      <c r="M41" s="142">
        <f>IF($M$40&lt;&gt;0,ROUNDUP(C41/I41,0),ROUNDUP(G41/H41,0))</f>
        <v>589</v>
      </c>
      <c r="N41" s="142" t="s">
        <v>65</v>
      </c>
      <c r="O41" s="142">
        <v>100</v>
      </c>
    </row>
    <row r="42" spans="1:27" x14ac:dyDescent="0.2">
      <c r="A42" s="152"/>
      <c r="B42" s="152" t="s">
        <v>8</v>
      </c>
      <c r="C42" s="153">
        <f>I7</f>
        <v>233</v>
      </c>
      <c r="D42" s="152" t="s">
        <v>11</v>
      </c>
      <c r="E42" s="164"/>
      <c r="F42" s="152" t="s">
        <v>25</v>
      </c>
      <c r="G42" s="13">
        <f>C42</f>
        <v>233</v>
      </c>
      <c r="H42" s="142">
        <v>25</v>
      </c>
      <c r="I42" s="142">
        <f>IF(N42="Road Rigid &gt; 17t",7.5,15)</f>
        <v>15</v>
      </c>
      <c r="J42" s="20">
        <v>300</v>
      </c>
      <c r="K42" s="29">
        <f t="shared" ref="K42:K45" si="4">IF(N42="Road Rigid &gt; 17t",0.00122,0.0012)</f>
        <v>1.1999999999999999E-3</v>
      </c>
      <c r="L42" s="142">
        <f>J42*M42*K42*(1+O42/100)</f>
        <v>11.52</v>
      </c>
      <c r="M42" s="142">
        <f>IF($M$40&lt;&gt;0,ROUNDUP(G42/I42,0),ROUNDUP(G42/H42,0))</f>
        <v>16</v>
      </c>
      <c r="N42" s="142" t="s">
        <v>65</v>
      </c>
      <c r="O42" s="142">
        <v>100</v>
      </c>
    </row>
    <row r="43" spans="1:27" x14ac:dyDescent="0.2">
      <c r="A43" s="152"/>
      <c r="B43" s="152" t="s">
        <v>188</v>
      </c>
      <c r="C43" s="151">
        <f>I8</f>
        <v>0</v>
      </c>
      <c r="D43" s="152" t="s">
        <v>11</v>
      </c>
      <c r="E43" s="164"/>
      <c r="F43" s="152"/>
      <c r="G43" s="13">
        <f t="shared" ref="G43:G44" si="5">C43</f>
        <v>0</v>
      </c>
      <c r="H43" s="142">
        <v>25</v>
      </c>
      <c r="I43" s="142">
        <f>IF(N43="Road Rigid &gt; 17t",7.5,15)</f>
        <v>15</v>
      </c>
      <c r="J43" s="20">
        <v>300</v>
      </c>
      <c r="K43" s="29">
        <f t="shared" si="4"/>
        <v>1.1999999999999999E-3</v>
      </c>
      <c r="L43" s="142">
        <f>J43*M43*K43*(1+O43/100)</f>
        <v>0</v>
      </c>
      <c r="M43" s="142">
        <f>IF($M$40&lt;&gt;0,ROUNDUP(G43/I43,0),ROUNDUP(G43/H43,0))</f>
        <v>0</v>
      </c>
      <c r="N43" s="142" t="s">
        <v>65</v>
      </c>
      <c r="O43" s="142">
        <v>100</v>
      </c>
    </row>
    <row r="44" spans="1:27" x14ac:dyDescent="0.2">
      <c r="A44" s="152"/>
      <c r="B44" s="152" t="s">
        <v>189</v>
      </c>
      <c r="C44" s="151">
        <f>I9</f>
        <v>0</v>
      </c>
      <c r="D44" s="152" t="s">
        <v>11</v>
      </c>
      <c r="E44" s="164"/>
      <c r="F44" s="152"/>
      <c r="G44" s="13">
        <f t="shared" si="5"/>
        <v>0</v>
      </c>
      <c r="H44" s="142">
        <v>25</v>
      </c>
      <c r="I44" s="142">
        <f>IF(N44="Road Rigid &gt; 17t",7.5,15)</f>
        <v>15</v>
      </c>
      <c r="J44" s="20">
        <v>20</v>
      </c>
      <c r="K44" s="29">
        <f t="shared" si="4"/>
        <v>1.1999999999999999E-3</v>
      </c>
      <c r="L44" s="142">
        <f>J44*M44*K44*(1+O44/100)</f>
        <v>0</v>
      </c>
      <c r="M44" s="142">
        <f>IF($M$40&lt;&gt;0,ROUNDUP(G44/I44,0),ROUNDUP(G44/H44,0))</f>
        <v>0</v>
      </c>
      <c r="N44" s="142" t="s">
        <v>65</v>
      </c>
      <c r="O44" s="142">
        <v>100</v>
      </c>
    </row>
    <row r="45" spans="1:27" ht="15" thickBot="1" x14ac:dyDescent="0.25">
      <c r="A45" s="152"/>
      <c r="B45" s="152" t="s">
        <v>208</v>
      </c>
      <c r="C45" s="153">
        <f>C155+C160</f>
        <v>0</v>
      </c>
      <c r="D45" s="152" t="s">
        <v>70</v>
      </c>
      <c r="E45" s="164"/>
      <c r="F45" s="152"/>
      <c r="G45" s="13">
        <f>C45</f>
        <v>0</v>
      </c>
      <c r="H45" s="142">
        <v>25</v>
      </c>
      <c r="I45" s="142">
        <v>800</v>
      </c>
      <c r="J45" s="20">
        <v>50</v>
      </c>
      <c r="K45" s="29">
        <f t="shared" si="4"/>
        <v>1.2199999999999999E-3</v>
      </c>
      <c r="L45" s="142">
        <f>J45*M45*K45*(1+O45/100)</f>
        <v>0</v>
      </c>
      <c r="M45" s="142">
        <f>IF($M$40&lt;&gt;0,ROUNDUP(G45/I45,0),ROUNDUP(G45/H45,0))</f>
        <v>0</v>
      </c>
      <c r="N45" s="142" t="s">
        <v>61</v>
      </c>
      <c r="O45" s="142">
        <v>100</v>
      </c>
    </row>
    <row r="46" spans="1:27" ht="15" thickBot="1" x14ac:dyDescent="0.25">
      <c r="A46" s="39"/>
      <c r="B46" s="39"/>
      <c r="C46" s="39"/>
      <c r="D46" s="39"/>
      <c r="E46" s="40"/>
      <c r="L46" s="36">
        <f>SUM(L41:L45)</f>
        <v>39.792000000000002</v>
      </c>
      <c r="M46" s="36">
        <f>SUM(M41:M45)</f>
        <v>605</v>
      </c>
      <c r="N46" s="142"/>
    </row>
    <row r="47" spans="1:27" x14ac:dyDescent="0.2">
      <c r="A47" s="39"/>
      <c r="B47" s="39"/>
      <c r="C47" s="39"/>
      <c r="D47" s="39"/>
      <c r="E47" s="40"/>
      <c r="N47" s="142"/>
    </row>
    <row r="48" spans="1:27" x14ac:dyDescent="0.2">
      <c r="A48" s="39"/>
      <c r="B48" s="39"/>
      <c r="C48" s="39"/>
      <c r="D48" s="39"/>
      <c r="E48" s="40"/>
      <c r="N48" s="142"/>
    </row>
    <row r="49" spans="1:15" x14ac:dyDescent="0.2">
      <c r="A49" s="39" t="s">
        <v>91</v>
      </c>
      <c r="B49" s="39" t="s">
        <v>51</v>
      </c>
      <c r="C49" s="39">
        <f>C13</f>
        <v>0</v>
      </c>
      <c r="D49" s="39" t="s">
        <v>10</v>
      </c>
      <c r="E49" s="40" t="s">
        <v>113</v>
      </c>
      <c r="F49" s="39">
        <v>2.2999999999999998</v>
      </c>
      <c r="G49" s="39">
        <f>F49*C49</f>
        <v>0</v>
      </c>
      <c r="H49" s="39">
        <v>24</v>
      </c>
      <c r="I49" s="39">
        <v>8</v>
      </c>
      <c r="J49" s="157">
        <v>20</v>
      </c>
      <c r="K49" s="165">
        <f t="shared" ref="K49:K50" si="6">IF(N49="Road Rigid &gt; 17t",0.00122,0.0012)</f>
        <v>1.1999999999999999E-3</v>
      </c>
      <c r="L49" s="39">
        <f>J49*M49*K49*(1+O49/100)</f>
        <v>0</v>
      </c>
      <c r="M49" s="39">
        <f>IF($M$40&lt;&gt;0,ROUNDUP(C49/I49,0),ROUNDUP(G49/H49,0))</f>
        <v>0</v>
      </c>
      <c r="N49" s="39" t="s">
        <v>65</v>
      </c>
      <c r="O49" s="39">
        <v>100</v>
      </c>
    </row>
    <row r="50" spans="1:15" x14ac:dyDescent="0.2">
      <c r="A50" s="39"/>
      <c r="B50" s="39" t="s">
        <v>67</v>
      </c>
      <c r="C50" s="49">
        <f>I14+I15</f>
        <v>0</v>
      </c>
      <c r="D50" s="39" t="s">
        <v>11</v>
      </c>
      <c r="E50" s="40" t="s">
        <v>114</v>
      </c>
      <c r="F50" s="39" t="s">
        <v>25</v>
      </c>
      <c r="G50" s="49">
        <f>C50</f>
        <v>0</v>
      </c>
      <c r="H50" s="39">
        <v>25</v>
      </c>
      <c r="I50" s="39">
        <f>IF(N50="Road Rigid &gt; 17t",7.5,15)</f>
        <v>15</v>
      </c>
      <c r="J50" s="157">
        <v>300</v>
      </c>
      <c r="K50" s="165">
        <f t="shared" si="6"/>
        <v>1.1999999999999999E-3</v>
      </c>
      <c r="L50" s="39">
        <f>J50*M50*K50*(1+O50/100)</f>
        <v>0</v>
      </c>
      <c r="M50" s="39">
        <f>IF($M$40&lt;&gt;0,ROUNDUP(G50/I50,0),ROUNDUP(G50/H50,0))</f>
        <v>0</v>
      </c>
      <c r="N50" s="39" t="s">
        <v>65</v>
      </c>
      <c r="O50" s="39">
        <v>100</v>
      </c>
    </row>
    <row r="51" spans="1:15" ht="15" thickBot="1" x14ac:dyDescent="0.25">
      <c r="A51" s="39"/>
      <c r="B51" s="39" t="s">
        <v>52</v>
      </c>
      <c r="C51" s="49">
        <f>I16</f>
        <v>0</v>
      </c>
      <c r="D51" s="39" t="s">
        <v>11</v>
      </c>
      <c r="E51" s="40"/>
      <c r="F51" s="39" t="s">
        <v>25</v>
      </c>
      <c r="G51" s="49">
        <f t="shared" ref="G51" si="7">C51</f>
        <v>0</v>
      </c>
      <c r="H51" s="39">
        <v>25</v>
      </c>
      <c r="I51" s="39">
        <f>IF(N51="Road Rigid &gt; 17t",7.5,15)</f>
        <v>15</v>
      </c>
      <c r="J51" s="157">
        <v>20</v>
      </c>
      <c r="K51" s="165">
        <f>IF(N51="Road Rigid &gt; 17t",0.00122,0.0012)</f>
        <v>1.1999999999999999E-3</v>
      </c>
      <c r="L51" s="39">
        <f>J51*M51*K51*(1+O51/100)</f>
        <v>0</v>
      </c>
      <c r="M51" s="39">
        <f>IF($M$40&lt;&gt;0,ROUNDUP(G51/I51,0),ROUNDUP(G51/H51,0))</f>
        <v>0</v>
      </c>
      <c r="N51" s="39" t="s">
        <v>65</v>
      </c>
      <c r="O51" s="39">
        <v>100</v>
      </c>
    </row>
    <row r="52" spans="1:15" ht="15" thickBot="1" x14ac:dyDescent="0.25">
      <c r="A52" s="39"/>
      <c r="B52" s="39"/>
      <c r="C52" s="49"/>
      <c r="D52" s="39"/>
      <c r="E52" s="40"/>
      <c r="F52" s="39"/>
      <c r="G52" s="49"/>
      <c r="H52" s="39"/>
      <c r="I52" s="39"/>
      <c r="J52" s="157"/>
      <c r="K52" s="165"/>
      <c r="L52" s="160">
        <f>SUM(L49:L51)</f>
        <v>0</v>
      </c>
      <c r="M52" s="160">
        <f>SUM(M49:M51)</f>
        <v>0</v>
      </c>
      <c r="N52" s="39"/>
      <c r="O52" s="39"/>
    </row>
    <row r="53" spans="1:15" x14ac:dyDescent="0.2">
      <c r="A53" s="39"/>
      <c r="B53" s="39"/>
      <c r="C53" s="49"/>
      <c r="D53" s="39"/>
      <c r="E53" s="40"/>
      <c r="G53" s="13"/>
      <c r="K53" s="29"/>
      <c r="N53" s="142"/>
    </row>
    <row r="54" spans="1:15" x14ac:dyDescent="0.2">
      <c r="A54" s="39"/>
      <c r="B54" s="39"/>
      <c r="C54" s="39"/>
      <c r="D54" s="39"/>
      <c r="E54" s="40"/>
      <c r="N54" s="142"/>
    </row>
    <row r="55" spans="1:15" x14ac:dyDescent="0.2">
      <c r="A55" s="147" t="s">
        <v>92</v>
      </c>
      <c r="B55" s="147" t="s">
        <v>66</v>
      </c>
      <c r="C55" s="147">
        <f>I20</f>
        <v>988</v>
      </c>
      <c r="D55" s="147" t="s">
        <v>11</v>
      </c>
      <c r="E55" s="147"/>
      <c r="F55" s="147" t="s">
        <v>25</v>
      </c>
      <c r="G55" s="142">
        <f>C55</f>
        <v>988</v>
      </c>
      <c r="H55" s="142">
        <v>25</v>
      </c>
      <c r="I55" s="142">
        <f>IF(N55="Road Rigid &gt; 17t",7.5,15)</f>
        <v>15</v>
      </c>
      <c r="J55" s="20">
        <v>20</v>
      </c>
      <c r="K55" s="29">
        <f>IF(N55="Road Rigid &gt; 17t",0.00122,0.0012)</f>
        <v>1.1999999999999999E-3</v>
      </c>
      <c r="L55" s="142">
        <f t="shared" ref="L55:L60" si="8">J55*M55*K55*(1+O55/100)</f>
        <v>3.1679999999999997</v>
      </c>
      <c r="M55" s="142">
        <f t="shared" ref="M55:M60" si="9">IF($M$40&lt;&gt;0,ROUNDUP(G55/I55,0),ROUNDUP(G55/H55,0))</f>
        <v>66</v>
      </c>
      <c r="N55" s="142" t="s">
        <v>65</v>
      </c>
      <c r="O55" s="142">
        <v>100</v>
      </c>
    </row>
    <row r="56" spans="1:15" x14ac:dyDescent="0.2">
      <c r="A56" s="147"/>
      <c r="B56" s="147" t="s">
        <v>67</v>
      </c>
      <c r="C56" s="147">
        <f>I21</f>
        <v>371</v>
      </c>
      <c r="D56" s="147" t="s">
        <v>11</v>
      </c>
      <c r="E56" s="147"/>
      <c r="F56" s="147" t="s">
        <v>25</v>
      </c>
      <c r="G56" s="142">
        <f>C56</f>
        <v>371</v>
      </c>
      <c r="H56" s="142">
        <v>25</v>
      </c>
      <c r="I56" s="142">
        <f>IF(N56="Road Rigid &gt; 17t",7.5,15)</f>
        <v>15</v>
      </c>
      <c r="J56" s="20">
        <v>300</v>
      </c>
      <c r="K56" s="29">
        <f>IF(N56="Road Rigid &gt; 17t",0.00122,0.0012)</f>
        <v>1.1999999999999999E-3</v>
      </c>
      <c r="L56" s="142">
        <f t="shared" si="8"/>
        <v>18</v>
      </c>
      <c r="M56" s="142">
        <f t="shared" si="9"/>
        <v>25</v>
      </c>
      <c r="N56" s="142" t="s">
        <v>65</v>
      </c>
      <c r="O56" s="142">
        <v>100</v>
      </c>
    </row>
    <row r="57" spans="1:15" x14ac:dyDescent="0.2">
      <c r="A57" s="147"/>
      <c r="B57" s="147" t="s">
        <v>188</v>
      </c>
      <c r="C57" s="147">
        <f>I22</f>
        <v>0</v>
      </c>
      <c r="D57" s="147" t="s">
        <v>11</v>
      </c>
      <c r="E57" s="149"/>
      <c r="F57" s="147"/>
      <c r="G57" s="13">
        <f t="shared" ref="G57:G59" si="10">C57</f>
        <v>0</v>
      </c>
      <c r="H57" s="142">
        <v>25</v>
      </c>
      <c r="I57" s="142">
        <f>IF(N57="Road Rigid &gt; 17t",7.5,15)</f>
        <v>15</v>
      </c>
      <c r="J57" s="20">
        <v>300</v>
      </c>
      <c r="K57" s="29">
        <f t="shared" ref="K57:K60" si="11">IF(N57="Road Rigid &gt; 17t",0.00122,0.0012)</f>
        <v>1.1999999999999999E-3</v>
      </c>
      <c r="L57" s="142">
        <f t="shared" si="8"/>
        <v>0</v>
      </c>
      <c r="M57" s="142">
        <f t="shared" si="9"/>
        <v>0</v>
      </c>
      <c r="N57" s="142" t="s">
        <v>65</v>
      </c>
      <c r="O57" s="142">
        <v>100</v>
      </c>
    </row>
    <row r="58" spans="1:15" x14ac:dyDescent="0.2">
      <c r="A58" s="147"/>
      <c r="B58" s="147" t="s">
        <v>189</v>
      </c>
      <c r="C58" s="147">
        <f>I23</f>
        <v>0</v>
      </c>
      <c r="D58" s="147" t="s">
        <v>11</v>
      </c>
      <c r="E58" s="149"/>
      <c r="F58" s="147"/>
      <c r="G58" s="13">
        <f t="shared" si="10"/>
        <v>0</v>
      </c>
      <c r="H58" s="142">
        <v>25</v>
      </c>
      <c r="I58" s="142">
        <f>IF(N58="Road Rigid &gt; 17t",7.5,15)</f>
        <v>15</v>
      </c>
      <c r="J58" s="20">
        <v>20</v>
      </c>
      <c r="K58" s="29">
        <f t="shared" si="11"/>
        <v>1.1999999999999999E-3</v>
      </c>
      <c r="L58" s="142">
        <f t="shared" si="8"/>
        <v>0</v>
      </c>
      <c r="M58" s="142">
        <f t="shared" si="9"/>
        <v>0</v>
      </c>
      <c r="N58" s="142" t="s">
        <v>65</v>
      </c>
      <c r="O58" s="142">
        <v>100</v>
      </c>
    </row>
    <row r="59" spans="1:15" x14ac:dyDescent="0.2">
      <c r="A59" s="147"/>
      <c r="B59" s="147" t="s">
        <v>202</v>
      </c>
      <c r="C59" s="147">
        <f>I24</f>
        <v>39.520000000000003</v>
      </c>
      <c r="D59" s="147" t="s">
        <v>11</v>
      </c>
      <c r="E59" s="149"/>
      <c r="F59" s="147"/>
      <c r="G59" s="13">
        <f t="shared" si="10"/>
        <v>39.520000000000003</v>
      </c>
      <c r="H59" s="142">
        <v>25</v>
      </c>
      <c r="I59" s="142">
        <v>15</v>
      </c>
      <c r="J59" s="20">
        <v>300</v>
      </c>
      <c r="K59" s="29">
        <f t="shared" si="11"/>
        <v>1.1999999999999999E-3</v>
      </c>
      <c r="L59" s="142">
        <f t="shared" si="8"/>
        <v>2.1599999999999997</v>
      </c>
      <c r="M59" s="142">
        <f t="shared" si="9"/>
        <v>3</v>
      </c>
      <c r="N59" s="142" t="s">
        <v>65</v>
      </c>
      <c r="O59" s="142">
        <v>100</v>
      </c>
    </row>
    <row r="60" spans="1:15" ht="15" thickBot="1" x14ac:dyDescent="0.25">
      <c r="A60" s="147"/>
      <c r="B60" s="147" t="s">
        <v>208</v>
      </c>
      <c r="C60" s="156">
        <f>C165</f>
        <v>0</v>
      </c>
      <c r="D60" s="147" t="s">
        <v>70</v>
      </c>
      <c r="E60" s="149"/>
      <c r="F60" s="147"/>
      <c r="G60" s="13">
        <f>C60</f>
        <v>0</v>
      </c>
      <c r="H60" s="142">
        <v>25</v>
      </c>
      <c r="I60" s="142">
        <v>800</v>
      </c>
      <c r="J60" s="20">
        <v>50</v>
      </c>
      <c r="K60" s="29">
        <f t="shared" si="11"/>
        <v>1.2199999999999999E-3</v>
      </c>
      <c r="L60" s="142">
        <f t="shared" si="8"/>
        <v>0</v>
      </c>
      <c r="M60" s="142">
        <f t="shared" si="9"/>
        <v>0</v>
      </c>
      <c r="N60" s="142" t="s">
        <v>61</v>
      </c>
      <c r="O60" s="142">
        <v>100</v>
      </c>
    </row>
    <row r="61" spans="1:15" ht="15" thickBot="1" x14ac:dyDescent="0.25">
      <c r="A61" s="39"/>
      <c r="B61" s="39"/>
      <c r="C61" s="39"/>
      <c r="D61" s="39"/>
      <c r="E61" s="39"/>
      <c r="K61" s="29"/>
      <c r="L61" s="36">
        <f>SUM(L55:L60)</f>
        <v>23.327999999999999</v>
      </c>
      <c r="M61" s="36">
        <f>SUM(M55:M60)</f>
        <v>94</v>
      </c>
      <c r="N61" s="142"/>
    </row>
    <row r="62" spans="1:15" x14ac:dyDescent="0.2">
      <c r="A62" s="39"/>
      <c r="B62" s="39"/>
      <c r="C62" s="39"/>
      <c r="D62" s="39"/>
      <c r="E62" s="39"/>
      <c r="K62" s="29"/>
      <c r="N62" s="142"/>
    </row>
    <row r="63" spans="1:15" x14ac:dyDescent="0.2">
      <c r="A63" s="39"/>
      <c r="B63" s="39"/>
      <c r="C63" s="39"/>
      <c r="D63" s="39"/>
      <c r="E63" s="39"/>
      <c r="K63" s="29"/>
      <c r="N63" s="142"/>
    </row>
    <row r="64" spans="1:15" x14ac:dyDescent="0.2">
      <c r="A64" s="39" t="s">
        <v>93</v>
      </c>
      <c r="B64" s="39" t="s">
        <v>68</v>
      </c>
      <c r="C64" s="39">
        <f>I28</f>
        <v>0</v>
      </c>
      <c r="D64" s="39" t="s">
        <v>11</v>
      </c>
      <c r="E64" s="39"/>
      <c r="F64" s="39" t="s">
        <v>25</v>
      </c>
      <c r="G64" s="39">
        <f>C64</f>
        <v>0</v>
      </c>
      <c r="H64" s="39">
        <v>25</v>
      </c>
      <c r="I64" s="39">
        <f>IF(N64="Road Rigid &gt; 17t",7.5,15)</f>
        <v>15</v>
      </c>
      <c r="J64" s="157">
        <v>20</v>
      </c>
      <c r="K64" s="165">
        <f>IF(N64="Road Rigid &gt; 17t",0.00122,0.0012)</f>
        <v>1.1999999999999999E-3</v>
      </c>
      <c r="L64" s="39">
        <f>J64*M64*K64*(1+O64/100)</f>
        <v>0</v>
      </c>
      <c r="M64" s="39">
        <f>IF($M$40&lt;&gt;0,ROUNDUP(G64/I64,0),ROUNDUP(G64/H64,0))</f>
        <v>0</v>
      </c>
      <c r="N64" s="39" t="s">
        <v>65</v>
      </c>
      <c r="O64" s="39">
        <v>100</v>
      </c>
    </row>
    <row r="65" spans="1:15" ht="15" thickBot="1" x14ac:dyDescent="0.25">
      <c r="A65" s="39"/>
      <c r="B65" s="39" t="s">
        <v>208</v>
      </c>
      <c r="C65" s="50">
        <v>0</v>
      </c>
      <c r="D65" s="39" t="s">
        <v>70</v>
      </c>
      <c r="E65" s="40"/>
      <c r="F65" s="39"/>
      <c r="G65" s="49">
        <f>C65</f>
        <v>0</v>
      </c>
      <c r="H65" s="39">
        <v>25</v>
      </c>
      <c r="I65" s="39">
        <v>800</v>
      </c>
      <c r="J65" s="157">
        <v>0</v>
      </c>
      <c r="K65" s="165">
        <f t="shared" ref="K65" si="12">IF(N65="Road Rigid &gt; 17t",0.00122,0.0012)</f>
        <v>1.2199999999999999E-3</v>
      </c>
      <c r="L65" s="39">
        <f>J65*M65*K65*(1+O65/100)</f>
        <v>0</v>
      </c>
      <c r="M65" s="39">
        <f>IF($M$40&lt;&gt;0,ROUNDUP(G65/I65,0),ROUNDUP(G65/H65,0))</f>
        <v>0</v>
      </c>
      <c r="N65" s="39" t="s">
        <v>61</v>
      </c>
      <c r="O65" s="39">
        <v>100</v>
      </c>
    </row>
    <row r="66" spans="1:15" ht="15" thickBot="1" x14ac:dyDescent="0.25">
      <c r="A66" s="39"/>
      <c r="B66" s="39"/>
      <c r="C66" s="39"/>
      <c r="D66" s="39"/>
      <c r="E66" s="40"/>
      <c r="F66" s="39"/>
      <c r="G66" s="39"/>
      <c r="H66" s="39"/>
      <c r="I66" s="39"/>
      <c r="J66" s="157"/>
      <c r="K66" s="39"/>
      <c r="L66" s="160">
        <f>SUM(L64:L65)</f>
        <v>0</v>
      </c>
      <c r="M66" s="160">
        <f>SUM(M64:M65)</f>
        <v>0</v>
      </c>
      <c r="N66" s="39"/>
      <c r="O66" s="39"/>
    </row>
    <row r="67" spans="1:15" x14ac:dyDescent="0.2">
      <c r="A67" s="39"/>
      <c r="B67" s="39"/>
      <c r="C67" s="39"/>
      <c r="D67" s="39"/>
      <c r="E67" s="40"/>
      <c r="F67" s="39"/>
      <c r="G67" s="39"/>
      <c r="H67" s="39"/>
      <c r="I67" s="39"/>
      <c r="J67" s="157"/>
      <c r="K67" s="39"/>
      <c r="L67" s="39"/>
      <c r="M67" s="39"/>
      <c r="N67" s="39"/>
      <c r="O67" s="39"/>
    </row>
    <row r="68" spans="1:15" x14ac:dyDescent="0.2">
      <c r="A68" s="39"/>
      <c r="B68" s="39"/>
      <c r="C68" s="39"/>
      <c r="D68" s="39"/>
      <c r="E68" s="40"/>
      <c r="F68" s="39"/>
      <c r="G68" s="39"/>
      <c r="H68" s="39"/>
      <c r="I68" s="39"/>
      <c r="J68" s="157"/>
      <c r="K68" s="39"/>
      <c r="L68" s="39"/>
      <c r="M68" s="39"/>
      <c r="N68" s="39"/>
      <c r="O68" s="39"/>
    </row>
    <row r="69" spans="1:15" x14ac:dyDescent="0.2">
      <c r="A69" s="39" t="s">
        <v>94</v>
      </c>
      <c r="B69" s="39" t="s">
        <v>43</v>
      </c>
      <c r="C69" s="39">
        <f>I32</f>
        <v>0</v>
      </c>
      <c r="D69" s="39" t="s">
        <v>11</v>
      </c>
      <c r="E69" s="39"/>
      <c r="F69" s="39" t="s">
        <v>25</v>
      </c>
      <c r="G69" s="39">
        <f>C69</f>
        <v>0</v>
      </c>
      <c r="H69" s="39">
        <v>31</v>
      </c>
      <c r="I69" s="39">
        <f>IF(N69="Road Rigid &gt; 17t",7.5,15)</f>
        <v>15</v>
      </c>
      <c r="J69" s="157">
        <v>20</v>
      </c>
      <c r="K69" s="165">
        <f>IF(N69="Road Rigid &gt; 17t",0.00122,0.0012)</f>
        <v>1.1999999999999999E-3</v>
      </c>
      <c r="L69" s="39">
        <f>J69*M69*K69*(1+O69/100)</f>
        <v>0</v>
      </c>
      <c r="M69" s="39">
        <f>IF($M$40&lt;&gt;0,ROUNDUP(G69/I69,0),ROUNDUP(G69/H69,0))</f>
        <v>0</v>
      </c>
      <c r="N69" s="39" t="s">
        <v>65</v>
      </c>
      <c r="O69" s="39">
        <v>100</v>
      </c>
    </row>
    <row r="70" spans="1:15" x14ac:dyDescent="0.2">
      <c r="A70" s="39"/>
      <c r="B70" s="39" t="s">
        <v>44</v>
      </c>
      <c r="C70" s="39">
        <f>I33</f>
        <v>0</v>
      </c>
      <c r="D70" s="39" t="s">
        <v>11</v>
      </c>
      <c r="E70" s="39"/>
      <c r="F70" s="39" t="s">
        <v>25</v>
      </c>
      <c r="G70" s="39">
        <f>C70</f>
        <v>0</v>
      </c>
      <c r="H70" s="39">
        <v>32</v>
      </c>
      <c r="I70" s="39">
        <f>IF(N70="Road Rigid &gt; 17t",7.5,15)</f>
        <v>15</v>
      </c>
      <c r="J70" s="157">
        <v>300</v>
      </c>
      <c r="K70" s="165">
        <f>IF(N70="Road Rigid &gt; 17t",0.00122,0.0012)</f>
        <v>1.1999999999999999E-3</v>
      </c>
      <c r="L70" s="39">
        <f>J70*M70*K70*(1+O70/100)</f>
        <v>0</v>
      </c>
      <c r="M70" s="39">
        <f>IF($M$40&lt;&gt;0,ROUNDUP(G70/I70,0),ROUNDUP(G70/H70,0))</f>
        <v>0</v>
      </c>
      <c r="N70" s="39" t="s">
        <v>65</v>
      </c>
      <c r="O70" s="39">
        <v>100</v>
      </c>
    </row>
    <row r="71" spans="1:15" x14ac:dyDescent="0.2">
      <c r="A71" s="39"/>
      <c r="B71" s="39" t="s">
        <v>45</v>
      </c>
      <c r="C71" s="49">
        <f>I34</f>
        <v>0</v>
      </c>
      <c r="D71" s="39" t="s">
        <v>11</v>
      </c>
      <c r="E71" s="39"/>
      <c r="F71" s="39" t="s">
        <v>25</v>
      </c>
      <c r="G71" s="39">
        <f>C71</f>
        <v>0</v>
      </c>
      <c r="H71" s="39">
        <v>33</v>
      </c>
      <c r="I71" s="39">
        <f>IF(N71="Road Rigid &gt; 17t",7.5,15)</f>
        <v>15</v>
      </c>
      <c r="J71" s="157">
        <v>300</v>
      </c>
      <c r="K71" s="165">
        <f>IF(N71="Road Rigid &gt; 17t",0.00122,0.0012)</f>
        <v>1.1999999999999999E-3</v>
      </c>
      <c r="L71" s="39">
        <f>J71*M71*K71*(1+O71/100)</f>
        <v>0</v>
      </c>
      <c r="M71" s="39">
        <f>IF($M$40&lt;&gt;0,ROUNDUP(G71/I71,0),ROUNDUP(G71/H71,0))</f>
        <v>0</v>
      </c>
      <c r="N71" s="39" t="s">
        <v>65</v>
      </c>
      <c r="O71" s="39">
        <v>100</v>
      </c>
    </row>
    <row r="72" spans="1:15" ht="15" thickBot="1" x14ac:dyDescent="0.25">
      <c r="A72" s="39"/>
      <c r="B72" s="39" t="s">
        <v>208</v>
      </c>
      <c r="C72" s="50">
        <v>0</v>
      </c>
      <c r="D72" s="39" t="s">
        <v>70</v>
      </c>
      <c r="E72" s="40"/>
      <c r="F72" s="39"/>
      <c r="G72" s="49">
        <f>C72</f>
        <v>0</v>
      </c>
      <c r="H72" s="39">
        <v>25</v>
      </c>
      <c r="I72" s="39">
        <v>800</v>
      </c>
      <c r="J72" s="157">
        <v>50</v>
      </c>
      <c r="K72" s="165">
        <f t="shared" ref="K72" si="13">IF(N72="Road Rigid &gt; 17t",0.00122,0.0012)</f>
        <v>1.2199999999999999E-3</v>
      </c>
      <c r="L72" s="39">
        <f>J72*M72*K72*(1+O72/100)</f>
        <v>0</v>
      </c>
      <c r="M72" s="39">
        <f>IF($M$40&lt;&gt;0,ROUNDUP(G72/I72,0),ROUNDUP(G72/H72,0))</f>
        <v>0</v>
      </c>
      <c r="N72" s="39" t="s">
        <v>61</v>
      </c>
      <c r="O72" s="39">
        <v>100</v>
      </c>
    </row>
    <row r="73" spans="1:15" ht="15" thickBot="1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157"/>
      <c r="K73" s="165"/>
      <c r="L73" s="160">
        <f>SUM(L69:L72)</f>
        <v>0</v>
      </c>
      <c r="M73" s="160">
        <f>SUM(M69:M72)</f>
        <v>0</v>
      </c>
      <c r="N73" s="39"/>
      <c r="O73" s="39"/>
    </row>
    <row r="74" spans="1:15" x14ac:dyDescent="0.2">
      <c r="A74" s="39"/>
      <c r="B74" s="39"/>
      <c r="C74" s="39"/>
      <c r="D74" s="39"/>
      <c r="E74" s="39"/>
      <c r="K74" s="29"/>
      <c r="N74" s="142"/>
    </row>
    <row r="75" spans="1:15" x14ac:dyDescent="0.2">
      <c r="B75" s="39" t="s">
        <v>139</v>
      </c>
      <c r="C75" s="39">
        <v>0</v>
      </c>
      <c r="D75" s="39" t="s">
        <v>10</v>
      </c>
      <c r="E75" s="39" t="s">
        <v>138</v>
      </c>
      <c r="F75" s="39" t="s">
        <v>125</v>
      </c>
      <c r="G75" s="39">
        <v>0</v>
      </c>
      <c r="H75" s="39"/>
      <c r="I75" s="39">
        <v>15</v>
      </c>
      <c r="J75" s="157">
        <v>20</v>
      </c>
      <c r="K75" s="29">
        <f>IF(N75="Road Rigid &gt; 17t",0.00122,0.0012)</f>
        <v>1.2199999999999999E-3</v>
      </c>
      <c r="L75" s="142">
        <f>J75*M75*K75*(1+O75/100)</f>
        <v>0</v>
      </c>
      <c r="M75" s="142">
        <f>IF($M$40&lt;&gt;0,ROUNDUP(G75/I75,0),ROUNDUP(G75/H75,0))</f>
        <v>0</v>
      </c>
      <c r="N75" s="142" t="s">
        <v>61</v>
      </c>
      <c r="O75" s="142">
        <v>100</v>
      </c>
    </row>
    <row r="76" spans="1:15" x14ac:dyDescent="0.2">
      <c r="B76" s="39"/>
      <c r="C76" s="39"/>
      <c r="D76" s="39"/>
      <c r="E76" s="39"/>
      <c r="F76" s="39" t="s">
        <v>141</v>
      </c>
      <c r="G76" s="39">
        <v>0</v>
      </c>
      <c r="H76" s="39"/>
      <c r="I76" s="39">
        <v>15</v>
      </c>
      <c r="J76" s="157">
        <v>300</v>
      </c>
      <c r="K76" s="29">
        <f t="shared" ref="K76:K78" si="14">IF(N76="Road Rigid &gt; 17t",0.00122,0.0012)</f>
        <v>1.2199999999999999E-3</v>
      </c>
      <c r="L76" s="142">
        <f>J76*M76*K76*(1+O76/100)</f>
        <v>0</v>
      </c>
      <c r="M76" s="142">
        <f>IF($M$40&lt;&gt;0,ROUNDUP(G76/I76,0),ROUNDUP(G76/H76,0))</f>
        <v>0</v>
      </c>
      <c r="N76" s="142" t="s">
        <v>61</v>
      </c>
      <c r="O76" s="142">
        <v>100</v>
      </c>
    </row>
    <row r="77" spans="1:15" x14ac:dyDescent="0.2">
      <c r="B77" s="39"/>
      <c r="C77" s="39"/>
      <c r="D77" s="39"/>
      <c r="E77" s="39"/>
      <c r="F77" s="39" t="s">
        <v>127</v>
      </c>
      <c r="G77" s="39">
        <v>0</v>
      </c>
      <c r="H77" s="39"/>
      <c r="I77" s="39">
        <v>15</v>
      </c>
      <c r="J77" s="157">
        <v>20</v>
      </c>
      <c r="K77" s="29">
        <f t="shared" si="14"/>
        <v>1.1999999999999999E-3</v>
      </c>
      <c r="L77" s="142">
        <f>J77*M77*K77*(1+O77/100)</f>
        <v>0</v>
      </c>
      <c r="M77" s="142">
        <f>IF($M$40&lt;&gt;0,ROUNDUP(G77/I77,0),ROUNDUP(G77/H77,0))</f>
        <v>0</v>
      </c>
      <c r="N77" s="142" t="s">
        <v>65</v>
      </c>
      <c r="O77" s="142">
        <v>100</v>
      </c>
    </row>
    <row r="78" spans="1:15" ht="15" thickBot="1" x14ac:dyDescent="0.25">
      <c r="B78" s="39"/>
      <c r="C78" s="39"/>
      <c r="D78" s="39"/>
      <c r="E78" s="39"/>
      <c r="F78" s="39" t="s">
        <v>142</v>
      </c>
      <c r="G78" s="39">
        <v>0</v>
      </c>
      <c r="H78" s="39"/>
      <c r="I78" s="39">
        <v>1</v>
      </c>
      <c r="J78" s="157">
        <v>0</v>
      </c>
      <c r="K78" s="29">
        <f t="shared" si="14"/>
        <v>1.1999999999999999E-3</v>
      </c>
      <c r="L78" s="142">
        <f>J78*M78*K78*(1+O78/100)</f>
        <v>0</v>
      </c>
      <c r="M78" s="142">
        <f>IF($M$40&lt;&gt;0,ROUNDUP(G78/I78,0),ROUNDUP(G78/H78,0))</f>
        <v>0</v>
      </c>
      <c r="N78" s="142" t="s">
        <v>65</v>
      </c>
      <c r="O78" s="142">
        <v>100</v>
      </c>
    </row>
    <row r="79" spans="1:15" ht="15" thickBot="1" x14ac:dyDescent="0.25">
      <c r="B79" s="39"/>
      <c r="C79" s="39"/>
      <c r="D79" s="39"/>
      <c r="E79" s="39"/>
      <c r="K79" s="29"/>
      <c r="L79" s="36">
        <f>SUM(L75:L78)</f>
        <v>0</v>
      </c>
      <c r="M79" s="36">
        <f>SUM(M75:M77)</f>
        <v>0</v>
      </c>
      <c r="N79" s="142"/>
    </row>
    <row r="80" spans="1:15" x14ac:dyDescent="0.2">
      <c r="B80" s="39"/>
      <c r="C80" s="39"/>
      <c r="D80" s="39"/>
      <c r="E80" s="39"/>
      <c r="K80" s="29"/>
      <c r="N80" s="142"/>
    </row>
    <row r="81" spans="1:30" x14ac:dyDescent="0.2">
      <c r="A81" s="39"/>
      <c r="B81" s="147" t="s">
        <v>140</v>
      </c>
      <c r="C81" s="147">
        <f>C5</f>
        <v>4604.5999999999995</v>
      </c>
      <c r="D81" s="147" t="s">
        <v>10</v>
      </c>
      <c r="E81" s="147" t="s">
        <v>138</v>
      </c>
      <c r="F81" s="142" t="s">
        <v>125</v>
      </c>
      <c r="G81" s="13">
        <f>(W18*$C$81)/1000</f>
        <v>1473.4719999999998</v>
      </c>
      <c r="I81" s="142">
        <v>15</v>
      </c>
      <c r="J81" s="20">
        <v>20</v>
      </c>
      <c r="K81" s="29">
        <f>IF(N81="Road Rigid &gt; 17t",0.00122,0.0012)</f>
        <v>1.2199999999999999E-3</v>
      </c>
      <c r="L81" s="142">
        <f>J81*M81*K81*(1+O81/100)</f>
        <v>4.8311999999999999</v>
      </c>
      <c r="M81" s="142">
        <f>IF($M$40&lt;&gt;0,ROUNDUP(G81/I81,0),ROUNDUP(G81/H81,0))</f>
        <v>99</v>
      </c>
      <c r="N81" s="142" t="s">
        <v>61</v>
      </c>
      <c r="O81" s="142">
        <v>100</v>
      </c>
    </row>
    <row r="82" spans="1:30" x14ac:dyDescent="0.2">
      <c r="A82" s="39"/>
      <c r="B82" s="147"/>
      <c r="C82" s="147"/>
      <c r="D82" s="147"/>
      <c r="E82" s="147"/>
      <c r="F82" s="142" t="s">
        <v>141</v>
      </c>
      <c r="G82" s="13">
        <f t="shared" ref="G82:G84" si="15">(W19*$C$81)/1000</f>
        <v>368.36799999999994</v>
      </c>
      <c r="I82" s="142">
        <v>15</v>
      </c>
      <c r="J82" s="20">
        <v>300</v>
      </c>
      <c r="K82" s="29">
        <f t="shared" ref="K82:K84" si="16">IF(N82="Road Rigid &gt; 17t",0.00122,0.0012)</f>
        <v>1.2199999999999999E-3</v>
      </c>
      <c r="L82" s="142">
        <f>J82*M82*K82*(1+O82/100)</f>
        <v>18.3</v>
      </c>
      <c r="M82" s="142">
        <f>IF($M$40&lt;&gt;0,ROUNDUP(G82/I82,0),ROUNDUP(G82/H82,0))</f>
        <v>25</v>
      </c>
      <c r="N82" s="142" t="s">
        <v>61</v>
      </c>
      <c r="O82" s="142">
        <v>100</v>
      </c>
    </row>
    <row r="83" spans="1:30" x14ac:dyDescent="0.2">
      <c r="A83" s="39"/>
      <c r="B83" s="147"/>
      <c r="C83" s="147"/>
      <c r="D83" s="147"/>
      <c r="E83" s="147"/>
      <c r="F83" s="142" t="s">
        <v>127</v>
      </c>
      <c r="G83" s="13">
        <f t="shared" si="15"/>
        <v>7827.8199999999988</v>
      </c>
      <c r="I83" s="142">
        <v>15</v>
      </c>
      <c r="J83" s="20">
        <v>20</v>
      </c>
      <c r="K83" s="29">
        <f t="shared" si="16"/>
        <v>1.1999999999999999E-3</v>
      </c>
      <c r="L83" s="142">
        <f>J83*M83*K83*(1+O83/100)</f>
        <v>25.055999999999997</v>
      </c>
      <c r="M83" s="142">
        <f>IF($M$40&lt;&gt;0,ROUNDUP(G83/I83,0),ROUNDUP(G83/H83,0))</f>
        <v>522</v>
      </c>
      <c r="N83" s="142" t="s">
        <v>65</v>
      </c>
      <c r="O83" s="142">
        <v>100</v>
      </c>
      <c r="V83" s="142">
        <f>0.29781*4952+3477</f>
        <v>4951.7551199999998</v>
      </c>
      <c r="W83" s="143">
        <f>SUM(W90:W99)</f>
        <v>2218.4744872599999</v>
      </c>
      <c r="X83" s="143">
        <f>SUM(X90:X99)</f>
        <v>1327.4496870588237</v>
      </c>
      <c r="Y83" s="143">
        <f>W83-X83</f>
        <v>891.02480020117628</v>
      </c>
      <c r="Z83" s="142">
        <f>1-(X83/W83)</f>
        <v>0.40163851570890308</v>
      </c>
    </row>
    <row r="84" spans="1:30" ht="15" thickBot="1" x14ac:dyDescent="0.25">
      <c r="A84" s="39"/>
      <c r="B84" s="147"/>
      <c r="C84" s="147"/>
      <c r="D84" s="147"/>
      <c r="E84" s="147"/>
      <c r="F84" s="142" t="s">
        <v>142</v>
      </c>
      <c r="G84" s="13">
        <f t="shared" si="15"/>
        <v>920.91999999999985</v>
      </c>
      <c r="I84" s="142">
        <v>1</v>
      </c>
      <c r="J84" s="20">
        <v>0</v>
      </c>
      <c r="K84" s="29">
        <f t="shared" si="16"/>
        <v>1.1999999999999999E-3</v>
      </c>
      <c r="L84" s="142">
        <f>J84*M84*K84*(1+O84/100)</f>
        <v>0</v>
      </c>
      <c r="M84" s="142">
        <f>IF($M$40&lt;&gt;0,ROUNDUP(G84/I84,0),ROUNDUP(G84/H84,0))</f>
        <v>921</v>
      </c>
      <c r="N84" s="142" t="s">
        <v>65</v>
      </c>
      <c r="O84" s="142">
        <v>100</v>
      </c>
    </row>
    <row r="85" spans="1:30" ht="15" thickBot="1" x14ac:dyDescent="0.25">
      <c r="A85" s="39"/>
      <c r="B85" s="39"/>
      <c r="C85" s="39"/>
      <c r="D85" s="39"/>
      <c r="E85" s="39"/>
      <c r="K85" s="29"/>
      <c r="L85" s="36">
        <f>SUM(L81:L84)</f>
        <v>48.187199999999997</v>
      </c>
      <c r="M85" s="36">
        <f>SUM(M81:M83)</f>
        <v>646</v>
      </c>
      <c r="N85" s="142"/>
    </row>
    <row r="86" spans="1:30" x14ac:dyDescent="0.2">
      <c r="A86" s="39"/>
      <c r="B86" s="39"/>
      <c r="C86" s="39"/>
      <c r="D86" s="39"/>
      <c r="E86" s="39"/>
      <c r="K86" s="29"/>
      <c r="L86" s="144"/>
      <c r="N86" s="142"/>
    </row>
    <row r="87" spans="1:30" ht="15" thickBot="1" x14ac:dyDescent="0.25">
      <c r="A87" s="39"/>
      <c r="B87" s="39" t="s">
        <v>16</v>
      </c>
      <c r="C87" s="39">
        <v>9500</v>
      </c>
      <c r="D87" s="39" t="s">
        <v>10</v>
      </c>
      <c r="E87" s="39" t="s">
        <v>138</v>
      </c>
      <c r="F87" s="39" t="s">
        <v>125</v>
      </c>
      <c r="G87" s="39">
        <v>0</v>
      </c>
      <c r="H87" s="39"/>
      <c r="I87" s="39">
        <v>15</v>
      </c>
      <c r="J87" s="157">
        <v>20</v>
      </c>
      <c r="K87" s="29">
        <f>IF(N87="Road Rigid &gt; 17t",0.00122,0.0012)</f>
        <v>1.2199999999999999E-3</v>
      </c>
      <c r="L87" s="142">
        <f>J87*M87*K87*(1+O87/100)</f>
        <v>0</v>
      </c>
      <c r="M87" s="142">
        <f>IF($M$40&lt;&gt;0,ROUNDUP(G87/I87,0),ROUNDUP(G87/H87,0))</f>
        <v>0</v>
      </c>
      <c r="N87" s="142" t="s">
        <v>61</v>
      </c>
      <c r="O87" s="142">
        <v>100</v>
      </c>
    </row>
    <row r="88" spans="1:30" ht="26.25" customHeight="1" thickBot="1" x14ac:dyDescent="0.25">
      <c r="A88" s="39"/>
      <c r="B88" s="39"/>
      <c r="C88" s="39"/>
      <c r="D88" s="39"/>
      <c r="E88" s="39"/>
      <c r="F88" s="39" t="s">
        <v>141</v>
      </c>
      <c r="G88" s="39">
        <v>0</v>
      </c>
      <c r="H88" s="39"/>
      <c r="I88" s="39">
        <v>15</v>
      </c>
      <c r="J88" s="157">
        <v>300</v>
      </c>
      <c r="K88" s="29">
        <f t="shared" ref="K88:K90" si="17">IF(N88="Road Rigid &gt; 17t",0.00122,0.0012)</f>
        <v>1.2199999999999999E-3</v>
      </c>
      <c r="L88" s="142">
        <f>J88*M88*K88*(1+O88/100)</f>
        <v>0</v>
      </c>
      <c r="M88" s="142">
        <f>IF($M$40&lt;&gt;0,ROUNDUP(G88/I88,0),ROUNDUP(G88/H88,0))</f>
        <v>0</v>
      </c>
      <c r="N88" s="142" t="s">
        <v>61</v>
      </c>
      <c r="O88" s="142">
        <v>100</v>
      </c>
      <c r="V88" s="373" t="s">
        <v>250</v>
      </c>
      <c r="W88" s="374"/>
      <c r="X88" s="374"/>
      <c r="Y88" s="375"/>
    </row>
    <row r="89" spans="1:30" ht="27" customHeight="1" thickBot="1" x14ac:dyDescent="0.25">
      <c r="A89" s="39"/>
      <c r="B89" s="39"/>
      <c r="C89" s="39"/>
      <c r="D89" s="39"/>
      <c r="E89" s="39"/>
      <c r="F89" s="39" t="s">
        <v>127</v>
      </c>
      <c r="G89" s="39">
        <v>0</v>
      </c>
      <c r="H89" s="39"/>
      <c r="I89" s="39">
        <v>15</v>
      </c>
      <c r="J89" s="157">
        <v>20</v>
      </c>
      <c r="K89" s="29">
        <f t="shared" si="17"/>
        <v>1.1999999999999999E-3</v>
      </c>
      <c r="L89" s="142">
        <f>J89*M89*K89*(1+O89/100)</f>
        <v>0</v>
      </c>
      <c r="M89" s="142">
        <f>IF($M$40&lt;&gt;0,ROUNDUP(G89/I89,0),ROUNDUP(G89/H89,0))</f>
        <v>0</v>
      </c>
      <c r="N89" s="142" t="s">
        <v>65</v>
      </c>
      <c r="O89" s="142">
        <v>100</v>
      </c>
      <c r="V89" s="177" t="s">
        <v>246</v>
      </c>
      <c r="W89" s="108" t="s">
        <v>239</v>
      </c>
      <c r="X89" s="116" t="s">
        <v>245</v>
      </c>
      <c r="Y89" s="112" t="s">
        <v>244</v>
      </c>
    </row>
    <row r="90" spans="1:30" ht="27" customHeight="1" thickBot="1" x14ac:dyDescent="0.25">
      <c r="A90" s="39"/>
      <c r="B90" s="39"/>
      <c r="C90" s="39"/>
      <c r="D90" s="39"/>
      <c r="E90" s="39"/>
      <c r="F90" s="39" t="s">
        <v>142</v>
      </c>
      <c r="G90" s="39">
        <v>0</v>
      </c>
      <c r="H90" s="39"/>
      <c r="I90" s="39">
        <v>1</v>
      </c>
      <c r="J90" s="157">
        <v>0</v>
      </c>
      <c r="K90" s="29">
        <f t="shared" si="17"/>
        <v>1.1999999999999999E-3</v>
      </c>
      <c r="L90" s="142">
        <f>J90*M90*K90*(1+O90/100)</f>
        <v>0</v>
      </c>
      <c r="M90" s="142">
        <f>IF($M$40&lt;&gt;0,ROUNDUP(G90/I90,0),ROUNDUP(G90/H90,0))</f>
        <v>0</v>
      </c>
      <c r="N90" s="142" t="s">
        <v>65</v>
      </c>
      <c r="O90" s="142">
        <v>100</v>
      </c>
      <c r="V90" s="178" t="s">
        <v>255</v>
      </c>
      <c r="W90" s="109">
        <f>B236</f>
        <v>919.18316847999995</v>
      </c>
      <c r="X90" s="109">
        <f>B237</f>
        <v>566.82168000000001</v>
      </c>
      <c r="Y90" s="180">
        <f>1-(X90/W90)</f>
        <v>0.38334197204968379</v>
      </c>
    </row>
    <row r="91" spans="1:30" ht="27" customHeight="1" thickBot="1" x14ac:dyDescent="0.25">
      <c r="A91" s="39"/>
      <c r="B91" s="39"/>
      <c r="C91" s="39"/>
      <c r="D91" s="39"/>
      <c r="E91" s="40"/>
      <c r="K91" s="29"/>
      <c r="L91" s="36">
        <f>SUM(L87:L90)</f>
        <v>0</v>
      </c>
      <c r="M91" s="36">
        <f>SUM(M87:M89)</f>
        <v>0</v>
      </c>
      <c r="N91" s="142"/>
      <c r="V91" s="179" t="s">
        <v>256</v>
      </c>
      <c r="W91" s="192">
        <f>C236</f>
        <v>57.959775000000008</v>
      </c>
      <c r="X91" s="192">
        <f>C237</f>
        <v>56.510258823529412</v>
      </c>
      <c r="Y91" s="181">
        <f t="shared" ref="Y91:Y94" si="18">1-(X91/W91)</f>
        <v>2.5009002820845949E-2</v>
      </c>
    </row>
    <row r="92" spans="1:30" ht="27" customHeight="1" thickBot="1" x14ac:dyDescent="0.25">
      <c r="A92" s="39"/>
      <c r="B92" s="41"/>
      <c r="C92" s="41"/>
      <c r="D92" s="41"/>
      <c r="E92" s="41"/>
      <c r="F92" s="349" t="s">
        <v>110</v>
      </c>
      <c r="G92" s="349"/>
      <c r="H92" s="349"/>
      <c r="I92" s="349"/>
      <c r="J92" s="350"/>
      <c r="K92" s="138" t="s">
        <v>40</v>
      </c>
      <c r="L92" s="138"/>
      <c r="M92" s="138"/>
      <c r="N92" s="138"/>
      <c r="V92" s="179" t="s">
        <v>254</v>
      </c>
      <c r="W92" s="110">
        <f>E236</f>
        <v>71.118799999999993</v>
      </c>
      <c r="X92" s="110">
        <f>E237</f>
        <v>13.7204</v>
      </c>
      <c r="Y92" s="181">
        <f>1-(X92/W92)</f>
        <v>0.80707773471993338</v>
      </c>
    </row>
    <row r="93" spans="1:30" ht="27" customHeight="1" x14ac:dyDescent="0.2">
      <c r="A93" s="166" t="s">
        <v>33</v>
      </c>
      <c r="B93" s="167"/>
      <c r="C93" s="346" t="s">
        <v>54</v>
      </c>
      <c r="D93" s="347"/>
      <c r="E93" s="167" t="s">
        <v>19</v>
      </c>
      <c r="F93" s="22" t="s">
        <v>56</v>
      </c>
      <c r="G93" s="24" t="s">
        <v>57</v>
      </c>
      <c r="H93" s="24" t="s">
        <v>58</v>
      </c>
      <c r="I93" s="2" t="s">
        <v>74</v>
      </c>
      <c r="J93" s="28" t="s">
        <v>73</v>
      </c>
      <c r="K93" s="140" t="s">
        <v>2</v>
      </c>
      <c r="L93" s="2" t="s">
        <v>3</v>
      </c>
      <c r="M93" s="27" t="s">
        <v>72</v>
      </c>
      <c r="N93" s="10" t="s">
        <v>5</v>
      </c>
      <c r="O93" s="2" t="s">
        <v>64</v>
      </c>
      <c r="Q93" s="142" t="s">
        <v>236</v>
      </c>
      <c r="R93" s="142" t="s">
        <v>237</v>
      </c>
      <c r="S93" s="142" t="s">
        <v>238</v>
      </c>
      <c r="T93" s="142" t="s">
        <v>178</v>
      </c>
      <c r="U93" s="145"/>
      <c r="V93" s="179" t="s">
        <v>252</v>
      </c>
      <c r="W93" s="193">
        <f>F236</f>
        <v>7.7</v>
      </c>
      <c r="X93" s="193">
        <f>F237</f>
        <v>5.9</v>
      </c>
      <c r="Y93" s="181">
        <f t="shared" si="18"/>
        <v>0.23376623376623373</v>
      </c>
      <c r="AA93" s="12" t="s">
        <v>182</v>
      </c>
      <c r="AB93" s="12" t="s">
        <v>181</v>
      </c>
    </row>
    <row r="94" spans="1:30" ht="27" customHeight="1" thickBot="1" x14ac:dyDescent="0.25">
      <c r="A94" s="168"/>
      <c r="B94" s="169"/>
      <c r="C94" s="170"/>
      <c r="D94" s="171"/>
      <c r="E94" s="172"/>
      <c r="F94" s="6" t="s">
        <v>23</v>
      </c>
      <c r="G94" s="23" t="s">
        <v>7</v>
      </c>
      <c r="H94" s="6" t="s">
        <v>59</v>
      </c>
      <c r="I94" s="6" t="s">
        <v>59</v>
      </c>
      <c r="J94" s="19" t="s">
        <v>60</v>
      </c>
      <c r="K94" s="18" t="s">
        <v>62</v>
      </c>
      <c r="L94" s="6" t="s">
        <v>7</v>
      </c>
      <c r="M94" s="21" t="s">
        <v>77</v>
      </c>
      <c r="N94" s="8"/>
      <c r="O94" s="6" t="s">
        <v>63</v>
      </c>
      <c r="Q94" s="142" t="s">
        <v>151</v>
      </c>
      <c r="R94" s="143">
        <f>M46+M52+M79+M85+M91</f>
        <v>1251</v>
      </c>
      <c r="S94" s="143">
        <f>M98</f>
        <v>832</v>
      </c>
      <c r="U94" s="145"/>
      <c r="V94" s="179" t="s">
        <v>253</v>
      </c>
      <c r="W94" s="193">
        <f>G236</f>
        <v>2.0657999999999999</v>
      </c>
      <c r="X94" s="193">
        <f>G237</f>
        <v>1.6948235294117646</v>
      </c>
      <c r="Y94" s="181">
        <f t="shared" si="18"/>
        <v>0.17958005159658985</v>
      </c>
      <c r="Z94" s="143">
        <f>B238</f>
        <v>0</v>
      </c>
      <c r="AA94" s="66">
        <f>1-(Y90/W90)</f>
        <v>0.99958295366451977</v>
      </c>
      <c r="AB94" s="66">
        <f>1-(Y90/X90)</f>
        <v>0.99932369917105202</v>
      </c>
    </row>
    <row r="95" spans="1:30" ht="27" customHeight="1" x14ac:dyDescent="0.2">
      <c r="A95" s="147" t="s">
        <v>90</v>
      </c>
      <c r="B95" s="39" t="s">
        <v>53</v>
      </c>
      <c r="C95" s="39">
        <v>0</v>
      </c>
      <c r="D95" s="39" t="s">
        <v>11</v>
      </c>
      <c r="E95" s="40"/>
      <c r="F95" s="142" t="s">
        <v>25</v>
      </c>
      <c r="G95" s="143">
        <f>C95</f>
        <v>0</v>
      </c>
      <c r="H95" s="142">
        <v>24</v>
      </c>
      <c r="I95" s="142">
        <f>IF(N95="Road Rigid &gt; 17t",7.5,15)</f>
        <v>15</v>
      </c>
      <c r="J95" s="20">
        <v>20</v>
      </c>
      <c r="K95" s="29">
        <f>IF(N95="Road Rigid &gt; 17t",0.00122,0.0012)</f>
        <v>1.1999999999999999E-3</v>
      </c>
      <c r="L95" s="142">
        <f>J95*M95*K95*(1+O95/100)</f>
        <v>0</v>
      </c>
      <c r="M95" s="142">
        <f>IF($M$40&lt;&gt;0,ROUNDUP(G95/I95,0),ROUNDUP(G95/H95,0))</f>
        <v>0</v>
      </c>
      <c r="N95" s="142" t="s">
        <v>65</v>
      </c>
      <c r="O95" s="142">
        <v>100</v>
      </c>
      <c r="Q95" s="142" t="s">
        <v>152</v>
      </c>
      <c r="R95" s="143">
        <f>M61+M66</f>
        <v>94</v>
      </c>
      <c r="S95" s="143">
        <f>M103+M107</f>
        <v>120</v>
      </c>
      <c r="U95" s="145"/>
      <c r="V95" s="179" t="s">
        <v>258</v>
      </c>
      <c r="W95" s="192">
        <f>H236</f>
        <v>22.553700150000001</v>
      </c>
      <c r="X95" s="192">
        <f>H237</f>
        <v>13.317681176470586</v>
      </c>
      <c r="Y95" s="181">
        <f t="shared" ref="Y95" si="19">1-(X95/W95)</f>
        <v>0.40951235992775292</v>
      </c>
      <c r="Z95" s="143">
        <f>C238</f>
        <v>0</v>
      </c>
      <c r="AA95" s="66">
        <f>1-(Y92/W92)</f>
        <v>0.98865169639082873</v>
      </c>
      <c r="AB95" s="67">
        <f>1-(Y92/X92)</f>
        <v>0.94117680718346886</v>
      </c>
      <c r="AD95" s="142" t="s">
        <v>183</v>
      </c>
    </row>
    <row r="96" spans="1:30" ht="27" customHeight="1" thickBot="1" x14ac:dyDescent="0.25">
      <c r="A96" s="39"/>
      <c r="B96" s="39" t="s">
        <v>55</v>
      </c>
      <c r="C96" s="39">
        <v>0</v>
      </c>
      <c r="D96" s="39" t="s">
        <v>11</v>
      </c>
      <c r="E96" s="40"/>
      <c r="F96" s="142" t="s">
        <v>25</v>
      </c>
      <c r="G96" s="143">
        <f>C96</f>
        <v>0</v>
      </c>
      <c r="H96" s="142">
        <v>24</v>
      </c>
      <c r="I96" s="142">
        <f>IF(N96="Road Rigid &gt; 17t",7.5,15)</f>
        <v>15</v>
      </c>
      <c r="J96" s="20">
        <v>20</v>
      </c>
      <c r="K96" s="29">
        <f>IF(N96="Road Rigid &gt; 17t",0.00122,0.0012)</f>
        <v>1.1999999999999999E-3</v>
      </c>
      <c r="L96" s="142">
        <f>J96*M96*K96*(1+O96/100)</f>
        <v>0</v>
      </c>
      <c r="M96" s="142">
        <f>IF($M$40&lt;&gt;0,ROUNDUP(G96/I96,0),ROUNDUP(G96/H96,0))</f>
        <v>0</v>
      </c>
      <c r="N96" s="142" t="s">
        <v>65</v>
      </c>
      <c r="O96" s="142">
        <v>100</v>
      </c>
      <c r="Q96" s="142" t="s">
        <v>153</v>
      </c>
      <c r="R96" s="143">
        <f>M61+M73</f>
        <v>94</v>
      </c>
      <c r="S96" s="143">
        <f>M103+M111</f>
        <v>120</v>
      </c>
      <c r="U96" s="145"/>
      <c r="V96" s="190" t="s">
        <v>110</v>
      </c>
      <c r="W96" s="120">
        <f>I236</f>
        <v>28.655999999999999</v>
      </c>
      <c r="X96" s="120">
        <f>I237</f>
        <v>5.76</v>
      </c>
      <c r="Y96" s="191">
        <f>1-(X96/W96)</f>
        <v>0.79899497487437188</v>
      </c>
      <c r="Z96" s="143">
        <f>E238</f>
        <v>0</v>
      </c>
      <c r="AA96" s="66" t="e">
        <f>1-(#REF!/#REF!)</f>
        <v>#REF!</v>
      </c>
      <c r="AB96" s="66" t="e">
        <f>1-(#REF!/#REF!)</f>
        <v>#REF!</v>
      </c>
    </row>
    <row r="97" spans="1:30" ht="27" customHeight="1" thickBot="1" x14ac:dyDescent="0.25">
      <c r="A97" s="39"/>
      <c r="B97" s="147" t="s">
        <v>242</v>
      </c>
      <c r="C97" s="156">
        <f>C41*2.65</f>
        <v>12467.189999999999</v>
      </c>
      <c r="D97" s="147" t="s">
        <v>11</v>
      </c>
      <c r="E97" s="39"/>
      <c r="G97" s="143">
        <f>C97</f>
        <v>12467.189999999999</v>
      </c>
      <c r="H97" s="142">
        <v>24</v>
      </c>
      <c r="I97" s="142">
        <f>IF(N97="Road Rigid &gt; 17t",7.5,15)</f>
        <v>15</v>
      </c>
      <c r="J97" s="20">
        <v>20</v>
      </c>
      <c r="K97" s="29">
        <f>IF(N97="Road Rigid &gt; 17t",0.00122,0.0012)</f>
        <v>1.1999999999999999E-3</v>
      </c>
      <c r="L97" s="142">
        <f>J97*M97*K97*(1+O97/100)</f>
        <v>39.936</v>
      </c>
      <c r="M97" s="142">
        <f>IF($M$40&lt;&gt;0,ROUNDUP(G97/I97,0),ROUNDUP(G97/H97,0))</f>
        <v>832</v>
      </c>
      <c r="N97" s="142" t="s">
        <v>65</v>
      </c>
      <c r="O97" s="142">
        <v>100</v>
      </c>
      <c r="U97" s="145"/>
      <c r="V97" s="184" t="s">
        <v>251</v>
      </c>
      <c r="W97" s="185">
        <f>SUM(W90:W96)</f>
        <v>1109.23724363</v>
      </c>
      <c r="X97" s="185">
        <f>SUM(X90:X96)</f>
        <v>663.72484352941183</v>
      </c>
      <c r="Y97" s="186">
        <f>1-(X97/W97)</f>
        <v>0.40163851570890308</v>
      </c>
      <c r="Z97" s="143">
        <f>F238</f>
        <v>0</v>
      </c>
      <c r="AA97" s="66" t="e">
        <f>1-(Y99/W99)</f>
        <v>#DIV/0!</v>
      </c>
      <c r="AB97" s="67" t="e">
        <f>1-(Y99/X99)</f>
        <v>#DIV/0!</v>
      </c>
      <c r="AD97" s="142" t="s">
        <v>184</v>
      </c>
    </row>
    <row r="98" spans="1:30" ht="15" thickBot="1" x14ac:dyDescent="0.25">
      <c r="A98" s="39"/>
      <c r="B98" s="39"/>
      <c r="C98" s="50"/>
      <c r="D98" s="39"/>
      <c r="E98" s="40"/>
      <c r="L98" s="36">
        <f>SUM(L95:L97)</f>
        <v>39.936</v>
      </c>
      <c r="M98" s="36">
        <f>SUM(M95:M97)</f>
        <v>832</v>
      </c>
      <c r="N98" s="142"/>
      <c r="U98" s="145"/>
      <c r="V98" s="174"/>
      <c r="W98" s="175"/>
      <c r="X98" s="175"/>
      <c r="Y98" s="176"/>
      <c r="Z98" s="143">
        <f>G238</f>
        <v>0</v>
      </c>
      <c r="AA98" s="66" t="e">
        <f>1-(#REF!/#REF!)</f>
        <v>#REF!</v>
      </c>
      <c r="AB98" s="66" t="e">
        <f>1-(#REF!/#REF!)</f>
        <v>#REF!</v>
      </c>
    </row>
    <row r="99" spans="1:30" x14ac:dyDescent="0.2">
      <c r="A99" s="39"/>
      <c r="B99" s="39"/>
      <c r="C99" s="50"/>
      <c r="D99" s="39"/>
      <c r="E99" s="40"/>
      <c r="N99" s="142"/>
      <c r="Q99" s="142" t="s">
        <v>92</v>
      </c>
      <c r="R99" s="143">
        <f>M61</f>
        <v>94</v>
      </c>
      <c r="S99" s="143">
        <f>M103</f>
        <v>120</v>
      </c>
      <c r="U99" s="145"/>
      <c r="V99" s="174"/>
      <c r="W99" s="175"/>
      <c r="X99" s="175"/>
      <c r="Y99" s="176"/>
      <c r="Z99" s="143">
        <f>H238</f>
        <v>0</v>
      </c>
      <c r="AA99" s="66" t="e">
        <f>1-(Y98/W98)</f>
        <v>#DIV/0!</v>
      </c>
      <c r="AB99" s="67" t="e">
        <f>1-(Y98/X98)</f>
        <v>#DIV/0!</v>
      </c>
      <c r="AD99" s="142" t="s">
        <v>184</v>
      </c>
    </row>
    <row r="100" spans="1:30" x14ac:dyDescent="0.2">
      <c r="A100" s="147" t="s">
        <v>92</v>
      </c>
      <c r="B100" s="147" t="s">
        <v>243</v>
      </c>
      <c r="C100" s="156">
        <f>679*2.65</f>
        <v>1799.35</v>
      </c>
      <c r="D100" s="147" t="s">
        <v>11</v>
      </c>
      <c r="E100" s="39"/>
      <c r="F100" s="142" t="s">
        <v>25</v>
      </c>
      <c r="G100" s="142">
        <f t="shared" ref="G100:G101" si="20">C100</f>
        <v>1799.35</v>
      </c>
      <c r="H100" s="142">
        <v>24</v>
      </c>
      <c r="I100" s="142">
        <f>IF(N100="Road Rigid &gt; 17t",7.5,15)</f>
        <v>15</v>
      </c>
      <c r="J100" s="20">
        <v>20</v>
      </c>
      <c r="K100" s="29">
        <f t="shared" ref="K100:K102" si="21">IF(N100="Road Rigid &gt; 17t",0.00122,0.0012)</f>
        <v>1.1999999999999999E-3</v>
      </c>
      <c r="L100" s="142">
        <f>J100*M100*K100*(1+O100/100)</f>
        <v>5.76</v>
      </c>
      <c r="M100" s="142">
        <f>IF($M$40&lt;&gt;0,ROUNDUP(G100/I100,0),ROUNDUP(G100/H100,0))</f>
        <v>120</v>
      </c>
      <c r="N100" s="142" t="s">
        <v>65</v>
      </c>
      <c r="O100" s="142">
        <v>100</v>
      </c>
      <c r="Q100" s="142" t="s">
        <v>93</v>
      </c>
      <c r="R100" s="143">
        <f>M66</f>
        <v>0</v>
      </c>
      <c r="S100" s="143">
        <f>M107</f>
        <v>0</v>
      </c>
      <c r="U100" s="145"/>
      <c r="Z100" s="143">
        <f>I238</f>
        <v>0</v>
      </c>
      <c r="AA100" s="66">
        <f>1-(Y96/W96)</f>
        <v>0.97211770746529969</v>
      </c>
      <c r="AB100" s="66">
        <f>1-(Y96/X96)</f>
        <v>0.86128559463986598</v>
      </c>
    </row>
    <row r="101" spans="1:30" ht="16.5" x14ac:dyDescent="0.2">
      <c r="A101" s="39"/>
      <c r="B101" s="39" t="s">
        <v>55</v>
      </c>
      <c r="C101" s="39">
        <v>0</v>
      </c>
      <c r="D101" s="39" t="s">
        <v>11</v>
      </c>
      <c r="E101" s="39"/>
      <c r="F101" s="142" t="s">
        <v>25</v>
      </c>
      <c r="G101" s="142">
        <f t="shared" si="20"/>
        <v>0</v>
      </c>
      <c r="H101" s="142">
        <v>24</v>
      </c>
      <c r="I101" s="142">
        <f>IF(N101="Road Rigid &gt; 17t",7.5,15)</f>
        <v>15</v>
      </c>
      <c r="J101" s="20">
        <v>20</v>
      </c>
      <c r="K101" s="29">
        <f t="shared" si="21"/>
        <v>1.1999999999999999E-3</v>
      </c>
      <c r="L101" s="142">
        <f>J101*M101*K101*(1+O101/100)</f>
        <v>0</v>
      </c>
      <c r="M101" s="142">
        <f>IF($M$40&lt;&gt;0,ROUNDUP(G101/I101,0),ROUNDUP(G101/H101,0))</f>
        <v>0</v>
      </c>
      <c r="N101" s="142" t="s">
        <v>65</v>
      </c>
      <c r="O101" s="142">
        <v>100</v>
      </c>
      <c r="Q101" s="142" t="s">
        <v>94</v>
      </c>
      <c r="R101" s="143">
        <f>M73</f>
        <v>0</v>
      </c>
      <c r="S101" s="142">
        <f>0</f>
        <v>0</v>
      </c>
      <c r="V101" s="100" t="s">
        <v>187</v>
      </c>
      <c r="W101" s="101" t="s">
        <v>223</v>
      </c>
      <c r="X101" s="101" t="s">
        <v>227</v>
      </c>
      <c r="Y101" s="102"/>
      <c r="AA101" s="66" t="e">
        <f>1-(X101/W101)</f>
        <v>#VALUE!</v>
      </c>
      <c r="AB101" s="66">
        <f>1-(SUM(Y90:Y99)/SUM(X90:X99))</f>
        <v>0.99756004248067531</v>
      </c>
    </row>
    <row r="102" spans="1:30" ht="15.75" thickBot="1" x14ac:dyDescent="0.25">
      <c r="A102" s="39"/>
      <c r="B102" s="147" t="s">
        <v>206</v>
      </c>
      <c r="C102" s="147">
        <v>0</v>
      </c>
      <c r="D102" s="147" t="s">
        <v>11</v>
      </c>
      <c r="E102" s="147" t="s">
        <v>207</v>
      </c>
      <c r="F102" s="147"/>
      <c r="G102" s="147">
        <f>C102*2</f>
        <v>0</v>
      </c>
      <c r="H102" s="147">
        <v>24</v>
      </c>
      <c r="I102" s="147">
        <f>IF(N102="Road Rigid &gt; 17t",7.5,15)</f>
        <v>15</v>
      </c>
      <c r="J102" s="155">
        <v>50</v>
      </c>
      <c r="K102" s="29">
        <f t="shared" si="21"/>
        <v>1.1999999999999999E-3</v>
      </c>
      <c r="L102" s="142">
        <f>J102*M102*K102*(1+O102/100)</f>
        <v>0</v>
      </c>
      <c r="M102" s="142">
        <f>IF($M$40&lt;&gt;0,ROUNDUP(G102/I102,0),ROUNDUP(G102/H102,0))</f>
        <v>0</v>
      </c>
      <c r="N102" s="142" t="s">
        <v>65</v>
      </c>
      <c r="O102" s="142">
        <v>100</v>
      </c>
      <c r="V102" s="100"/>
      <c r="W102" s="101"/>
      <c r="X102" s="101"/>
      <c r="Y102" s="102"/>
      <c r="AA102" s="66"/>
      <c r="AB102" s="66"/>
    </row>
    <row r="103" spans="1:30" ht="17.25" thickBot="1" x14ac:dyDescent="0.35">
      <c r="A103" s="39"/>
      <c r="B103" s="39"/>
      <c r="C103" s="39"/>
      <c r="D103" s="39"/>
      <c r="E103" s="40"/>
      <c r="L103" s="36">
        <f>SUM(L100:L102)</f>
        <v>5.76</v>
      </c>
      <c r="M103" s="36">
        <f>SUM(M100:M101)</f>
        <v>120</v>
      </c>
      <c r="N103" s="142"/>
      <c r="V103" s="117" t="s">
        <v>221</v>
      </c>
      <c r="W103" s="348" t="s">
        <v>234</v>
      </c>
      <c r="X103" s="348"/>
      <c r="Y103" s="118">
        <v>0.27</v>
      </c>
    </row>
    <row r="104" spans="1:30" x14ac:dyDescent="0.2">
      <c r="A104" s="39"/>
      <c r="B104" s="39"/>
      <c r="C104" s="39"/>
      <c r="D104" s="39"/>
      <c r="E104" s="40"/>
      <c r="N104" s="142"/>
      <c r="AB104" s="66" t="e">
        <f>1-(X101/#REF!)</f>
        <v>#VALUE!</v>
      </c>
    </row>
    <row r="105" spans="1:30" x14ac:dyDescent="0.2">
      <c r="A105" s="39"/>
      <c r="B105" s="39"/>
      <c r="C105" s="39"/>
      <c r="D105" s="39"/>
      <c r="E105" s="40"/>
      <c r="L105" s="17"/>
      <c r="N105" s="142"/>
    </row>
    <row r="106" spans="1:30" ht="15" thickBot="1" x14ac:dyDescent="0.25">
      <c r="A106" s="39" t="s">
        <v>93</v>
      </c>
      <c r="B106" s="39" t="s">
        <v>69</v>
      </c>
      <c r="C106" s="39">
        <v>0</v>
      </c>
      <c r="D106" s="39" t="s">
        <v>11</v>
      </c>
      <c r="E106" s="39"/>
      <c r="F106" s="39" t="s">
        <v>25</v>
      </c>
      <c r="G106" s="39">
        <f>C106</f>
        <v>0</v>
      </c>
      <c r="H106" s="39">
        <v>24</v>
      </c>
      <c r="I106" s="39">
        <f>IF(N106="Road Rigid &gt; 17t",7.5,15)</f>
        <v>15</v>
      </c>
      <c r="J106" s="157">
        <v>20</v>
      </c>
      <c r="K106" s="165">
        <f>IF(N106="Road Rigid &gt; 17t",0.00122,0.0012)</f>
        <v>1.1999999999999999E-3</v>
      </c>
      <c r="L106" s="39">
        <f>J106*M106*K106*(1+O106/100)</f>
        <v>0</v>
      </c>
      <c r="M106" s="39">
        <f>IF($M$40&lt;&gt;0,ROUNDUP(G106/I106,0),ROUNDUP(G106/H106,0))</f>
        <v>0</v>
      </c>
      <c r="N106" s="39" t="s">
        <v>65</v>
      </c>
      <c r="O106" s="39">
        <v>100</v>
      </c>
      <c r="P106" s="39"/>
    </row>
    <row r="107" spans="1:30" ht="15" thickBot="1" x14ac:dyDescent="0.25">
      <c r="A107" s="39"/>
      <c r="B107" s="39"/>
      <c r="C107" s="39"/>
      <c r="D107" s="39"/>
      <c r="E107" s="40"/>
      <c r="F107" s="39"/>
      <c r="G107" s="39"/>
      <c r="H107" s="39"/>
      <c r="I107" s="39"/>
      <c r="J107" s="157"/>
      <c r="K107" s="39"/>
      <c r="L107" s="160">
        <f>SUM(L106)</f>
        <v>0</v>
      </c>
      <c r="M107" s="160">
        <f>SUM(M106)</f>
        <v>0</v>
      </c>
      <c r="N107" s="39"/>
      <c r="O107" s="39"/>
      <c r="P107" s="39"/>
    </row>
    <row r="108" spans="1:30" ht="15" thickBot="1" x14ac:dyDescent="0.25">
      <c r="A108" s="39"/>
      <c r="B108" s="39"/>
      <c r="C108" s="39"/>
      <c r="D108" s="39"/>
      <c r="E108" s="39"/>
      <c r="F108" s="39"/>
      <c r="G108" s="39"/>
      <c r="H108" s="39"/>
      <c r="I108" s="39"/>
      <c r="J108" s="157"/>
      <c r="K108" s="165"/>
      <c r="L108" s="39"/>
      <c r="M108" s="39"/>
      <c r="N108" s="39"/>
      <c r="O108" s="39"/>
      <c r="P108" s="39"/>
      <c r="V108" s="141"/>
      <c r="W108" s="141"/>
      <c r="X108" s="141"/>
      <c r="Y108" s="141"/>
    </row>
    <row r="109" spans="1:30" ht="33.75" thickBot="1" x14ac:dyDescent="0.25">
      <c r="A109" s="39"/>
      <c r="B109" s="39"/>
      <c r="C109" s="39"/>
      <c r="D109" s="39"/>
      <c r="E109" s="40"/>
      <c r="F109" s="39"/>
      <c r="G109" s="39"/>
      <c r="H109" s="39"/>
      <c r="I109" s="39"/>
      <c r="J109" s="157"/>
      <c r="K109" s="39"/>
      <c r="L109" s="158"/>
      <c r="M109" s="39"/>
      <c r="N109" s="39"/>
      <c r="O109" s="39"/>
      <c r="P109" s="39"/>
      <c r="U109" s="122"/>
      <c r="V109" s="104" t="s">
        <v>218</v>
      </c>
      <c r="W109" s="108" t="s">
        <v>219</v>
      </c>
      <c r="X109" s="123" t="s">
        <v>230</v>
      </c>
      <c r="Y109" s="124" t="s">
        <v>231</v>
      </c>
    </row>
    <row r="110" spans="1:30" ht="15" customHeight="1" thickBot="1" x14ac:dyDescent="0.25">
      <c r="A110" s="39" t="s">
        <v>94</v>
      </c>
      <c r="B110" s="39" t="s">
        <v>25</v>
      </c>
      <c r="C110" s="39" t="s">
        <v>25</v>
      </c>
      <c r="D110" s="39" t="s">
        <v>25</v>
      </c>
      <c r="E110" s="39" t="s">
        <v>25</v>
      </c>
      <c r="F110" s="39" t="s">
        <v>25</v>
      </c>
      <c r="G110" s="39" t="s">
        <v>25</v>
      </c>
      <c r="H110" s="39" t="s">
        <v>25</v>
      </c>
      <c r="I110" s="39" t="s">
        <v>25</v>
      </c>
      <c r="J110" s="157" t="s">
        <v>25</v>
      </c>
      <c r="K110" s="39" t="s">
        <v>25</v>
      </c>
      <c r="L110" s="39" t="s">
        <v>25</v>
      </c>
      <c r="M110" s="39" t="s">
        <v>25</v>
      </c>
      <c r="N110" s="39" t="s">
        <v>25</v>
      </c>
      <c r="O110" s="39" t="s">
        <v>25</v>
      </c>
      <c r="P110" s="39"/>
      <c r="U110" s="122"/>
      <c r="V110" s="130" t="s">
        <v>211</v>
      </c>
      <c r="W110" s="119">
        <v>4952.2054160000007</v>
      </c>
      <c r="X110" s="125">
        <f>1-X90/W90</f>
        <v>0.38334197204968379</v>
      </c>
      <c r="Y110" s="126">
        <f>1-Z94/W90</f>
        <v>1</v>
      </c>
    </row>
    <row r="111" spans="1:30" ht="15" customHeight="1" thickBot="1" x14ac:dyDescent="0.25">
      <c r="A111" s="39"/>
      <c r="B111" s="39"/>
      <c r="C111" s="39"/>
      <c r="D111" s="39"/>
      <c r="E111" s="39"/>
      <c r="F111" s="39"/>
      <c r="G111" s="39"/>
      <c r="H111" s="39"/>
      <c r="I111" s="39"/>
      <c r="J111" s="157"/>
      <c r="K111" s="39"/>
      <c r="L111" s="160">
        <f>SUM(L110)</f>
        <v>0</v>
      </c>
      <c r="M111" s="39">
        <v>0</v>
      </c>
      <c r="N111" s="39"/>
      <c r="O111" s="39"/>
      <c r="P111" s="39"/>
      <c r="U111" s="122"/>
      <c r="V111" s="106" t="s">
        <v>214</v>
      </c>
      <c r="W111" s="110">
        <v>282.07732620000002</v>
      </c>
      <c r="X111" s="125" t="e">
        <f>1-#REF!/#REF!</f>
        <v>#REF!</v>
      </c>
      <c r="Y111" s="126" t="e">
        <f>1-Z95/#REF!</f>
        <v>#REF!</v>
      </c>
    </row>
    <row r="112" spans="1:30" ht="15" customHeight="1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157"/>
      <c r="K112" s="39"/>
      <c r="L112" s="39"/>
      <c r="M112" s="39"/>
      <c r="N112" s="39"/>
      <c r="O112" s="39"/>
      <c r="P112" s="39"/>
      <c r="U112" s="122"/>
      <c r="V112" s="106" t="s">
        <v>212</v>
      </c>
      <c r="W112" s="110">
        <v>327.0136</v>
      </c>
      <c r="X112" s="125">
        <f>1-X92/W92</f>
        <v>0.80707773471993338</v>
      </c>
      <c r="Y112" s="126">
        <f>1-Z96/W92</f>
        <v>1</v>
      </c>
    </row>
    <row r="113" spans="1:25" ht="15" customHeight="1" x14ac:dyDescent="0.2">
      <c r="A113" s="39"/>
      <c r="B113" s="39"/>
      <c r="C113" s="39"/>
      <c r="D113" s="39"/>
      <c r="E113" s="39"/>
      <c r="N113" s="142"/>
      <c r="U113" s="122"/>
      <c r="V113" s="106" t="s">
        <v>215</v>
      </c>
      <c r="W113" s="110">
        <v>42.5</v>
      </c>
      <c r="X113" s="125" t="e">
        <f>1-#REF!/#REF!</f>
        <v>#REF!</v>
      </c>
      <c r="Y113" s="126" t="e">
        <f>1-Z97/#REF!</f>
        <v>#REF!</v>
      </c>
    </row>
    <row r="114" spans="1:25" ht="15" customHeight="1" thickBot="1" x14ac:dyDescent="0.25">
      <c r="A114" s="39"/>
      <c r="B114" s="41"/>
      <c r="C114" s="41"/>
      <c r="D114" s="41"/>
      <c r="E114" s="41"/>
      <c r="F114" s="349" t="s">
        <v>78</v>
      </c>
      <c r="G114" s="349"/>
      <c r="H114" s="349"/>
      <c r="I114" s="349"/>
      <c r="J114" s="350"/>
      <c r="N114" s="142"/>
      <c r="U114" s="122"/>
      <c r="V114" s="106" t="s">
        <v>217</v>
      </c>
      <c r="W114" s="110">
        <v>5.6320000000000006</v>
      </c>
      <c r="X114" s="125" t="e">
        <f t="shared" ref="X114:X115" si="22">1-X98/W98</f>
        <v>#DIV/0!</v>
      </c>
      <c r="Y114" s="126" t="e">
        <f t="shared" ref="Y114:Y115" si="23">1-Z98/W98</f>
        <v>#DIV/0!</v>
      </c>
    </row>
    <row r="115" spans="1:25" ht="15" customHeight="1" x14ac:dyDescent="0.2">
      <c r="A115" s="166" t="s">
        <v>33</v>
      </c>
      <c r="B115" s="167"/>
      <c r="C115" s="346" t="s">
        <v>82</v>
      </c>
      <c r="D115" s="347"/>
      <c r="E115" s="167"/>
      <c r="F115" s="22" t="s">
        <v>103</v>
      </c>
      <c r="G115" s="24" t="s">
        <v>102</v>
      </c>
      <c r="H115" s="24" t="s">
        <v>105</v>
      </c>
      <c r="I115" s="140" t="s">
        <v>2</v>
      </c>
      <c r="J115" s="2" t="s">
        <v>3</v>
      </c>
      <c r="N115" s="142"/>
      <c r="O115" s="61" t="s">
        <v>144</v>
      </c>
      <c r="P115" s="61" t="s">
        <v>146</v>
      </c>
      <c r="Q115" s="61" t="s">
        <v>145</v>
      </c>
      <c r="R115" s="61" t="s">
        <v>154</v>
      </c>
      <c r="S115" s="61" t="s">
        <v>147</v>
      </c>
      <c r="U115" s="122"/>
      <c r="V115" s="106" t="s">
        <v>213</v>
      </c>
      <c r="W115" s="110">
        <v>45.913284666666669</v>
      </c>
      <c r="X115" s="125" t="e">
        <f t="shared" si="22"/>
        <v>#DIV/0!</v>
      </c>
      <c r="Y115" s="126" t="e">
        <f t="shared" si="23"/>
        <v>#DIV/0!</v>
      </c>
    </row>
    <row r="116" spans="1:25" ht="15" customHeight="1" thickBot="1" x14ac:dyDescent="0.25">
      <c r="A116" s="168"/>
      <c r="B116" s="169"/>
      <c r="C116" s="170"/>
      <c r="D116" s="171"/>
      <c r="E116" s="172"/>
      <c r="F116" s="6" t="s">
        <v>107</v>
      </c>
      <c r="G116" s="23" t="s">
        <v>104</v>
      </c>
      <c r="H116" s="6" t="s">
        <v>106</v>
      </c>
      <c r="I116" s="18" t="s">
        <v>34</v>
      </c>
      <c r="J116" s="6" t="s">
        <v>7</v>
      </c>
      <c r="N116" s="142"/>
      <c r="O116" s="61" t="s">
        <v>157</v>
      </c>
      <c r="P116" s="61" t="s">
        <v>149</v>
      </c>
      <c r="Q116" s="61" t="s">
        <v>148</v>
      </c>
      <c r="R116" s="61" t="s">
        <v>155</v>
      </c>
      <c r="S116" s="61" t="s">
        <v>150</v>
      </c>
      <c r="U116" s="122"/>
      <c r="V116" s="131" t="s">
        <v>210</v>
      </c>
      <c r="W116" s="120">
        <v>547.87199999999996</v>
      </c>
      <c r="X116" s="128">
        <f>1-X96/W96</f>
        <v>0.79899497487437188</v>
      </c>
      <c r="Y116" s="129">
        <f>1-Z100/W96</f>
        <v>1</v>
      </c>
    </row>
    <row r="117" spans="1:25" ht="15" customHeight="1" x14ac:dyDescent="0.2">
      <c r="A117" s="147" t="s">
        <v>90</v>
      </c>
      <c r="B117" s="147" t="s">
        <v>84</v>
      </c>
      <c r="C117" s="147">
        <v>200</v>
      </c>
      <c r="D117" s="147" t="s">
        <v>11</v>
      </c>
      <c r="E117" s="147"/>
      <c r="F117" s="143">
        <v>0</v>
      </c>
      <c r="G117" s="142">
        <v>10</v>
      </c>
      <c r="H117" s="142">
        <v>150</v>
      </c>
      <c r="I117" s="142">
        <v>3.6669999999999998</v>
      </c>
      <c r="J117" s="13">
        <f>C117*(F117/H117)/G117*I117</f>
        <v>0</v>
      </c>
      <c r="N117" s="142"/>
      <c r="O117" s="142" t="s">
        <v>151</v>
      </c>
      <c r="P117" s="142">
        <f>4952+282+98+43+20+0.5*(315+548)</f>
        <v>5826.5</v>
      </c>
      <c r="Q117" s="142">
        <f>4952+282+98+43+20+1*(315+548)</f>
        <v>6258</v>
      </c>
      <c r="R117" s="142">
        <f>4952+282+98+43+20+1.5*(315+548)</f>
        <v>6689.5</v>
      </c>
      <c r="S117" s="142">
        <f>4952+282+98+43+20+2*(315+548)</f>
        <v>7121</v>
      </c>
      <c r="V117" s="100" t="s">
        <v>187</v>
      </c>
      <c r="W117" s="101" t="s">
        <v>223</v>
      </c>
      <c r="X117" s="103">
        <v>0.27</v>
      </c>
      <c r="Y117" s="103">
        <v>0.42</v>
      </c>
    </row>
    <row r="118" spans="1:25" ht="15" customHeight="1" x14ac:dyDescent="0.2">
      <c r="A118" s="147"/>
      <c r="B118" s="147" t="s">
        <v>108</v>
      </c>
      <c r="C118" s="147">
        <v>30</v>
      </c>
      <c r="D118" s="147" t="s">
        <v>11</v>
      </c>
      <c r="E118" s="147" t="s">
        <v>121</v>
      </c>
      <c r="F118" s="143">
        <v>0</v>
      </c>
      <c r="G118" s="142">
        <v>10</v>
      </c>
      <c r="H118" s="142">
        <v>150</v>
      </c>
      <c r="I118" s="142">
        <v>3.6669999999999998</v>
      </c>
      <c r="J118" s="13">
        <f>C118*(F118/H118)/G118*I118</f>
        <v>0</v>
      </c>
      <c r="N118" s="142"/>
      <c r="O118" s="142" t="s">
        <v>152</v>
      </c>
      <c r="P118" s="142">
        <f>3450+359+56+36+15+0.5*(35+501)</f>
        <v>4184</v>
      </c>
      <c r="Q118" s="142">
        <f>3450+359+56+36+15+1*(35+501)</f>
        <v>4452</v>
      </c>
      <c r="R118" s="142">
        <f>3450+359+56+36+15+1.5*(35+501)</f>
        <v>4720</v>
      </c>
      <c r="S118" s="142">
        <f>3450+359+56+36+15+2*(35+501)</f>
        <v>4988</v>
      </c>
      <c r="V118" s="102"/>
      <c r="W118" s="102"/>
      <c r="X118" s="39"/>
      <c r="Y118" s="39"/>
    </row>
    <row r="119" spans="1:25" ht="15" customHeight="1" x14ac:dyDescent="0.3">
      <c r="A119" s="147"/>
      <c r="B119" s="147" t="s">
        <v>118</v>
      </c>
      <c r="C119" s="147">
        <v>20</v>
      </c>
      <c r="D119" s="147" t="s">
        <v>117</v>
      </c>
      <c r="E119" s="147"/>
      <c r="F119" s="143">
        <v>0</v>
      </c>
      <c r="G119" s="142">
        <v>10</v>
      </c>
      <c r="H119" s="142">
        <v>150</v>
      </c>
      <c r="I119" s="142">
        <v>3.6669999999999998</v>
      </c>
      <c r="J119" s="13">
        <f>C119*(F119/H119)/G119*I119</f>
        <v>0</v>
      </c>
      <c r="N119" s="142"/>
      <c r="O119" s="142" t="s">
        <v>153</v>
      </c>
      <c r="P119" s="142">
        <f>2618+319+78+35+20+0.5*(55+430)</f>
        <v>3312.5</v>
      </c>
      <c r="Q119" s="142">
        <f>2618+319+78+35+20+1*(55+430)</f>
        <v>3555</v>
      </c>
      <c r="R119" s="142">
        <f>2618+319+78+35+20+1.5*(55+430)</f>
        <v>3797.5</v>
      </c>
      <c r="S119" s="142">
        <f t="shared" ref="S119" si="24">2618+319+78+35+20+0.5*(55+430)</f>
        <v>3312.5</v>
      </c>
      <c r="V119" s="117" t="s">
        <v>221</v>
      </c>
      <c r="W119" s="99"/>
      <c r="X119" s="127" t="s">
        <v>224</v>
      </c>
      <c r="Y119" s="127" t="s">
        <v>225</v>
      </c>
    </row>
    <row r="120" spans="1:25" x14ac:dyDescent="0.2">
      <c r="A120" s="147"/>
      <c r="B120" s="147" t="s">
        <v>159</v>
      </c>
      <c r="C120" s="147">
        <v>60</v>
      </c>
      <c r="D120" s="147" t="s">
        <v>11</v>
      </c>
      <c r="E120" s="147"/>
      <c r="F120" s="143">
        <v>0</v>
      </c>
      <c r="G120" s="142">
        <v>10</v>
      </c>
      <c r="H120" s="142">
        <v>150</v>
      </c>
      <c r="I120" s="142">
        <v>3.6669999999999998</v>
      </c>
      <c r="J120" s="13">
        <f>C120*(F120/H120)/G120*I120</f>
        <v>0</v>
      </c>
      <c r="N120" s="142"/>
    </row>
    <row r="121" spans="1:25" ht="15" thickBot="1" x14ac:dyDescent="0.25">
      <c r="A121" s="147"/>
      <c r="B121" s="147" t="s">
        <v>195</v>
      </c>
      <c r="C121" s="147">
        <v>18</v>
      </c>
      <c r="D121" s="147" t="s">
        <v>11</v>
      </c>
      <c r="E121" s="147"/>
      <c r="F121" s="156">
        <v>0</v>
      </c>
      <c r="G121" s="147">
        <v>10</v>
      </c>
      <c r="H121" s="147">
        <v>150</v>
      </c>
      <c r="I121" s="147">
        <v>3.6669999999999998</v>
      </c>
      <c r="J121" s="154">
        <f>C121*(F121/H121)/G121*I121</f>
        <v>0</v>
      </c>
      <c r="N121" s="142"/>
    </row>
    <row r="122" spans="1:25" ht="15" thickBot="1" x14ac:dyDescent="0.25">
      <c r="A122" s="39"/>
      <c r="B122" s="39"/>
      <c r="C122" s="39"/>
      <c r="D122" s="39"/>
      <c r="E122" s="39"/>
      <c r="F122" s="143"/>
      <c r="J122" s="36">
        <f>J117+J118+J119+J120+J121</f>
        <v>0</v>
      </c>
      <c r="N122" s="142"/>
    </row>
    <row r="123" spans="1:25" x14ac:dyDescent="0.2">
      <c r="A123" s="39"/>
      <c r="B123" s="39"/>
      <c r="C123" s="39"/>
      <c r="D123" s="39"/>
      <c r="E123" s="39"/>
      <c r="F123" s="143"/>
      <c r="J123" s="142"/>
      <c r="N123" s="142"/>
    </row>
    <row r="124" spans="1:25" ht="14.25" customHeight="1" thickBot="1" x14ac:dyDescent="0.25">
      <c r="A124" s="39" t="s">
        <v>91</v>
      </c>
      <c r="B124" s="39" t="s">
        <v>79</v>
      </c>
      <c r="C124" s="39">
        <v>9</v>
      </c>
      <c r="D124" s="39" t="s">
        <v>11</v>
      </c>
      <c r="E124" s="39" t="s">
        <v>122</v>
      </c>
      <c r="F124" s="50">
        <f>ROUNDUP($C$13/(10*90),0)</f>
        <v>0</v>
      </c>
      <c r="G124" s="39">
        <v>10</v>
      </c>
      <c r="H124" s="39">
        <v>150</v>
      </c>
      <c r="I124" s="39">
        <v>3.6669999999999998</v>
      </c>
      <c r="J124" s="49">
        <f>C124*(F124/H124)/G124*I124</f>
        <v>0</v>
      </c>
      <c r="N124" s="142"/>
    </row>
    <row r="125" spans="1:25" ht="34.5" customHeight="1" thickBot="1" x14ac:dyDescent="0.25">
      <c r="A125" s="39"/>
      <c r="B125" s="39" t="s">
        <v>80</v>
      </c>
      <c r="C125" s="39">
        <v>45</v>
      </c>
      <c r="D125" s="39" t="s">
        <v>11</v>
      </c>
      <c r="E125" s="39"/>
      <c r="F125" s="50">
        <f t="shared" ref="F125:F127" si="25">ROUNDUP($C$13/(10*90),0)</f>
        <v>0</v>
      </c>
      <c r="G125" s="39">
        <v>10</v>
      </c>
      <c r="H125" s="39">
        <v>150</v>
      </c>
      <c r="I125" s="39">
        <v>3.6669999999999998</v>
      </c>
      <c r="J125" s="49">
        <f t="shared" ref="J125:J133" si="26">C125*(F125/H125)/G125*I125</f>
        <v>0</v>
      </c>
      <c r="N125" s="142"/>
      <c r="V125" s="104" t="s">
        <v>218</v>
      </c>
      <c r="W125" s="108" t="s">
        <v>232</v>
      </c>
      <c r="X125" s="116" t="s">
        <v>233</v>
      </c>
      <c r="Y125" s="112" t="s">
        <v>222</v>
      </c>
    </row>
    <row r="126" spans="1:25" x14ac:dyDescent="0.2">
      <c r="A126" s="39"/>
      <c r="B126" s="39" t="s">
        <v>81</v>
      </c>
      <c r="C126" s="39">
        <v>43</v>
      </c>
      <c r="D126" s="39" t="s">
        <v>11</v>
      </c>
      <c r="E126" s="39"/>
      <c r="F126" s="50">
        <f t="shared" si="25"/>
        <v>0</v>
      </c>
      <c r="G126" s="39">
        <v>10</v>
      </c>
      <c r="H126" s="39">
        <v>150</v>
      </c>
      <c r="I126" s="39">
        <v>3.6669999999999998</v>
      </c>
      <c r="J126" s="49">
        <f t="shared" si="26"/>
        <v>0</v>
      </c>
      <c r="N126" s="142"/>
      <c r="V126" s="105" t="s">
        <v>211</v>
      </c>
      <c r="W126" s="109">
        <f>B232</f>
        <v>0</v>
      </c>
      <c r="X126" s="109">
        <f>B233</f>
        <v>0</v>
      </c>
      <c r="Y126" s="113" t="e">
        <f>1-(X126/W126)</f>
        <v>#DIV/0!</v>
      </c>
    </row>
    <row r="127" spans="1:25" ht="15" thickBot="1" x14ac:dyDescent="0.25">
      <c r="A127" s="39"/>
      <c r="B127" s="39" t="s">
        <v>108</v>
      </c>
      <c r="C127" s="39">
        <v>30</v>
      </c>
      <c r="D127" s="39" t="s">
        <v>11</v>
      </c>
      <c r="E127" s="39" t="s">
        <v>121</v>
      </c>
      <c r="F127" s="50">
        <f t="shared" si="25"/>
        <v>0</v>
      </c>
      <c r="G127" s="39">
        <v>10</v>
      </c>
      <c r="H127" s="39">
        <v>150</v>
      </c>
      <c r="I127" s="39">
        <v>3.6669999999999998</v>
      </c>
      <c r="J127" s="49">
        <f t="shared" si="26"/>
        <v>0</v>
      </c>
      <c r="N127" s="142"/>
      <c r="V127" s="106" t="s">
        <v>214</v>
      </c>
      <c r="W127" s="110">
        <f>C232</f>
        <v>0</v>
      </c>
      <c r="X127" s="110">
        <f>C233</f>
        <v>0</v>
      </c>
      <c r="Y127" s="114" t="e">
        <f t="shared" ref="Y127:Y132" si="27">1-(X127/W127)</f>
        <v>#DIV/0!</v>
      </c>
    </row>
    <row r="128" spans="1:25" ht="15" thickBot="1" x14ac:dyDescent="0.25">
      <c r="A128" s="39"/>
      <c r="B128" s="39"/>
      <c r="C128" s="39"/>
      <c r="D128" s="39"/>
      <c r="E128" s="39"/>
      <c r="F128" s="39"/>
      <c r="G128" s="39"/>
      <c r="H128" s="39"/>
      <c r="I128" s="39"/>
      <c r="J128" s="160">
        <f>SUM(J124:J127)</f>
        <v>0</v>
      </c>
      <c r="N128" s="142"/>
      <c r="V128" s="106" t="s">
        <v>212</v>
      </c>
      <c r="W128" s="110">
        <f>E232</f>
        <v>0</v>
      </c>
      <c r="X128" s="110">
        <f>E233</f>
        <v>0</v>
      </c>
      <c r="Y128" s="114" t="e">
        <f t="shared" si="27"/>
        <v>#DIV/0!</v>
      </c>
    </row>
    <row r="129" spans="1:26" x14ac:dyDescent="0.2">
      <c r="A129" s="39"/>
      <c r="B129" s="39"/>
      <c r="C129" s="39"/>
      <c r="D129" s="39"/>
      <c r="E129" s="39"/>
      <c r="J129" s="13"/>
      <c r="N129" s="142"/>
      <c r="V129" s="106" t="s">
        <v>220</v>
      </c>
      <c r="W129" s="110">
        <f>F232</f>
        <v>0</v>
      </c>
      <c r="X129" s="110">
        <f>F233</f>
        <v>0</v>
      </c>
      <c r="Y129" s="114" t="e">
        <f t="shared" si="27"/>
        <v>#DIV/0!</v>
      </c>
    </row>
    <row r="130" spans="1:26" x14ac:dyDescent="0.2">
      <c r="A130" s="147" t="s">
        <v>92</v>
      </c>
      <c r="B130" s="147" t="s">
        <v>83</v>
      </c>
      <c r="C130" s="147">
        <v>140</v>
      </c>
      <c r="D130" s="147" t="s">
        <v>11</v>
      </c>
      <c r="E130" s="147"/>
      <c r="F130" s="156">
        <f>ROUNDUP($C$164/40,0)</f>
        <v>0</v>
      </c>
      <c r="G130" s="142">
        <v>10</v>
      </c>
      <c r="H130" s="142">
        <v>150</v>
      </c>
      <c r="I130" s="142">
        <v>3.6669999999999998</v>
      </c>
      <c r="J130" s="13">
        <f t="shared" si="26"/>
        <v>0</v>
      </c>
      <c r="N130" s="142"/>
      <c r="V130" s="106" t="s">
        <v>217</v>
      </c>
      <c r="W130" s="110">
        <f>G232</f>
        <v>0</v>
      </c>
      <c r="X130" s="110">
        <f>G233</f>
        <v>0</v>
      </c>
      <c r="Y130" s="114" t="e">
        <f t="shared" si="27"/>
        <v>#DIV/0!</v>
      </c>
    </row>
    <row r="131" spans="1:26" x14ac:dyDescent="0.2">
      <c r="A131" s="147"/>
      <c r="B131" s="147" t="s">
        <v>108</v>
      </c>
      <c r="C131" s="147">
        <v>30</v>
      </c>
      <c r="D131" s="147" t="s">
        <v>11</v>
      </c>
      <c r="E131" s="147" t="s">
        <v>121</v>
      </c>
      <c r="F131" s="156">
        <f>ROUNDUP($C$164/40,0)</f>
        <v>0</v>
      </c>
      <c r="G131" s="142">
        <v>10</v>
      </c>
      <c r="H131" s="142">
        <v>150</v>
      </c>
      <c r="I131" s="142">
        <v>3.6669999999999998</v>
      </c>
      <c r="J131" s="13">
        <f t="shared" si="26"/>
        <v>0</v>
      </c>
      <c r="N131" s="142"/>
      <c r="V131" s="106" t="s">
        <v>213</v>
      </c>
      <c r="W131" s="110">
        <f>H232</f>
        <v>0</v>
      </c>
      <c r="X131" s="110">
        <f>H233</f>
        <v>0</v>
      </c>
      <c r="Y131" s="114" t="e">
        <f t="shared" si="27"/>
        <v>#DIV/0!</v>
      </c>
    </row>
    <row r="132" spans="1:26" ht="15" thickBot="1" x14ac:dyDescent="0.25">
      <c r="A132" s="147"/>
      <c r="B132" s="147" t="s">
        <v>119</v>
      </c>
      <c r="C132" s="147">
        <v>20</v>
      </c>
      <c r="D132" s="147" t="s">
        <v>11</v>
      </c>
      <c r="E132" s="147"/>
      <c r="F132" s="156">
        <f>ROUNDUP($C$164/40,0)</f>
        <v>0</v>
      </c>
      <c r="G132" s="142">
        <v>10</v>
      </c>
      <c r="H132" s="142">
        <v>150</v>
      </c>
      <c r="I132" s="142">
        <v>3.6669999999999998</v>
      </c>
      <c r="J132" s="13">
        <f t="shared" si="26"/>
        <v>0</v>
      </c>
      <c r="N132" s="142"/>
      <c r="R132" s="143"/>
      <c r="V132" s="107" t="s">
        <v>210</v>
      </c>
      <c r="W132" s="111">
        <f>I232</f>
        <v>0</v>
      </c>
      <c r="X132" s="111">
        <f>I233</f>
        <v>0</v>
      </c>
      <c r="Y132" s="115" t="e">
        <f t="shared" si="27"/>
        <v>#DIV/0!</v>
      </c>
    </row>
    <row r="133" spans="1:26" ht="16.5" x14ac:dyDescent="0.2">
      <c r="A133" s="147"/>
      <c r="B133" s="147" t="s">
        <v>158</v>
      </c>
      <c r="C133" s="147">
        <v>22</v>
      </c>
      <c r="D133" s="147" t="s">
        <v>11</v>
      </c>
      <c r="E133" s="147"/>
      <c r="F133" s="156">
        <f>ROUNDUP($C$164/40,0)</f>
        <v>0</v>
      </c>
      <c r="G133" s="142">
        <v>10</v>
      </c>
      <c r="H133" s="142">
        <v>150</v>
      </c>
      <c r="I133" s="142">
        <v>3.6669999999999998</v>
      </c>
      <c r="J133" s="13">
        <f t="shared" si="26"/>
        <v>0</v>
      </c>
      <c r="N133" s="142"/>
      <c r="R133" s="143"/>
      <c r="V133" s="100" t="s">
        <v>187</v>
      </c>
      <c r="W133" s="101" t="s">
        <v>228</v>
      </c>
      <c r="X133" s="101" t="s">
        <v>229</v>
      </c>
      <c r="Y133" s="102"/>
    </row>
    <row r="134" spans="1:26" ht="15" x14ac:dyDescent="0.2">
      <c r="A134" s="147"/>
      <c r="B134" s="147" t="s">
        <v>195</v>
      </c>
      <c r="C134" s="147">
        <v>18</v>
      </c>
      <c r="D134" s="147" t="s">
        <v>11</v>
      </c>
      <c r="E134" s="147"/>
      <c r="F134" s="156">
        <f t="shared" ref="F134:F136" si="28">ROUNDUP($C$164/40,0)</f>
        <v>0</v>
      </c>
      <c r="G134" s="142">
        <v>10</v>
      </c>
      <c r="H134" s="142">
        <v>150</v>
      </c>
      <c r="I134" s="142">
        <v>3.6669999999999998</v>
      </c>
      <c r="J134" s="13">
        <f>C134*(F134/H134)/G134*I134</f>
        <v>0</v>
      </c>
      <c r="N134" s="142"/>
      <c r="R134" s="143"/>
      <c r="V134" s="100"/>
      <c r="W134" s="101"/>
      <c r="X134" s="101"/>
      <c r="Y134" s="102"/>
    </row>
    <row r="135" spans="1:26" ht="16.5" x14ac:dyDescent="0.3">
      <c r="A135" s="147"/>
      <c r="B135" s="147" t="s">
        <v>209</v>
      </c>
      <c r="C135" s="147">
        <v>50</v>
      </c>
      <c r="D135" s="147" t="s">
        <v>11</v>
      </c>
      <c r="E135" s="147"/>
      <c r="F135" s="156">
        <f t="shared" si="28"/>
        <v>0</v>
      </c>
      <c r="G135" s="142">
        <v>10</v>
      </c>
      <c r="H135" s="142">
        <v>150</v>
      </c>
      <c r="I135" s="142">
        <v>3.6669999999999998</v>
      </c>
      <c r="J135" s="13">
        <f>C135*(F135/H135)/G135*I135</f>
        <v>0</v>
      </c>
      <c r="N135" s="142"/>
      <c r="R135" s="143"/>
      <c r="V135" s="117" t="s">
        <v>221</v>
      </c>
      <c r="W135" s="348" t="s">
        <v>226</v>
      </c>
      <c r="X135" s="348"/>
      <c r="Y135" s="118">
        <v>0.46</v>
      </c>
    </row>
    <row r="136" spans="1:26" ht="15" thickBot="1" x14ac:dyDescent="0.25">
      <c r="A136" s="147"/>
      <c r="B136" s="147" t="s">
        <v>81</v>
      </c>
      <c r="C136" s="147">
        <v>43</v>
      </c>
      <c r="D136" s="147" t="s">
        <v>11</v>
      </c>
      <c r="E136" s="147"/>
      <c r="F136" s="156">
        <f t="shared" si="28"/>
        <v>0</v>
      </c>
      <c r="G136" s="142">
        <v>10</v>
      </c>
      <c r="H136" s="142">
        <v>150</v>
      </c>
      <c r="I136" s="142">
        <v>3.6669999999999998</v>
      </c>
      <c r="J136" s="13">
        <f>C136*(F136/H136)/G136*I136</f>
        <v>0</v>
      </c>
      <c r="N136" s="142"/>
      <c r="R136" s="143"/>
      <c r="V136" s="13"/>
    </row>
    <row r="137" spans="1:26" ht="15" thickBot="1" x14ac:dyDescent="0.25">
      <c r="A137" s="39"/>
      <c r="B137" s="39"/>
      <c r="C137" s="39"/>
      <c r="D137" s="39"/>
      <c r="E137" s="142"/>
      <c r="F137" s="143"/>
      <c r="J137" s="36">
        <f>J130+J131+J132+J133++J134+J135+J136</f>
        <v>0</v>
      </c>
      <c r="N137" s="142"/>
      <c r="R137" s="143"/>
      <c r="V137" s="13"/>
      <c r="W137" s="143">
        <f>SUM(W126:W132)</f>
        <v>0</v>
      </c>
      <c r="X137" s="143">
        <f>SUM(X126:X132)</f>
        <v>0</v>
      </c>
      <c r="Y137" s="143">
        <f>W137-X137</f>
        <v>0</v>
      </c>
      <c r="Z137" s="142" t="e">
        <f>1-(X137/W137)</f>
        <v>#DIV/0!</v>
      </c>
    </row>
    <row r="138" spans="1:26" x14ac:dyDescent="0.2">
      <c r="A138" s="39"/>
      <c r="B138" s="39"/>
      <c r="C138" s="39"/>
      <c r="D138" s="39"/>
      <c r="E138" s="39"/>
      <c r="F138" s="143"/>
      <c r="J138" s="13"/>
      <c r="N138" s="142"/>
    </row>
    <row r="139" spans="1:26" x14ac:dyDescent="0.2">
      <c r="A139" s="39" t="s">
        <v>93</v>
      </c>
      <c r="B139" s="39" t="s">
        <v>88</v>
      </c>
      <c r="C139" s="39">
        <v>0</v>
      </c>
      <c r="D139" s="39" t="s">
        <v>11</v>
      </c>
      <c r="E139" s="39"/>
      <c r="F139" s="50">
        <f>ROUNDUP($C$170/40,0)</f>
        <v>0</v>
      </c>
      <c r="G139" s="39">
        <v>10</v>
      </c>
      <c r="H139" s="39">
        <v>150</v>
      </c>
      <c r="I139" s="39">
        <v>3.6669999999999998</v>
      </c>
      <c r="J139" s="49">
        <f>C139*(F139/H139)/G139*I139</f>
        <v>0</v>
      </c>
      <c r="N139" s="142"/>
    </row>
    <row r="140" spans="1:26" x14ac:dyDescent="0.2">
      <c r="A140" s="39"/>
      <c r="B140" s="39" t="s">
        <v>89</v>
      </c>
      <c r="C140" s="39">
        <v>0</v>
      </c>
      <c r="D140" s="39" t="s">
        <v>11</v>
      </c>
      <c r="E140" s="39"/>
      <c r="F140" s="50">
        <f>ROUND($C$170/40,0)</f>
        <v>0</v>
      </c>
      <c r="G140" s="39">
        <v>10</v>
      </c>
      <c r="H140" s="39">
        <v>150</v>
      </c>
      <c r="I140" s="39">
        <v>3.6669999999999998</v>
      </c>
      <c r="J140" s="49">
        <f>C140*(F140/H140)/G140*I140</f>
        <v>0</v>
      </c>
      <c r="N140" s="142"/>
    </row>
    <row r="141" spans="1:26" x14ac:dyDescent="0.2">
      <c r="A141" s="39"/>
      <c r="B141" s="39" t="s">
        <v>108</v>
      </c>
      <c r="C141" s="39">
        <v>0</v>
      </c>
      <c r="D141" s="39" t="s">
        <v>11</v>
      </c>
      <c r="E141" s="39" t="s">
        <v>121</v>
      </c>
      <c r="F141" s="50">
        <f>ROUND($C$170/40,0)</f>
        <v>0</v>
      </c>
      <c r="G141" s="39">
        <v>10</v>
      </c>
      <c r="H141" s="39">
        <v>150</v>
      </c>
      <c r="I141" s="39">
        <v>3.6669999999999998</v>
      </c>
      <c r="J141" s="49">
        <f t="shared" ref="J141:J142" si="29">C141*(F141/H141)/G141*I141</f>
        <v>0</v>
      </c>
      <c r="N141" s="142"/>
    </row>
    <row r="142" spans="1:26" ht="15" thickBot="1" x14ac:dyDescent="0.25">
      <c r="A142" s="39"/>
      <c r="B142" s="39" t="s">
        <v>119</v>
      </c>
      <c r="C142" s="39">
        <v>0</v>
      </c>
      <c r="D142" s="39" t="s">
        <v>11</v>
      </c>
      <c r="E142" s="39"/>
      <c r="F142" s="50">
        <f>ROUND($C$170/40,0)</f>
        <v>0</v>
      </c>
      <c r="G142" s="39">
        <v>10</v>
      </c>
      <c r="H142" s="39">
        <v>150</v>
      </c>
      <c r="I142" s="39">
        <v>3.6669999999999998</v>
      </c>
      <c r="J142" s="49">
        <f t="shared" si="29"/>
        <v>0</v>
      </c>
      <c r="N142" s="142"/>
    </row>
    <row r="143" spans="1:26" ht="15" thickBot="1" x14ac:dyDescent="0.25">
      <c r="A143" s="39"/>
      <c r="B143" s="39"/>
      <c r="C143" s="39"/>
      <c r="D143" s="39"/>
      <c r="E143" s="39"/>
      <c r="F143" s="50"/>
      <c r="G143" s="39"/>
      <c r="H143" s="39"/>
      <c r="I143" s="39"/>
      <c r="J143" s="160">
        <f>J139+J140+J141+J142</f>
        <v>0</v>
      </c>
      <c r="N143" s="142"/>
    </row>
    <row r="144" spans="1:26" x14ac:dyDescent="0.2">
      <c r="A144" s="39"/>
      <c r="B144" s="39"/>
      <c r="C144" s="39"/>
      <c r="D144" s="39"/>
      <c r="E144" s="40"/>
      <c r="F144" s="39"/>
      <c r="G144" s="39"/>
      <c r="H144" s="39"/>
      <c r="I144" s="39"/>
      <c r="J144" s="39"/>
      <c r="N144" s="142"/>
    </row>
    <row r="145" spans="1:14" x14ac:dyDescent="0.2">
      <c r="A145" s="39" t="s">
        <v>94</v>
      </c>
      <c r="B145" s="39" t="s">
        <v>120</v>
      </c>
      <c r="C145" s="39">
        <v>0</v>
      </c>
      <c r="D145" s="39" t="s">
        <v>11</v>
      </c>
      <c r="E145" s="39"/>
      <c r="F145" s="39">
        <f>ROUNDUP($C$175/40,0)</f>
        <v>0</v>
      </c>
      <c r="G145" s="39">
        <v>10</v>
      </c>
      <c r="H145" s="39">
        <v>150</v>
      </c>
      <c r="I145" s="39">
        <v>3.6669999999999998</v>
      </c>
      <c r="J145" s="49">
        <f>C145*(F145/H145)/G145*I145</f>
        <v>0</v>
      </c>
      <c r="N145" s="142"/>
    </row>
    <row r="146" spans="1:14" x14ac:dyDescent="0.2">
      <c r="A146" s="39"/>
      <c r="B146" s="39" t="s">
        <v>108</v>
      </c>
      <c r="C146" s="39">
        <v>0</v>
      </c>
      <c r="D146" s="39" t="s">
        <v>11</v>
      </c>
      <c r="E146" s="39" t="s">
        <v>121</v>
      </c>
      <c r="F146" s="39">
        <f>ROUNDUP($C$175/40,0)</f>
        <v>0</v>
      </c>
      <c r="G146" s="39">
        <v>10</v>
      </c>
      <c r="H146" s="39">
        <v>150</v>
      </c>
      <c r="I146" s="39">
        <v>3.6669999999999998</v>
      </c>
      <c r="J146" s="49">
        <f t="shared" ref="J146:J147" si="30">C146*(F146/H146)/G146*I146</f>
        <v>0</v>
      </c>
      <c r="N146" s="142"/>
    </row>
    <row r="147" spans="1:14" ht="15" thickBot="1" x14ac:dyDescent="0.25">
      <c r="A147" s="39"/>
      <c r="B147" s="39" t="s">
        <v>119</v>
      </c>
      <c r="C147" s="39">
        <v>0</v>
      </c>
      <c r="D147" s="39" t="s">
        <v>11</v>
      </c>
      <c r="E147" s="39"/>
      <c r="F147" s="39">
        <f>ROUNDUP($C$175/40,0)</f>
        <v>0</v>
      </c>
      <c r="G147" s="39">
        <v>10</v>
      </c>
      <c r="H147" s="39">
        <v>150</v>
      </c>
      <c r="I147" s="39">
        <v>3.6669999999999998</v>
      </c>
      <c r="J147" s="49">
        <f t="shared" si="30"/>
        <v>0</v>
      </c>
      <c r="N147" s="142"/>
    </row>
    <row r="148" spans="1:14" ht="15" thickBot="1" x14ac:dyDescent="0.25">
      <c r="A148" s="39"/>
      <c r="B148" s="39"/>
      <c r="C148" s="39">
        <v>0</v>
      </c>
      <c r="D148" s="39"/>
      <c r="E148" s="39"/>
      <c r="F148" s="39"/>
      <c r="G148" s="39"/>
      <c r="H148" s="39"/>
      <c r="I148" s="39"/>
      <c r="J148" s="160">
        <f>J145+J146+J147</f>
        <v>0</v>
      </c>
      <c r="N148" s="142"/>
    </row>
    <row r="149" spans="1:14" x14ac:dyDescent="0.2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N149" s="142"/>
    </row>
    <row r="150" spans="1:14" x14ac:dyDescent="0.2">
      <c r="A150" s="39"/>
      <c r="B150" s="39"/>
      <c r="C150" s="39"/>
      <c r="D150" s="39"/>
      <c r="E150" s="40"/>
      <c r="J150" s="142"/>
      <c r="N150" s="142"/>
    </row>
    <row r="151" spans="1:14" ht="18.75" thickBot="1" x14ac:dyDescent="0.25">
      <c r="A151" s="39"/>
      <c r="B151" s="41"/>
      <c r="C151" s="41"/>
      <c r="D151" s="41"/>
      <c r="E151" s="41"/>
      <c r="F151" s="349" t="s">
        <v>162</v>
      </c>
      <c r="G151" s="349"/>
      <c r="H151" s="349"/>
      <c r="I151" s="349"/>
      <c r="J151" s="350"/>
      <c r="N151" s="142"/>
    </row>
    <row r="152" spans="1:14" ht="42.75" x14ac:dyDescent="0.2">
      <c r="A152" s="166" t="s">
        <v>33</v>
      </c>
      <c r="B152" s="167"/>
      <c r="C152" s="346"/>
      <c r="D152" s="347"/>
      <c r="E152" s="167" t="s">
        <v>196</v>
      </c>
      <c r="F152" s="167" t="s">
        <v>95</v>
      </c>
      <c r="G152" s="24" t="s">
        <v>97</v>
      </c>
      <c r="H152" s="24" t="s">
        <v>99</v>
      </c>
      <c r="I152" s="2" t="s">
        <v>101</v>
      </c>
      <c r="J152" s="28" t="s">
        <v>100</v>
      </c>
      <c r="K152" s="140" t="s">
        <v>2</v>
      </c>
      <c r="L152" s="2" t="s">
        <v>3</v>
      </c>
      <c r="N152" s="142"/>
    </row>
    <row r="153" spans="1:14" ht="16.5" thickBot="1" x14ac:dyDescent="0.25">
      <c r="A153" s="168"/>
      <c r="B153" s="169"/>
      <c r="C153" s="170"/>
      <c r="D153" s="171"/>
      <c r="E153" s="172"/>
      <c r="F153" s="169"/>
      <c r="G153" s="6"/>
      <c r="H153" s="6"/>
      <c r="I153" s="6"/>
      <c r="J153" s="19"/>
      <c r="K153" s="18" t="s">
        <v>109</v>
      </c>
      <c r="L153" s="6" t="s">
        <v>7</v>
      </c>
      <c r="N153" s="142"/>
    </row>
    <row r="154" spans="1:14" x14ac:dyDescent="0.2">
      <c r="A154" s="147" t="s">
        <v>90</v>
      </c>
      <c r="B154" s="147" t="s">
        <v>86</v>
      </c>
      <c r="C154" s="147">
        <v>2120</v>
      </c>
      <c r="D154" s="147" t="s">
        <v>87</v>
      </c>
      <c r="E154" s="147"/>
      <c r="F154" s="147"/>
      <c r="G154" s="143">
        <v>0</v>
      </c>
      <c r="J154" s="142"/>
      <c r="N154" s="142"/>
    </row>
    <row r="155" spans="1:14" x14ac:dyDescent="0.2">
      <c r="A155" s="147"/>
      <c r="B155" s="147" t="s">
        <v>85</v>
      </c>
      <c r="C155" s="147">
        <v>0</v>
      </c>
      <c r="D155" s="147" t="s">
        <v>70</v>
      </c>
      <c r="E155" s="147"/>
      <c r="F155" s="147"/>
      <c r="J155" s="142"/>
      <c r="K155" s="142">
        <v>3.25</v>
      </c>
      <c r="L155" s="13">
        <f>C155*K155/1000</f>
        <v>0</v>
      </c>
      <c r="N155" s="142"/>
    </row>
    <row r="156" spans="1:14" ht="15" thickBot="1" x14ac:dyDescent="0.25">
      <c r="A156" s="147"/>
      <c r="B156" s="147" t="s">
        <v>160</v>
      </c>
      <c r="C156" s="147">
        <f>G154*10*F156</f>
        <v>0</v>
      </c>
      <c r="D156" s="147" t="s">
        <v>143</v>
      </c>
      <c r="E156" s="147"/>
      <c r="F156" s="147">
        <v>100</v>
      </c>
      <c r="G156" s="142" t="s">
        <v>161</v>
      </c>
      <c r="J156" s="142"/>
      <c r="K156" s="142">
        <v>0.501</v>
      </c>
      <c r="L156" s="13">
        <f>C156*K156/1000</f>
        <v>0</v>
      </c>
      <c r="N156" s="142"/>
    </row>
    <row r="157" spans="1:14" ht="15" thickBot="1" x14ac:dyDescent="0.25">
      <c r="A157" s="39"/>
      <c r="C157" s="39"/>
      <c r="D157" s="39"/>
      <c r="E157" s="39"/>
      <c r="J157" s="142"/>
      <c r="L157" s="36">
        <f>L155+L156</f>
        <v>0</v>
      </c>
      <c r="N157" s="142"/>
    </row>
    <row r="158" spans="1:14" x14ac:dyDescent="0.2">
      <c r="A158" s="39"/>
      <c r="B158" s="39"/>
      <c r="C158" s="39"/>
      <c r="D158" s="39"/>
      <c r="E158" s="39"/>
      <c r="J158" s="142"/>
      <c r="L158" s="13"/>
      <c r="N158" s="142"/>
    </row>
    <row r="159" spans="1:14" x14ac:dyDescent="0.2">
      <c r="A159" s="39" t="s">
        <v>91</v>
      </c>
      <c r="B159" s="39" t="s">
        <v>86</v>
      </c>
      <c r="C159" s="39">
        <v>0</v>
      </c>
      <c r="D159" s="39" t="s">
        <v>87</v>
      </c>
      <c r="E159" s="39"/>
      <c r="G159" s="143">
        <f>ROUNDUP(C13/(10*90),0)</f>
        <v>0</v>
      </c>
      <c r="J159" s="142"/>
      <c r="N159" s="142"/>
    </row>
    <row r="160" spans="1:14" x14ac:dyDescent="0.2">
      <c r="A160" s="39"/>
      <c r="B160" s="39" t="s">
        <v>85</v>
      </c>
      <c r="C160" s="50">
        <v>0</v>
      </c>
      <c r="D160" s="39" t="s">
        <v>70</v>
      </c>
      <c r="E160" s="39"/>
      <c r="J160" s="142"/>
      <c r="K160" s="142">
        <v>3.25</v>
      </c>
      <c r="L160" s="13">
        <f>C160*K160/1000</f>
        <v>0</v>
      </c>
      <c r="N160" s="142"/>
    </row>
    <row r="161" spans="1:14" ht="15" thickBot="1" x14ac:dyDescent="0.25">
      <c r="A161" s="39"/>
      <c r="B161" s="39"/>
      <c r="C161" s="50">
        <v>0</v>
      </c>
      <c r="D161" s="39"/>
      <c r="E161" s="39" t="s">
        <v>123</v>
      </c>
      <c r="H161" s="142">
        <v>150</v>
      </c>
      <c r="J161" s="142">
        <f>0.18*150*(G159*10)</f>
        <v>0</v>
      </c>
      <c r="K161" s="142">
        <v>0.501</v>
      </c>
      <c r="L161" s="13">
        <f>C161*K161/1000</f>
        <v>0</v>
      </c>
      <c r="N161" s="142"/>
    </row>
    <row r="162" spans="1:14" ht="15" thickBot="1" x14ac:dyDescent="0.25">
      <c r="A162" s="39"/>
      <c r="B162" s="39"/>
      <c r="C162" s="50"/>
      <c r="D162" s="39"/>
      <c r="E162" s="39"/>
      <c r="J162" s="142"/>
      <c r="L162" s="36">
        <f>L160+L161</f>
        <v>0</v>
      </c>
      <c r="N162" s="142"/>
    </row>
    <row r="163" spans="1:14" x14ac:dyDescent="0.2">
      <c r="A163" s="39"/>
      <c r="B163" s="39"/>
      <c r="C163" s="39"/>
      <c r="D163" s="39"/>
      <c r="E163" s="39"/>
      <c r="J163" s="142"/>
      <c r="N163" s="142"/>
    </row>
    <row r="164" spans="1:14" x14ac:dyDescent="0.2">
      <c r="A164" s="147" t="s">
        <v>92</v>
      </c>
      <c r="B164" s="147" t="s">
        <v>86</v>
      </c>
      <c r="C164" s="147">
        <v>0</v>
      </c>
      <c r="D164" s="147" t="s">
        <v>87</v>
      </c>
      <c r="E164" s="147"/>
      <c r="F164" s="147"/>
      <c r="G164" s="156">
        <f>ROUNDUP($C$164/40,0)</f>
        <v>0</v>
      </c>
      <c r="J164" s="142"/>
      <c r="N164" s="142"/>
    </row>
    <row r="165" spans="1:14" x14ac:dyDescent="0.2">
      <c r="A165" s="147"/>
      <c r="B165" s="147" t="s">
        <v>85</v>
      </c>
      <c r="C165" s="147">
        <v>0</v>
      </c>
      <c r="D165" s="147" t="s">
        <v>70</v>
      </c>
      <c r="E165" s="147"/>
      <c r="F165" s="147"/>
      <c r="G165" s="147"/>
      <c r="J165" s="142"/>
      <c r="K165" s="142">
        <v>3.25</v>
      </c>
      <c r="L165" s="13">
        <f>C165*K165/1000</f>
        <v>0</v>
      </c>
      <c r="N165" s="142"/>
    </row>
    <row r="166" spans="1:14" ht="15" thickBot="1" x14ac:dyDescent="0.25">
      <c r="A166" s="147"/>
      <c r="B166" s="147" t="s">
        <v>160</v>
      </c>
      <c r="C166" s="147">
        <f>G164*10*F166</f>
        <v>0</v>
      </c>
      <c r="D166" s="147" t="s">
        <v>143</v>
      </c>
      <c r="E166" s="147"/>
      <c r="F166" s="147">
        <v>80</v>
      </c>
      <c r="G166" s="147" t="s">
        <v>161</v>
      </c>
      <c r="J166" s="142"/>
      <c r="K166" s="142">
        <v>0.501</v>
      </c>
      <c r="L166" s="13">
        <f>C166*K166/1000</f>
        <v>0</v>
      </c>
      <c r="N166" s="142"/>
    </row>
    <row r="167" spans="1:14" ht="15" thickBot="1" x14ac:dyDescent="0.25">
      <c r="A167" s="39"/>
      <c r="B167" s="39"/>
      <c r="D167" s="39"/>
      <c r="E167" s="39"/>
      <c r="J167" s="142"/>
      <c r="L167" s="36">
        <f>L165+L166</f>
        <v>0</v>
      </c>
      <c r="N167" s="142" t="s">
        <v>186</v>
      </c>
    </row>
    <row r="168" spans="1:14" x14ac:dyDescent="0.2">
      <c r="A168" s="39"/>
      <c r="B168" s="39"/>
      <c r="C168" s="39"/>
      <c r="D168" s="39"/>
      <c r="E168" s="39"/>
      <c r="J168" s="142"/>
      <c r="L168" s="13"/>
      <c r="N168" s="142"/>
    </row>
    <row r="169" spans="1:14" x14ac:dyDescent="0.2">
      <c r="A169" s="39"/>
      <c r="B169" s="39"/>
      <c r="C169" s="39"/>
      <c r="D169" s="39"/>
      <c r="E169" s="39"/>
      <c r="J169" s="142"/>
      <c r="L169" s="13"/>
      <c r="N169" s="142"/>
    </row>
    <row r="170" spans="1:14" x14ac:dyDescent="0.2">
      <c r="A170" s="39" t="s">
        <v>93</v>
      </c>
      <c r="B170" s="39" t="s">
        <v>86</v>
      </c>
      <c r="C170" s="50">
        <v>0</v>
      </c>
      <c r="D170" s="39" t="s">
        <v>87</v>
      </c>
      <c r="E170" s="39" t="s">
        <v>96</v>
      </c>
      <c r="F170" s="30">
        <f>2/3</f>
        <v>0.66666666666666663</v>
      </c>
      <c r="G170" s="143">
        <f>ROUNDUP($C$170/40,0)</f>
        <v>0</v>
      </c>
      <c r="J170" s="142"/>
      <c r="N170" s="142"/>
    </row>
    <row r="171" spans="1:14" x14ac:dyDescent="0.2">
      <c r="A171" s="39"/>
      <c r="B171" s="39" t="s">
        <v>85</v>
      </c>
      <c r="C171" s="50">
        <v>0</v>
      </c>
      <c r="D171" s="39" t="s">
        <v>70</v>
      </c>
      <c r="E171" s="39"/>
      <c r="J171" s="142"/>
      <c r="K171" s="142">
        <v>3.25</v>
      </c>
      <c r="L171" s="13">
        <f>C171*K171/1000</f>
        <v>0</v>
      </c>
      <c r="N171" s="142"/>
    </row>
    <row r="172" spans="1:14" ht="15" thickBot="1" x14ac:dyDescent="0.25">
      <c r="A172" s="39"/>
      <c r="B172" s="39"/>
      <c r="C172" s="39">
        <v>0</v>
      </c>
      <c r="D172" s="39" t="s">
        <v>143</v>
      </c>
      <c r="E172" s="39" t="s">
        <v>98</v>
      </c>
      <c r="F172" s="142">
        <v>47</v>
      </c>
      <c r="G172" s="142" t="s">
        <v>185</v>
      </c>
      <c r="H172" s="142">
        <v>500</v>
      </c>
      <c r="I172" s="31">
        <v>0.2</v>
      </c>
      <c r="J172" s="143">
        <f>0.18*H172*I172*10*$G$170</f>
        <v>0</v>
      </c>
      <c r="K172" s="142">
        <v>0.501</v>
      </c>
      <c r="L172" s="13">
        <f>C172*K172/1000</f>
        <v>0</v>
      </c>
      <c r="N172" s="142"/>
    </row>
    <row r="173" spans="1:14" ht="15" thickBot="1" x14ac:dyDescent="0.25">
      <c r="A173" s="39"/>
      <c r="B173" s="39"/>
      <c r="C173" s="39"/>
      <c r="D173" s="39"/>
      <c r="E173" s="40" t="s">
        <v>89</v>
      </c>
      <c r="H173" s="142">
        <v>100</v>
      </c>
      <c r="I173" s="31">
        <v>0.7</v>
      </c>
      <c r="J173" s="143">
        <f>0.18*H173*I173*10*$G$170</f>
        <v>0</v>
      </c>
      <c r="L173" s="36">
        <f>L171+L172</f>
        <v>0</v>
      </c>
      <c r="N173" s="142"/>
    </row>
    <row r="174" spans="1:14" x14ac:dyDescent="0.2">
      <c r="A174" s="39"/>
      <c r="B174" s="39"/>
      <c r="C174" s="39"/>
      <c r="D174" s="39"/>
      <c r="E174" s="40"/>
      <c r="J174" s="142"/>
      <c r="N174" s="142"/>
    </row>
    <row r="175" spans="1:14" x14ac:dyDescent="0.2">
      <c r="A175" s="39" t="s">
        <v>94</v>
      </c>
      <c r="B175" s="39" t="s">
        <v>86</v>
      </c>
      <c r="C175" s="39">
        <v>0</v>
      </c>
      <c r="D175" s="39" t="s">
        <v>87</v>
      </c>
      <c r="E175" s="39"/>
      <c r="G175" s="143">
        <f>ROUNDUP($C$175/40,0)</f>
        <v>0</v>
      </c>
      <c r="J175" s="142"/>
      <c r="N175" s="142"/>
    </row>
    <row r="176" spans="1:14" x14ac:dyDescent="0.2">
      <c r="A176" s="39"/>
      <c r="B176" s="39" t="s">
        <v>85</v>
      </c>
      <c r="C176" s="39">
        <v>0</v>
      </c>
      <c r="D176" s="39" t="s">
        <v>70</v>
      </c>
      <c r="E176" s="39"/>
      <c r="J176" s="142"/>
      <c r="K176" s="142">
        <v>3.25</v>
      </c>
      <c r="L176" s="13">
        <f>C176*K176/1000</f>
        <v>0</v>
      </c>
      <c r="N176" s="142"/>
    </row>
    <row r="177" spans="1:12" s="142" customFormat="1" ht="15" thickBot="1" x14ac:dyDescent="0.25">
      <c r="A177" s="39"/>
      <c r="B177" s="39"/>
      <c r="C177" s="39">
        <v>0</v>
      </c>
      <c r="D177" s="39" t="s">
        <v>143</v>
      </c>
      <c r="E177" s="39"/>
      <c r="K177" s="142">
        <v>0.501</v>
      </c>
      <c r="L177" s="13">
        <f>C177*K177/1000</f>
        <v>0</v>
      </c>
    </row>
    <row r="178" spans="1:12" s="142" customFormat="1" ht="15" thickBot="1" x14ac:dyDescent="0.25">
      <c r="A178" s="39"/>
      <c r="B178" s="39"/>
      <c r="C178" s="39"/>
      <c r="D178" s="39"/>
      <c r="E178" s="39"/>
      <c r="L178" s="36">
        <f>L176+L177</f>
        <v>0</v>
      </c>
    </row>
    <row r="179" spans="1:12" s="142" customFormat="1" x14ac:dyDescent="0.2">
      <c r="A179" s="39"/>
      <c r="B179" s="39"/>
      <c r="C179" s="39"/>
      <c r="D179" s="39"/>
      <c r="E179" s="39"/>
      <c r="L179" s="13"/>
    </row>
    <row r="180" spans="1:12" s="142" customFormat="1" ht="18.75" thickBot="1" x14ac:dyDescent="0.25">
      <c r="A180" s="39"/>
      <c r="B180" s="41"/>
      <c r="C180" s="41"/>
      <c r="D180" s="41"/>
      <c r="E180" s="41"/>
      <c r="F180" s="349" t="s">
        <v>163</v>
      </c>
      <c r="G180" s="349"/>
      <c r="H180" s="349"/>
      <c r="I180" s="349"/>
      <c r="J180" s="350"/>
    </row>
    <row r="181" spans="1:12" s="142" customFormat="1" ht="33" x14ac:dyDescent="0.2">
      <c r="A181" s="166" t="s">
        <v>33</v>
      </c>
      <c r="B181" s="167"/>
      <c r="C181" s="346" t="s">
        <v>54</v>
      </c>
      <c r="D181" s="347"/>
      <c r="E181" s="167" t="s">
        <v>19</v>
      </c>
      <c r="F181" s="22" t="s">
        <v>164</v>
      </c>
      <c r="G181" s="24" t="s">
        <v>165</v>
      </c>
      <c r="H181" s="24"/>
      <c r="I181" s="2" t="s">
        <v>167</v>
      </c>
      <c r="J181" s="28" t="s">
        <v>166</v>
      </c>
      <c r="K181" s="140" t="s">
        <v>2</v>
      </c>
      <c r="L181" s="2" t="s">
        <v>3</v>
      </c>
    </row>
    <row r="182" spans="1:12" s="142" customFormat="1" ht="16.5" thickBot="1" x14ac:dyDescent="0.25">
      <c r="A182" s="168"/>
      <c r="B182" s="169"/>
      <c r="C182" s="170"/>
      <c r="D182" s="171"/>
      <c r="E182" s="172"/>
      <c r="F182" s="6" t="s">
        <v>170</v>
      </c>
      <c r="G182" s="23"/>
      <c r="H182" s="6"/>
      <c r="I182" s="6" t="s">
        <v>60</v>
      </c>
      <c r="J182" s="19" t="s">
        <v>60</v>
      </c>
      <c r="K182" s="18" t="s">
        <v>62</v>
      </c>
      <c r="L182" s="6" t="s">
        <v>7</v>
      </c>
    </row>
    <row r="183" spans="1:12" s="142" customFormat="1" x14ac:dyDescent="0.2">
      <c r="A183" s="142" t="s">
        <v>90</v>
      </c>
      <c r="B183" s="142" t="s">
        <v>84</v>
      </c>
      <c r="C183" s="142">
        <v>200</v>
      </c>
      <c r="D183" s="142" t="s">
        <v>11</v>
      </c>
      <c r="E183" s="142" t="s">
        <v>168</v>
      </c>
      <c r="F183" s="142">
        <v>2</v>
      </c>
      <c r="G183" s="142">
        <v>2</v>
      </c>
      <c r="I183" s="142">
        <v>100</v>
      </c>
      <c r="J183" s="142">
        <f>F183*G183*I183</f>
        <v>400</v>
      </c>
      <c r="K183" s="142">
        <f>2/1000</f>
        <v>2E-3</v>
      </c>
      <c r="L183" s="142">
        <f>J183*K183</f>
        <v>0.8</v>
      </c>
    </row>
    <row r="184" spans="1:12" s="142" customFormat="1" x14ac:dyDescent="0.2">
      <c r="B184" s="142" t="s">
        <v>159</v>
      </c>
      <c r="C184" s="142">
        <v>60</v>
      </c>
      <c r="D184" s="142" t="s">
        <v>11</v>
      </c>
      <c r="E184" s="142" t="s">
        <v>169</v>
      </c>
      <c r="F184" s="142">
        <v>2</v>
      </c>
      <c r="G184" s="142">
        <v>2</v>
      </c>
      <c r="I184" s="142">
        <v>100</v>
      </c>
      <c r="J184" s="142">
        <f>F184*G184*I184</f>
        <v>400</v>
      </c>
      <c r="K184" s="142">
        <f>2/1000</f>
        <v>2E-3</v>
      </c>
      <c r="L184" s="142">
        <f t="shared" ref="L184:L187" si="31">J184*K184</f>
        <v>0.8</v>
      </c>
    </row>
    <row r="185" spans="1:12" s="142" customFormat="1" x14ac:dyDescent="0.2">
      <c r="B185" s="142" t="s">
        <v>174</v>
      </c>
      <c r="C185" s="142">
        <v>30</v>
      </c>
      <c r="D185" s="142" t="s">
        <v>11</v>
      </c>
      <c r="E185" s="142" t="s">
        <v>65</v>
      </c>
      <c r="F185" s="142">
        <v>6</v>
      </c>
      <c r="G185" s="142">
        <v>4</v>
      </c>
      <c r="I185" s="142">
        <v>100</v>
      </c>
      <c r="J185" s="142">
        <f>F185*G185*I185</f>
        <v>2400</v>
      </c>
      <c r="K185" s="142">
        <v>1.2199999999999999E-3</v>
      </c>
      <c r="L185" s="142">
        <f t="shared" si="31"/>
        <v>2.9279999999999999</v>
      </c>
    </row>
    <row r="186" spans="1:12" s="142" customFormat="1" x14ac:dyDescent="0.2">
      <c r="B186" s="142" t="s">
        <v>118</v>
      </c>
      <c r="C186" s="142">
        <v>20</v>
      </c>
      <c r="D186" s="142" t="s">
        <v>11</v>
      </c>
      <c r="E186" s="142" t="s">
        <v>65</v>
      </c>
      <c r="F186" s="142">
        <v>6</v>
      </c>
      <c r="G186" s="142">
        <v>4</v>
      </c>
      <c r="I186" s="142">
        <v>100</v>
      </c>
      <c r="J186" s="142">
        <f>F186*G186*I186</f>
        <v>2400</v>
      </c>
      <c r="K186" s="142">
        <v>1.2199999999999999E-3</v>
      </c>
      <c r="L186" s="142">
        <f t="shared" si="31"/>
        <v>2.9279999999999999</v>
      </c>
    </row>
    <row r="187" spans="1:12" s="142" customFormat="1" x14ac:dyDescent="0.2">
      <c r="B187" s="147" t="s">
        <v>195</v>
      </c>
      <c r="C187" s="147">
        <v>18</v>
      </c>
      <c r="D187" s="147" t="s">
        <v>11</v>
      </c>
      <c r="E187" s="147" t="s">
        <v>169</v>
      </c>
      <c r="F187" s="147">
        <v>1</v>
      </c>
      <c r="G187" s="147">
        <v>2</v>
      </c>
      <c r="H187" s="147"/>
      <c r="I187" s="147">
        <v>100</v>
      </c>
      <c r="J187" s="147">
        <f>F187*G187*I187</f>
        <v>200</v>
      </c>
      <c r="K187" s="147">
        <v>1.2199999999999999E-3</v>
      </c>
      <c r="L187" s="147">
        <f t="shared" si="31"/>
        <v>0.24399999999999999</v>
      </c>
    </row>
    <row r="188" spans="1:12" s="142" customFormat="1" x14ac:dyDescent="0.2">
      <c r="L188" s="142">
        <f>SUM(L183:L187)</f>
        <v>7.7</v>
      </c>
    </row>
    <row r="189" spans="1:12" s="142" customFormat="1" x14ac:dyDescent="0.2"/>
    <row r="190" spans="1:12" s="142" customFormat="1" x14ac:dyDescent="0.2">
      <c r="A190" s="39" t="s">
        <v>91</v>
      </c>
      <c r="B190" s="39" t="s">
        <v>171</v>
      </c>
      <c r="C190" s="39">
        <v>45</v>
      </c>
      <c r="D190" s="39" t="s">
        <v>11</v>
      </c>
      <c r="E190" s="39" t="s">
        <v>169</v>
      </c>
      <c r="F190" s="39">
        <v>1</v>
      </c>
      <c r="G190" s="39">
        <v>2</v>
      </c>
      <c r="H190" s="39"/>
      <c r="I190" s="39">
        <v>0</v>
      </c>
      <c r="J190" s="39">
        <f>F190*G190*I190</f>
        <v>0</v>
      </c>
      <c r="K190" s="39">
        <f>2/1000</f>
        <v>2E-3</v>
      </c>
      <c r="L190" s="39">
        <f>J190*K190</f>
        <v>0</v>
      </c>
    </row>
    <row r="191" spans="1:12" s="142" customFormat="1" x14ac:dyDescent="0.2">
      <c r="A191" s="39"/>
      <c r="B191" s="39" t="s">
        <v>172</v>
      </c>
      <c r="C191" s="39">
        <v>43</v>
      </c>
      <c r="D191" s="39" t="s">
        <v>11</v>
      </c>
      <c r="E191" s="39" t="s">
        <v>169</v>
      </c>
      <c r="F191" s="39">
        <v>1</v>
      </c>
      <c r="G191" s="39">
        <v>2</v>
      </c>
      <c r="H191" s="39"/>
      <c r="I191" s="39">
        <v>0</v>
      </c>
      <c r="J191" s="39">
        <f>F191*G191*I191</f>
        <v>0</v>
      </c>
      <c r="K191" s="39">
        <f>2/1000</f>
        <v>2E-3</v>
      </c>
      <c r="L191" s="39">
        <f t="shared" ref="L191" si="32">J191*K191</f>
        <v>0</v>
      </c>
    </row>
    <row r="192" spans="1:12" s="142" customFormat="1" x14ac:dyDescent="0.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>
        <f>SUM(L190:L191)</f>
        <v>0</v>
      </c>
    </row>
    <row r="193" spans="1:14" x14ac:dyDescent="0.2">
      <c r="E193" s="142"/>
      <c r="J193" s="142"/>
      <c r="N193" s="142"/>
    </row>
    <row r="194" spans="1:14" x14ac:dyDescent="0.2">
      <c r="E194" s="142"/>
      <c r="J194" s="142"/>
      <c r="N194" s="142"/>
    </row>
    <row r="195" spans="1:14" x14ac:dyDescent="0.2">
      <c r="A195" s="142" t="s">
        <v>92</v>
      </c>
      <c r="B195" s="142" t="s">
        <v>173</v>
      </c>
      <c r="C195" s="142">
        <v>140</v>
      </c>
      <c r="D195" s="142" t="s">
        <v>11</v>
      </c>
      <c r="E195" s="142" t="s">
        <v>168</v>
      </c>
      <c r="F195" s="142">
        <v>1</v>
      </c>
      <c r="G195" s="142">
        <v>2</v>
      </c>
      <c r="I195" s="142">
        <v>100</v>
      </c>
      <c r="J195" s="142">
        <f t="shared" ref="J195:J200" si="33">F195*G195*I195</f>
        <v>200</v>
      </c>
      <c r="K195" s="142">
        <f>2/1000</f>
        <v>2E-3</v>
      </c>
      <c r="L195" s="142">
        <f t="shared" ref="L195:L200" si="34">J195*K195</f>
        <v>0.4</v>
      </c>
      <c r="N195" s="142"/>
    </row>
    <row r="196" spans="1:14" x14ac:dyDescent="0.2">
      <c r="B196" s="142" t="s">
        <v>119</v>
      </c>
      <c r="C196" s="142">
        <v>20</v>
      </c>
      <c r="D196" s="142" t="s">
        <v>11</v>
      </c>
      <c r="E196" s="142" t="s">
        <v>65</v>
      </c>
      <c r="F196" s="142">
        <v>6</v>
      </c>
      <c r="G196" s="142">
        <v>4</v>
      </c>
      <c r="I196" s="142">
        <v>100</v>
      </c>
      <c r="J196" s="142">
        <f t="shared" si="33"/>
        <v>2400</v>
      </c>
      <c r="K196" s="142">
        <v>1.2199999999999999E-3</v>
      </c>
      <c r="L196" s="142">
        <f t="shared" si="34"/>
        <v>2.9279999999999999</v>
      </c>
      <c r="N196" s="142"/>
    </row>
    <row r="197" spans="1:14" x14ac:dyDescent="0.2">
      <c r="B197" s="142" t="s">
        <v>174</v>
      </c>
      <c r="C197" s="142">
        <v>30</v>
      </c>
      <c r="D197" s="142" t="s">
        <v>11</v>
      </c>
      <c r="E197" s="142" t="s">
        <v>65</v>
      </c>
      <c r="F197" s="142">
        <v>6</v>
      </c>
      <c r="G197" s="142">
        <v>4</v>
      </c>
      <c r="I197" s="142">
        <v>100</v>
      </c>
      <c r="J197" s="142">
        <f t="shared" si="33"/>
        <v>2400</v>
      </c>
      <c r="K197" s="142">
        <v>1.2199999999999999E-3</v>
      </c>
      <c r="L197" s="142">
        <f t="shared" si="34"/>
        <v>2.9279999999999999</v>
      </c>
      <c r="N197" s="142"/>
    </row>
    <row r="198" spans="1:14" x14ac:dyDescent="0.2">
      <c r="B198" s="142" t="s">
        <v>195</v>
      </c>
      <c r="C198" s="142">
        <v>18</v>
      </c>
      <c r="D198" s="142" t="s">
        <v>11</v>
      </c>
      <c r="E198" s="142" t="s">
        <v>169</v>
      </c>
      <c r="F198" s="142">
        <v>1</v>
      </c>
      <c r="G198" s="142">
        <v>2</v>
      </c>
      <c r="I198" s="142">
        <v>100</v>
      </c>
      <c r="J198" s="142">
        <f t="shared" si="33"/>
        <v>200</v>
      </c>
      <c r="K198" s="142">
        <v>1.2199999999999999E-3</v>
      </c>
      <c r="L198" s="142">
        <f t="shared" si="34"/>
        <v>0.24399999999999999</v>
      </c>
      <c r="N198" s="142"/>
    </row>
    <row r="199" spans="1:14" x14ac:dyDescent="0.2">
      <c r="B199" s="142" t="s">
        <v>205</v>
      </c>
      <c r="D199" s="142" t="s">
        <v>11</v>
      </c>
      <c r="E199" s="142" t="s">
        <v>169</v>
      </c>
      <c r="F199" s="142">
        <v>1</v>
      </c>
      <c r="G199" s="142">
        <v>2</v>
      </c>
      <c r="I199" s="142">
        <v>100</v>
      </c>
      <c r="J199" s="142">
        <f t="shared" si="33"/>
        <v>200</v>
      </c>
      <c r="K199" s="142">
        <v>1.2199999999999999E-3</v>
      </c>
      <c r="L199" s="142">
        <f t="shared" si="34"/>
        <v>0.24399999999999999</v>
      </c>
      <c r="N199" s="142"/>
    </row>
    <row r="200" spans="1:14" x14ac:dyDescent="0.2">
      <c r="B200" s="142" t="s">
        <v>172</v>
      </c>
      <c r="C200" s="142">
        <v>43</v>
      </c>
      <c r="D200" s="142" t="s">
        <v>11</v>
      </c>
      <c r="E200" s="142" t="s">
        <v>169</v>
      </c>
      <c r="F200" s="142">
        <v>1</v>
      </c>
      <c r="G200" s="142">
        <v>2</v>
      </c>
      <c r="I200" s="142">
        <v>100</v>
      </c>
      <c r="J200" s="142">
        <f t="shared" si="33"/>
        <v>200</v>
      </c>
      <c r="K200" s="142">
        <f>2/1000</f>
        <v>2E-3</v>
      </c>
      <c r="L200" s="142">
        <f t="shared" si="34"/>
        <v>0.4</v>
      </c>
      <c r="N200" s="142"/>
    </row>
    <row r="201" spans="1:14" x14ac:dyDescent="0.2">
      <c r="E201" s="142"/>
      <c r="J201" s="142"/>
      <c r="L201" s="142">
        <f>SUM(L195:L200)</f>
        <v>7.1440000000000001</v>
      </c>
      <c r="N201" s="142"/>
    </row>
    <row r="202" spans="1:14" x14ac:dyDescent="0.2">
      <c r="E202" s="142"/>
      <c r="J202" s="142"/>
      <c r="N202" s="142"/>
    </row>
    <row r="203" spans="1:14" x14ac:dyDescent="0.2">
      <c r="A203" s="39" t="s">
        <v>93</v>
      </c>
      <c r="B203" s="39" t="s">
        <v>175</v>
      </c>
      <c r="C203" s="39">
        <v>40</v>
      </c>
      <c r="D203" s="39" t="s">
        <v>11</v>
      </c>
      <c r="E203" s="39" t="s">
        <v>169</v>
      </c>
      <c r="F203" s="39">
        <v>1</v>
      </c>
      <c r="G203" s="39">
        <v>2</v>
      </c>
      <c r="H203" s="39"/>
      <c r="I203" s="39">
        <v>0</v>
      </c>
      <c r="J203" s="39">
        <f>F203*G203*I203</f>
        <v>0</v>
      </c>
      <c r="K203" s="39">
        <f>2/1000</f>
        <v>2E-3</v>
      </c>
      <c r="L203" s="39">
        <f t="shared" ref="L203:L204" si="35">J203*K203</f>
        <v>0</v>
      </c>
    </row>
    <row r="204" spans="1:14" x14ac:dyDescent="0.2">
      <c r="A204" s="39"/>
      <c r="B204" s="39" t="s">
        <v>176</v>
      </c>
      <c r="C204" s="39">
        <v>15</v>
      </c>
      <c r="D204" s="39" t="s">
        <v>11</v>
      </c>
      <c r="E204" s="39" t="s">
        <v>65</v>
      </c>
      <c r="F204" s="39">
        <v>1</v>
      </c>
      <c r="G204" s="39">
        <v>2</v>
      </c>
      <c r="H204" s="39"/>
      <c r="I204" s="39">
        <v>0</v>
      </c>
      <c r="J204" s="39">
        <f>F204*G204*I204</f>
        <v>0</v>
      </c>
      <c r="K204" s="39">
        <v>1.2199999999999999E-3</v>
      </c>
      <c r="L204" s="39">
        <f t="shared" si="35"/>
        <v>0</v>
      </c>
      <c r="N204" s="145"/>
    </row>
    <row r="205" spans="1:14" x14ac:dyDescent="0.2">
      <c r="A205" s="39"/>
      <c r="B205" s="39"/>
      <c r="C205" s="39"/>
      <c r="D205" s="39"/>
      <c r="E205" s="40"/>
      <c r="F205" s="39"/>
      <c r="G205" s="39"/>
      <c r="H205" s="39"/>
      <c r="I205" s="39"/>
      <c r="J205" s="39"/>
      <c r="K205" s="39"/>
      <c r="L205" s="39">
        <f>SUM(L203:L204)</f>
        <v>0</v>
      </c>
      <c r="N205" s="145"/>
    </row>
    <row r="206" spans="1:14" x14ac:dyDescent="0.2">
      <c r="A206" s="39"/>
      <c r="B206" s="39"/>
      <c r="C206" s="39"/>
      <c r="D206" s="39"/>
      <c r="E206" s="40"/>
      <c r="F206" s="39"/>
      <c r="G206" s="39"/>
      <c r="H206" s="39"/>
      <c r="I206" s="39"/>
      <c r="J206" s="39"/>
      <c r="K206" s="39"/>
      <c r="L206" s="39"/>
      <c r="N206" s="145"/>
    </row>
    <row r="207" spans="1:14" x14ac:dyDescent="0.2">
      <c r="A207" s="39" t="s">
        <v>94</v>
      </c>
      <c r="B207" s="39" t="s">
        <v>120</v>
      </c>
      <c r="C207" s="39">
        <v>69</v>
      </c>
      <c r="D207" s="39" t="s">
        <v>11</v>
      </c>
      <c r="E207" s="39" t="s">
        <v>169</v>
      </c>
      <c r="F207" s="39">
        <v>1</v>
      </c>
      <c r="G207" s="39">
        <v>2</v>
      </c>
      <c r="H207" s="39"/>
      <c r="I207" s="39">
        <v>0</v>
      </c>
      <c r="J207" s="39">
        <f>F207*G207*I207</f>
        <v>0</v>
      </c>
      <c r="K207" s="39">
        <f>2/1000</f>
        <v>2E-3</v>
      </c>
      <c r="L207" s="39">
        <f t="shared" ref="L207" si="36">J207*K207</f>
        <v>0</v>
      </c>
      <c r="N207" s="145"/>
    </row>
    <row r="208" spans="1:14" x14ac:dyDescent="0.2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N208" s="145"/>
    </row>
    <row r="209" spans="1:14" x14ac:dyDescent="0.2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N209" s="145"/>
    </row>
    <row r="210" spans="1:14" x14ac:dyDescent="0.2">
      <c r="E210" s="142"/>
      <c r="J210" s="142"/>
      <c r="N210" s="145"/>
    </row>
    <row r="211" spans="1:14" ht="18.75" thickBot="1" x14ac:dyDescent="0.25">
      <c r="A211" s="39"/>
      <c r="B211" s="41"/>
      <c r="C211" s="41"/>
      <c r="D211" s="41"/>
      <c r="E211" s="41"/>
      <c r="F211" s="349" t="s">
        <v>177</v>
      </c>
      <c r="G211" s="349"/>
      <c r="H211" s="349"/>
      <c r="I211" s="349"/>
      <c r="J211" s="350"/>
      <c r="N211" s="145"/>
    </row>
    <row r="212" spans="1:14" ht="33" x14ac:dyDescent="0.2">
      <c r="A212" s="42" t="s">
        <v>33</v>
      </c>
      <c r="B212" s="43"/>
      <c r="C212" s="376"/>
      <c r="D212" s="377"/>
      <c r="E212" s="43" t="s">
        <v>19</v>
      </c>
      <c r="F212" s="22" t="s">
        <v>178</v>
      </c>
      <c r="G212" s="24" t="s">
        <v>179</v>
      </c>
      <c r="H212" s="24" t="s">
        <v>180</v>
      </c>
      <c r="I212" s="2" t="s">
        <v>167</v>
      </c>
      <c r="J212" s="28" t="s">
        <v>166</v>
      </c>
      <c r="K212" s="140" t="s">
        <v>2</v>
      </c>
      <c r="L212" s="2" t="s">
        <v>3</v>
      </c>
      <c r="N212" s="145"/>
    </row>
    <row r="213" spans="1:14" ht="16.5" thickBot="1" x14ac:dyDescent="0.25">
      <c r="A213" s="44"/>
      <c r="B213" s="45"/>
      <c r="C213" s="46"/>
      <c r="D213" s="47"/>
      <c r="E213" s="48"/>
      <c r="F213" s="6"/>
      <c r="G213" s="23"/>
      <c r="H213" s="6"/>
      <c r="I213" s="6" t="s">
        <v>60</v>
      </c>
      <c r="J213" s="19" t="s">
        <v>60</v>
      </c>
      <c r="K213" s="18" t="s">
        <v>62</v>
      </c>
      <c r="L213" s="6" t="s">
        <v>7</v>
      </c>
      <c r="N213" s="145"/>
    </row>
    <row r="214" spans="1:14" x14ac:dyDescent="0.2">
      <c r="A214" s="142" t="s">
        <v>90</v>
      </c>
      <c r="B214" s="39" t="s">
        <v>197</v>
      </c>
      <c r="E214" s="142"/>
      <c r="F214" s="142">
        <f>G154</f>
        <v>0</v>
      </c>
      <c r="G214" s="142">
        <v>4</v>
      </c>
      <c r="H214" s="142">
        <v>1</v>
      </c>
      <c r="I214" s="142">
        <v>0</v>
      </c>
      <c r="J214" s="142">
        <f>2*I214*F214*G214/H214</f>
        <v>0</v>
      </c>
      <c r="K214" s="142">
        <f>0.22/1000</f>
        <v>2.2000000000000001E-4</v>
      </c>
      <c r="L214" s="142">
        <f>K214*J214</f>
        <v>0</v>
      </c>
      <c r="N214" s="145"/>
    </row>
    <row r="215" spans="1:14" x14ac:dyDescent="0.2">
      <c r="E215" s="142"/>
      <c r="J215" s="142"/>
      <c r="N215" s="145"/>
    </row>
    <row r="216" spans="1:14" x14ac:dyDescent="0.2">
      <c r="E216" s="142"/>
      <c r="J216" s="142"/>
      <c r="N216" s="145"/>
    </row>
    <row r="217" spans="1:14" x14ac:dyDescent="0.2">
      <c r="A217" s="142" t="s">
        <v>91</v>
      </c>
      <c r="B217" s="39" t="s">
        <v>197</v>
      </c>
      <c r="E217" s="142"/>
      <c r="F217" s="143">
        <f>G159</f>
        <v>0</v>
      </c>
      <c r="G217" s="142">
        <v>4</v>
      </c>
      <c r="H217" s="142">
        <v>1</v>
      </c>
      <c r="I217" s="142">
        <v>0</v>
      </c>
      <c r="J217" s="142">
        <f>2*I217*F217*G217/H217</f>
        <v>0</v>
      </c>
      <c r="K217" s="142">
        <f>0.22/1000</f>
        <v>2.2000000000000001E-4</v>
      </c>
      <c r="L217" s="142">
        <f>K217*J217</f>
        <v>0</v>
      </c>
      <c r="N217" s="145"/>
    </row>
    <row r="218" spans="1:14" x14ac:dyDescent="0.2">
      <c r="E218" s="142"/>
      <c r="J218" s="142"/>
      <c r="N218" s="145"/>
    </row>
    <row r="219" spans="1:14" x14ac:dyDescent="0.2">
      <c r="E219" s="142"/>
      <c r="J219" s="142"/>
      <c r="N219" s="145"/>
    </row>
    <row r="220" spans="1:14" x14ac:dyDescent="0.2">
      <c r="A220" s="142" t="s">
        <v>92</v>
      </c>
      <c r="B220" s="39" t="s">
        <v>197</v>
      </c>
      <c r="D220" s="39" t="s">
        <v>201</v>
      </c>
      <c r="E220" s="142"/>
      <c r="F220" s="143">
        <f>G164</f>
        <v>0</v>
      </c>
      <c r="G220" s="142">
        <v>4</v>
      </c>
      <c r="H220" s="142">
        <v>1</v>
      </c>
      <c r="I220" s="142">
        <v>0</v>
      </c>
      <c r="J220" s="142">
        <f>2*I220*F220*G220/H220</f>
        <v>0</v>
      </c>
      <c r="K220" s="142">
        <f>0.22/1000</f>
        <v>2.2000000000000001E-4</v>
      </c>
      <c r="L220" s="142">
        <f>K220*J220</f>
        <v>0</v>
      </c>
      <c r="N220" s="145"/>
    </row>
    <row r="221" spans="1:14" x14ac:dyDescent="0.2">
      <c r="D221" s="39" t="s">
        <v>198</v>
      </c>
      <c r="E221" s="142"/>
      <c r="J221" s="142"/>
      <c r="N221" s="145"/>
    </row>
    <row r="222" spans="1:14" x14ac:dyDescent="0.2">
      <c r="D222" s="39" t="s">
        <v>199</v>
      </c>
      <c r="E222" s="142"/>
      <c r="J222" s="142"/>
      <c r="N222" s="145"/>
    </row>
    <row r="223" spans="1:14" x14ac:dyDescent="0.2">
      <c r="A223" s="142" t="s">
        <v>93</v>
      </c>
      <c r="B223" s="39" t="s">
        <v>197</v>
      </c>
      <c r="E223" s="142"/>
      <c r="F223" s="143">
        <f>G170</f>
        <v>0</v>
      </c>
      <c r="G223" s="142">
        <v>4</v>
      </c>
      <c r="H223" s="142">
        <v>1</v>
      </c>
      <c r="I223" s="142">
        <v>0</v>
      </c>
      <c r="J223" s="143">
        <f>2*I223*F223*G223/H223</f>
        <v>0</v>
      </c>
      <c r="K223" s="142">
        <f>0.22/1000</f>
        <v>2.2000000000000001E-4</v>
      </c>
      <c r="L223" s="142">
        <f>K223*J223</f>
        <v>0</v>
      </c>
      <c r="N223" s="145"/>
    </row>
    <row r="224" spans="1:14" x14ac:dyDescent="0.2">
      <c r="E224" s="142"/>
      <c r="J224" s="142"/>
      <c r="N224" s="145"/>
    </row>
    <row r="225" spans="1:14" x14ac:dyDescent="0.2">
      <c r="E225" s="142"/>
      <c r="J225" s="142"/>
      <c r="N225" s="145"/>
    </row>
    <row r="226" spans="1:14" x14ac:dyDescent="0.2">
      <c r="A226" s="142" t="s">
        <v>94</v>
      </c>
      <c r="B226" s="39" t="s">
        <v>197</v>
      </c>
      <c r="E226" s="142"/>
      <c r="F226" s="143">
        <f>G175</f>
        <v>0</v>
      </c>
      <c r="G226" s="142">
        <v>4</v>
      </c>
      <c r="H226" s="142">
        <v>1</v>
      </c>
      <c r="I226" s="142">
        <v>0</v>
      </c>
      <c r="J226" s="142">
        <f>2*I226*F226*G226/H226</f>
        <v>0</v>
      </c>
      <c r="K226" s="142">
        <f>0.22/1000</f>
        <v>2.2000000000000001E-4</v>
      </c>
      <c r="L226" s="142">
        <f>K226*J226</f>
        <v>0</v>
      </c>
      <c r="N226" s="145"/>
    </row>
    <row r="227" spans="1:14" ht="15.75" thickBot="1" x14ac:dyDescent="0.25">
      <c r="B227" s="351" t="s">
        <v>116</v>
      </c>
      <c r="C227" s="351"/>
      <c r="D227" s="351"/>
      <c r="E227" s="351"/>
      <c r="F227" s="351"/>
      <c r="G227" s="351"/>
      <c r="H227" s="351"/>
      <c r="I227" s="351"/>
      <c r="J227" s="142"/>
      <c r="N227" s="142"/>
    </row>
    <row r="228" spans="1:14" ht="28.5" customHeight="1" thickBot="1" x14ac:dyDescent="0.25">
      <c r="B228" s="137" t="s">
        <v>211</v>
      </c>
      <c r="C228" s="340" t="s">
        <v>214</v>
      </c>
      <c r="D228" s="341"/>
      <c r="E228" s="89" t="s">
        <v>212</v>
      </c>
      <c r="F228" s="33" t="s">
        <v>215</v>
      </c>
      <c r="G228" s="33" t="s">
        <v>216</v>
      </c>
      <c r="H228" s="89" t="s">
        <v>213</v>
      </c>
      <c r="I228" s="33" t="s">
        <v>210</v>
      </c>
      <c r="L228" s="33" t="s">
        <v>97</v>
      </c>
      <c r="N228" s="142"/>
    </row>
    <row r="229" spans="1:14" x14ac:dyDescent="0.2">
      <c r="A229" s="142" t="s">
        <v>90</v>
      </c>
      <c r="B229" s="143">
        <f>L10</f>
        <v>919.18316847999995</v>
      </c>
      <c r="C229" s="352">
        <f>'Calculations MIP-VW'!L157</f>
        <v>57.959775000000008</v>
      </c>
      <c r="D229" s="352"/>
      <c r="E229" s="188">
        <f>'Calculations MIP-VW'!L44+'Calculations MIP-VW'!L81</f>
        <v>71.118799999999993</v>
      </c>
      <c r="F229" s="142">
        <f>'Calculations MIP-VW'!L190</f>
        <v>7.7</v>
      </c>
      <c r="G229" s="13">
        <f>'Calculations MIP-VW'!L216</f>
        <v>2.0657999999999999</v>
      </c>
      <c r="H229" s="94">
        <f>'Calculations MIP-VW'!J120</f>
        <v>22.553700150000001</v>
      </c>
      <c r="I229" s="143">
        <f>'Calculations MIP-VW'!L94</f>
        <v>28.655999999999999</v>
      </c>
      <c r="J229" s="173">
        <f>E229+B229+I229</f>
        <v>1018.9579684799999</v>
      </c>
      <c r="L229" s="142">
        <f>G154</f>
        <v>0</v>
      </c>
      <c r="N229" s="142"/>
    </row>
    <row r="230" spans="1:14" x14ac:dyDescent="0.2">
      <c r="A230" s="142" t="s">
        <v>91</v>
      </c>
      <c r="B230" s="143">
        <f>L17</f>
        <v>0</v>
      </c>
      <c r="C230" s="339">
        <f>L162</f>
        <v>0</v>
      </c>
      <c r="D230" s="339"/>
      <c r="E230" s="188">
        <f>L52+L91</f>
        <v>0</v>
      </c>
      <c r="F230" s="142">
        <f>L192</f>
        <v>0</v>
      </c>
      <c r="G230" s="13">
        <f>L217</f>
        <v>0</v>
      </c>
      <c r="H230" s="95">
        <f>J128</f>
        <v>0</v>
      </c>
      <c r="I230" s="143">
        <v>0</v>
      </c>
      <c r="J230" s="173">
        <f t="shared" ref="J230:J232" si="37">E230+B230</f>
        <v>0</v>
      </c>
      <c r="L230" s="143">
        <f>G159</f>
        <v>0</v>
      </c>
      <c r="N230" s="142"/>
    </row>
    <row r="231" spans="1:14" x14ac:dyDescent="0.2">
      <c r="A231" s="145" t="s">
        <v>92</v>
      </c>
      <c r="B231" s="143">
        <f>L25</f>
        <v>566.82168000000001</v>
      </c>
      <c r="C231" s="339">
        <f>'Calculations MIP-VW'!L169</f>
        <v>56.510258823529412</v>
      </c>
      <c r="D231" s="339"/>
      <c r="E231" s="188">
        <f>'Calculations MIP-VW'!L57</f>
        <v>13.7204</v>
      </c>
      <c r="F231" s="13">
        <f>'Calculations MIP-VW'!L203</f>
        <v>5.9</v>
      </c>
      <c r="G231" s="13">
        <f>'Calculations MIP-VW'!L222</f>
        <v>1.6948235294117646</v>
      </c>
      <c r="H231" s="95">
        <f>'Calculations MIP-VW'!J135</f>
        <v>13.317681176470586</v>
      </c>
      <c r="I231" s="143">
        <f>L103</f>
        <v>5.76</v>
      </c>
      <c r="J231" s="173">
        <f>E231+B231+I231</f>
        <v>586.30208000000005</v>
      </c>
      <c r="L231" s="143">
        <f>G164</f>
        <v>0</v>
      </c>
      <c r="N231" s="142"/>
    </row>
    <row r="232" spans="1:14" x14ac:dyDescent="0.2">
      <c r="A232" s="142" t="s">
        <v>93</v>
      </c>
      <c r="B232" s="143">
        <f>L29</f>
        <v>0</v>
      </c>
      <c r="C232" s="339">
        <f>L173</f>
        <v>0</v>
      </c>
      <c r="D232" s="339"/>
      <c r="E232" s="188">
        <f>L66</f>
        <v>0</v>
      </c>
      <c r="F232" s="142">
        <f>L205</f>
        <v>0</v>
      </c>
      <c r="G232" s="13">
        <f>L223</f>
        <v>0</v>
      </c>
      <c r="H232" s="95">
        <f>J143</f>
        <v>0</v>
      </c>
      <c r="I232" s="38">
        <f>L107</f>
        <v>0</v>
      </c>
      <c r="J232" s="173">
        <f t="shared" si="37"/>
        <v>0</v>
      </c>
      <c r="L232" s="143">
        <f>G170</f>
        <v>0</v>
      </c>
      <c r="N232" s="142"/>
    </row>
    <row r="233" spans="1:14" x14ac:dyDescent="0.2">
      <c r="A233" s="142" t="s">
        <v>94</v>
      </c>
      <c r="B233" s="143">
        <f>L35</f>
        <v>0</v>
      </c>
      <c r="C233" s="339">
        <f>L178</f>
        <v>0</v>
      </c>
      <c r="D233" s="339"/>
      <c r="E233" s="188">
        <f>L73</f>
        <v>0</v>
      </c>
      <c r="F233" s="142">
        <f>L207</f>
        <v>0</v>
      </c>
      <c r="G233" s="13">
        <f>L226</f>
        <v>0</v>
      </c>
      <c r="H233" s="95">
        <f>J148</f>
        <v>0</v>
      </c>
      <c r="I233" s="38">
        <f>L111</f>
        <v>0</v>
      </c>
      <c r="L233" s="143">
        <f>G175</f>
        <v>0</v>
      </c>
      <c r="N233" s="142"/>
    </row>
    <row r="234" spans="1:14" ht="15" thickBot="1" x14ac:dyDescent="0.25">
      <c r="C234" s="337"/>
      <c r="D234" s="337"/>
      <c r="E234" s="189"/>
      <c r="H234" s="96"/>
      <c r="I234" s="12"/>
      <c r="L234" s="32"/>
      <c r="N234" s="142"/>
    </row>
    <row r="235" spans="1:14" ht="29.25" customHeight="1" thickBot="1" x14ac:dyDescent="0.25">
      <c r="B235" s="137" t="s">
        <v>255</v>
      </c>
      <c r="C235" s="340" t="s">
        <v>256</v>
      </c>
      <c r="D235" s="341"/>
      <c r="E235" s="183" t="s">
        <v>254</v>
      </c>
      <c r="F235" s="33" t="s">
        <v>252</v>
      </c>
      <c r="G235" s="33" t="s">
        <v>253</v>
      </c>
      <c r="H235" s="89" t="s">
        <v>258</v>
      </c>
      <c r="I235" s="33" t="s">
        <v>257</v>
      </c>
      <c r="L235" s="33" t="s">
        <v>97</v>
      </c>
      <c r="N235" s="142"/>
    </row>
    <row r="236" spans="1:14" x14ac:dyDescent="0.2">
      <c r="A236" s="142" t="s">
        <v>239</v>
      </c>
      <c r="B236" s="143">
        <f>B229+B230</f>
        <v>919.18316847999995</v>
      </c>
      <c r="C236" s="339">
        <f>C229+C230</f>
        <v>57.959775000000008</v>
      </c>
      <c r="D236" s="337"/>
      <c r="E236" s="188">
        <f>E229+E230</f>
        <v>71.118799999999993</v>
      </c>
      <c r="F236" s="13">
        <f>F229+F230</f>
        <v>7.7</v>
      </c>
      <c r="G236" s="17">
        <f>G229+G230</f>
        <v>2.0657999999999999</v>
      </c>
      <c r="H236" s="94">
        <f>H229+H230</f>
        <v>22.553700150000001</v>
      </c>
      <c r="I236" s="143">
        <f>I229+I230</f>
        <v>28.655999999999999</v>
      </c>
      <c r="L236" s="143">
        <f>L229+L230</f>
        <v>0</v>
      </c>
      <c r="M236" s="143">
        <f>SUM(B236:I236)</f>
        <v>1109.23724363</v>
      </c>
      <c r="N236" s="142"/>
    </row>
    <row r="237" spans="1:14" x14ac:dyDescent="0.2">
      <c r="A237" s="142" t="s">
        <v>240</v>
      </c>
      <c r="B237" s="143">
        <f>B231+B232</f>
        <v>566.82168000000001</v>
      </c>
      <c r="C237" s="342">
        <f>C231+C232</f>
        <v>56.510258823529412</v>
      </c>
      <c r="D237" s="343"/>
      <c r="E237" s="188">
        <f>E231+E232</f>
        <v>13.7204</v>
      </c>
      <c r="F237" s="13">
        <f>F231+F232</f>
        <v>5.9</v>
      </c>
      <c r="G237" s="17">
        <f>G231+G232</f>
        <v>1.6948235294117646</v>
      </c>
      <c r="H237" s="97">
        <f>H231+H232</f>
        <v>13.317681176470586</v>
      </c>
      <c r="I237" s="143">
        <f>I231+I232</f>
        <v>5.76</v>
      </c>
      <c r="L237" s="143">
        <f>L231+L232</f>
        <v>0</v>
      </c>
      <c r="M237" s="143">
        <f>SUM(B237:I237)</f>
        <v>663.72484352941183</v>
      </c>
      <c r="N237" s="142"/>
    </row>
    <row r="238" spans="1:14" x14ac:dyDescent="0.2">
      <c r="B238" s="143"/>
      <c r="C238" s="342"/>
      <c r="D238" s="343"/>
      <c r="E238" s="90"/>
      <c r="F238" s="143"/>
      <c r="G238" s="143"/>
      <c r="H238" s="97"/>
      <c r="I238" s="143"/>
      <c r="L238" s="143">
        <f>L231+L233</f>
        <v>0</v>
      </c>
      <c r="M238" s="143">
        <f>SUM(B238:I238)</f>
        <v>0</v>
      </c>
      <c r="N238" s="142"/>
    </row>
    <row r="239" spans="1:14" x14ac:dyDescent="0.2">
      <c r="C239" s="337"/>
      <c r="D239" s="337"/>
      <c r="E239" s="91"/>
      <c r="H239" s="32"/>
      <c r="I239" s="12"/>
      <c r="L239" s="32"/>
      <c r="N239" s="142"/>
    </row>
    <row r="240" spans="1:14" x14ac:dyDescent="0.2">
      <c r="B240" s="146">
        <f>B236/SUM(B236:H236)</f>
        <v>0.85063772289086292</v>
      </c>
      <c r="C240" s="338">
        <f>C236/SUM(B236:H236)</f>
        <v>5.3637591196100676E-2</v>
      </c>
      <c r="D240" s="338"/>
      <c r="E240" s="92">
        <f>E236/SUM(B236:H236)</f>
        <v>6.5815319689513013E-2</v>
      </c>
      <c r="F240" s="64">
        <f>F236/SUM(B236:H236)</f>
        <v>7.1257946085880276E-3</v>
      </c>
      <c r="G240" s="64">
        <f>G236/SUM(B236:H236)</f>
        <v>1.9117488964183306E-3</v>
      </c>
      <c r="H240" s="98">
        <f>H236/SUM(B236:H236)</f>
        <v>2.0871822718517011E-2</v>
      </c>
      <c r="I240" s="64">
        <f>I236/SUM(B236:H236)</f>
        <v>2.6519061078402403E-2</v>
      </c>
      <c r="N240" s="142"/>
    </row>
    <row r="241" spans="2:14" x14ac:dyDescent="0.2">
      <c r="B241" s="146">
        <f>B237/SUM(B237:H237)</f>
        <v>0.86147715272976033</v>
      </c>
      <c r="C241" s="338">
        <f>C237/SUM(B237:H237)</f>
        <v>8.5886441166675098E-2</v>
      </c>
      <c r="D241" s="338"/>
      <c r="E241" s="92">
        <f>E237/SUM(B237:H237)</f>
        <v>2.0852785881996263E-2</v>
      </c>
      <c r="F241" s="64">
        <f>F237/SUM(B237:H237)</f>
        <v>8.9670444523321444E-3</v>
      </c>
      <c r="G241" s="64">
        <f>G237/SUM(B237:H237)</f>
        <v>2.5758572757786018E-3</v>
      </c>
      <c r="H241" s="98">
        <f>H237/SUM(B237:H237)</f>
        <v>2.0240718493457422E-2</v>
      </c>
      <c r="I241" s="64">
        <f>I237/SUM(B237:H237)</f>
        <v>8.7542671263446011E-3</v>
      </c>
      <c r="N241" s="142"/>
    </row>
    <row r="242" spans="2:14" x14ac:dyDescent="0.2">
      <c r="B242" s="146" t="e">
        <f>B238/SUM(B238:H238)</f>
        <v>#DIV/0!</v>
      </c>
      <c r="C242" s="338" t="e">
        <f>C238/SUM(B238:H238)</f>
        <v>#DIV/0!</v>
      </c>
      <c r="D242" s="338"/>
      <c r="E242" s="92" t="e">
        <f>E238/SUM(B238:H238)</f>
        <v>#DIV/0!</v>
      </c>
      <c r="F242" s="64" t="e">
        <f>F238/SUM(B238:H238)</f>
        <v>#DIV/0!</v>
      </c>
      <c r="G242" s="64" t="e">
        <f>G238/SUM(B238:H238)</f>
        <v>#DIV/0!</v>
      </c>
      <c r="H242" s="98" t="e">
        <f>H238/SUM(B238:H238)</f>
        <v>#DIV/0!</v>
      </c>
      <c r="I242" s="64" t="e">
        <f>I238/SUM(B238:H238)</f>
        <v>#DIV/0!</v>
      </c>
      <c r="N242" s="142"/>
    </row>
    <row r="243" spans="2:14" x14ac:dyDescent="0.2">
      <c r="C243" s="93"/>
      <c r="D243" s="93"/>
      <c r="F243" s="337"/>
      <c r="G243" s="337"/>
      <c r="H243" s="337"/>
      <c r="I243" s="337"/>
      <c r="J243" s="32"/>
      <c r="N243" s="142"/>
    </row>
    <row r="244" spans="2:14" x14ac:dyDescent="0.2">
      <c r="C244" s="93"/>
      <c r="D244" s="93"/>
      <c r="F244" s="337"/>
      <c r="G244" s="337"/>
      <c r="H244" s="337"/>
      <c r="I244" s="337"/>
      <c r="J244" s="32"/>
      <c r="N244" s="142"/>
    </row>
    <row r="245" spans="2:14" x14ac:dyDescent="0.2">
      <c r="C245" s="93"/>
      <c r="D245" s="93"/>
      <c r="F245" s="337"/>
      <c r="G245" s="337"/>
      <c r="H245" s="337"/>
      <c r="I245" s="337"/>
      <c r="J245" s="32"/>
      <c r="N245" s="142"/>
    </row>
    <row r="246" spans="2:14" x14ac:dyDescent="0.2">
      <c r="C246" s="93"/>
      <c r="D246" s="93"/>
      <c r="F246" s="337"/>
      <c r="G246" s="337"/>
      <c r="H246" s="337"/>
      <c r="I246" s="337"/>
      <c r="J246" s="32"/>
      <c r="N246" s="142"/>
    </row>
    <row r="247" spans="2:14" x14ac:dyDescent="0.2">
      <c r="C247" s="93"/>
      <c r="D247" s="93"/>
      <c r="F247" s="337"/>
      <c r="G247" s="337"/>
      <c r="H247" s="337"/>
      <c r="I247" s="337"/>
      <c r="J247" s="32"/>
      <c r="N247" s="142"/>
    </row>
    <row r="248" spans="2:14" x14ac:dyDescent="0.2">
      <c r="C248" s="93"/>
      <c r="D248" s="93"/>
      <c r="F248" s="337"/>
      <c r="G248" s="337"/>
      <c r="H248" s="337"/>
      <c r="I248" s="337"/>
      <c r="J248" s="32"/>
      <c r="N248" s="142"/>
    </row>
    <row r="249" spans="2:14" x14ac:dyDescent="0.2">
      <c r="C249" s="93"/>
      <c r="D249" s="93"/>
      <c r="F249" s="337"/>
      <c r="G249" s="337"/>
      <c r="H249" s="337"/>
      <c r="I249" s="337"/>
      <c r="J249" s="32"/>
      <c r="N249" s="142"/>
    </row>
    <row r="250" spans="2:14" x14ac:dyDescent="0.2">
      <c r="C250" s="93"/>
      <c r="D250" s="93"/>
      <c r="J250" s="142"/>
      <c r="N250" s="142"/>
    </row>
    <row r="251" spans="2:14" x14ac:dyDescent="0.2">
      <c r="C251" s="93">
        <v>0</v>
      </c>
      <c r="D251" s="93"/>
      <c r="J251" s="142"/>
      <c r="N251" s="142"/>
    </row>
    <row r="252" spans="2:14" x14ac:dyDescent="0.2">
      <c r="C252" s="143">
        <f>SUM(B236:I236)</f>
        <v>1109.23724363</v>
      </c>
      <c r="D252" s="93"/>
      <c r="J252" s="142"/>
      <c r="N252" s="142"/>
    </row>
    <row r="253" spans="2:14" x14ac:dyDescent="0.2">
      <c r="C253" s="143">
        <f t="shared" ref="C253:C254" si="38">SUM(B237:I237)</f>
        <v>663.72484352941183</v>
      </c>
      <c r="D253" s="93"/>
      <c r="J253" s="142"/>
      <c r="N253" s="142"/>
    </row>
    <row r="254" spans="2:14" x14ac:dyDescent="0.2">
      <c r="C254" s="143">
        <f t="shared" si="38"/>
        <v>0</v>
      </c>
      <c r="D254" s="93"/>
      <c r="J254" s="142"/>
      <c r="N254" s="142"/>
    </row>
    <row r="255" spans="2:14" x14ac:dyDescent="0.2">
      <c r="B255" s="143"/>
      <c r="C255" s="93">
        <v>0</v>
      </c>
      <c r="D255" s="93"/>
      <c r="J255" s="142"/>
      <c r="N255" s="142"/>
    </row>
    <row r="256" spans="2:14" x14ac:dyDescent="0.2">
      <c r="B256" s="143"/>
      <c r="C256" s="93"/>
      <c r="D256" s="93"/>
      <c r="E256" s="142"/>
      <c r="J256" s="142"/>
      <c r="N256" s="142"/>
    </row>
    <row r="257" spans="3:14" x14ac:dyDescent="0.2">
      <c r="C257" s="93"/>
      <c r="D257" s="93"/>
      <c r="E257" s="142"/>
      <c r="J257" s="142"/>
      <c r="N257" s="142"/>
    </row>
    <row r="258" spans="3:14" x14ac:dyDescent="0.2">
      <c r="C258" s="93"/>
      <c r="D258" s="93"/>
      <c r="E258" s="142"/>
      <c r="J258" s="142"/>
      <c r="N258" s="142"/>
    </row>
    <row r="259" spans="3:14" x14ac:dyDescent="0.2">
      <c r="C259" s="93"/>
      <c r="D259" s="93"/>
      <c r="E259" s="142"/>
      <c r="J259" s="142"/>
      <c r="N259" s="142"/>
    </row>
    <row r="260" spans="3:14" x14ac:dyDescent="0.2">
      <c r="C260" s="93"/>
      <c r="D260" s="93"/>
      <c r="E260" s="142"/>
      <c r="J260" s="142"/>
      <c r="N260" s="142"/>
    </row>
    <row r="261" spans="3:14" x14ac:dyDescent="0.2">
      <c r="C261" s="93"/>
      <c r="D261" s="93"/>
      <c r="E261" s="142"/>
      <c r="J261" s="142"/>
      <c r="N261" s="142"/>
    </row>
    <row r="262" spans="3:14" x14ac:dyDescent="0.2">
      <c r="C262" s="93"/>
      <c r="D262" s="93"/>
      <c r="E262" s="142"/>
      <c r="J262" s="142"/>
      <c r="N262" s="142"/>
    </row>
    <row r="263" spans="3:14" x14ac:dyDescent="0.2">
      <c r="C263" s="93"/>
      <c r="D263" s="93"/>
      <c r="E263" s="142"/>
      <c r="J263" s="142"/>
      <c r="N263" s="142"/>
    </row>
    <row r="264" spans="3:14" x14ac:dyDescent="0.2">
      <c r="C264" s="93"/>
      <c r="D264" s="93"/>
      <c r="E264" s="142"/>
      <c r="J264" s="142"/>
      <c r="N264" s="142"/>
    </row>
    <row r="265" spans="3:14" x14ac:dyDescent="0.2">
      <c r="E265" s="142"/>
      <c r="J265" s="142"/>
      <c r="N265" s="142"/>
    </row>
    <row r="266" spans="3:14" x14ac:dyDescent="0.2">
      <c r="E266" s="142"/>
      <c r="J266" s="142"/>
      <c r="N266" s="142"/>
    </row>
    <row r="267" spans="3:14" x14ac:dyDescent="0.2">
      <c r="E267" s="142"/>
      <c r="J267" s="142"/>
      <c r="N267" s="142"/>
    </row>
    <row r="268" spans="3:14" x14ac:dyDescent="0.2">
      <c r="E268" s="142"/>
      <c r="J268" s="142"/>
      <c r="N268" s="142"/>
    </row>
    <row r="269" spans="3:14" x14ac:dyDescent="0.2">
      <c r="E269" s="142"/>
      <c r="J269" s="142"/>
      <c r="N269" s="142"/>
    </row>
    <row r="270" spans="3:14" x14ac:dyDescent="0.2">
      <c r="E270" s="142"/>
      <c r="J270" s="142"/>
      <c r="N270" s="142"/>
    </row>
    <row r="271" spans="3:14" x14ac:dyDescent="0.2">
      <c r="E271" s="142"/>
      <c r="J271" s="142"/>
      <c r="N271" s="142"/>
    </row>
    <row r="272" spans="3:14" x14ac:dyDescent="0.2">
      <c r="E272" s="142"/>
      <c r="H272" s="143"/>
      <c r="I272" s="143"/>
      <c r="J272" s="143"/>
      <c r="N272" s="142"/>
    </row>
    <row r="273" spans="5:14" x14ac:dyDescent="0.2">
      <c r="E273" s="142"/>
      <c r="H273" s="143"/>
      <c r="I273" s="143"/>
      <c r="J273" s="143"/>
      <c r="N273" s="142"/>
    </row>
    <row r="274" spans="5:14" x14ac:dyDescent="0.2">
      <c r="E274" s="142"/>
      <c r="J274" s="142"/>
      <c r="N274" s="142"/>
    </row>
    <row r="275" spans="5:14" x14ac:dyDescent="0.2">
      <c r="E275" s="142"/>
      <c r="J275" s="142"/>
      <c r="N275" s="142"/>
    </row>
    <row r="276" spans="5:14" x14ac:dyDescent="0.2">
      <c r="E276" s="142"/>
      <c r="J276" s="142"/>
      <c r="N276" s="142"/>
    </row>
    <row r="277" spans="5:14" x14ac:dyDescent="0.2">
      <c r="E277" s="142"/>
      <c r="J277" s="142"/>
      <c r="N277" s="142"/>
    </row>
    <row r="278" spans="5:14" x14ac:dyDescent="0.2">
      <c r="E278" s="142"/>
      <c r="J278" s="142"/>
      <c r="N278" s="142"/>
    </row>
    <row r="279" spans="5:14" x14ac:dyDescent="0.2">
      <c r="E279" s="142"/>
      <c r="J279" s="142"/>
      <c r="N279" s="142"/>
    </row>
    <row r="280" spans="5:14" x14ac:dyDescent="0.2">
      <c r="E280" s="142"/>
      <c r="J280" s="142"/>
      <c r="N280" s="142"/>
    </row>
    <row r="281" spans="5:14" x14ac:dyDescent="0.2">
      <c r="E281" s="142"/>
      <c r="H281" s="32"/>
      <c r="J281" s="142"/>
      <c r="N281" s="142"/>
    </row>
    <row r="282" spans="5:14" x14ac:dyDescent="0.2">
      <c r="E282" s="142"/>
      <c r="H282" s="32"/>
      <c r="J282" s="142"/>
      <c r="N282" s="142"/>
    </row>
    <row r="283" spans="5:14" x14ac:dyDescent="0.2">
      <c r="E283" s="142"/>
      <c r="H283" s="32"/>
      <c r="J283" s="142"/>
      <c r="N283" s="142"/>
    </row>
    <row r="284" spans="5:14" x14ac:dyDescent="0.2">
      <c r="E284" s="142"/>
      <c r="J284" s="142"/>
      <c r="N284" s="142"/>
    </row>
    <row r="285" spans="5:14" x14ac:dyDescent="0.2">
      <c r="E285" s="142"/>
      <c r="J285" s="142"/>
      <c r="N285" s="142"/>
    </row>
    <row r="286" spans="5:14" x14ac:dyDescent="0.2">
      <c r="E286" s="142"/>
      <c r="J286" s="142"/>
      <c r="N286" s="142"/>
    </row>
    <row r="287" spans="5:14" x14ac:dyDescent="0.2">
      <c r="E287" s="142"/>
      <c r="J287" s="142"/>
      <c r="N287" s="142"/>
    </row>
    <row r="288" spans="5:14" x14ac:dyDescent="0.2">
      <c r="J288" s="142"/>
      <c r="N288" s="142"/>
    </row>
    <row r="289" spans="10:14" x14ac:dyDescent="0.2">
      <c r="J289" s="142"/>
      <c r="N289" s="142"/>
    </row>
    <row r="290" spans="10:14" x14ac:dyDescent="0.2">
      <c r="J290" s="142"/>
      <c r="N290" s="142"/>
    </row>
    <row r="291" spans="10:14" x14ac:dyDescent="0.2">
      <c r="J291" s="142"/>
      <c r="N291" s="142"/>
    </row>
    <row r="292" spans="10:14" x14ac:dyDescent="0.2">
      <c r="J292" s="142"/>
      <c r="N292" s="142"/>
    </row>
    <row r="293" spans="10:14" x14ac:dyDescent="0.2">
      <c r="J293" s="142"/>
      <c r="N293" s="142"/>
    </row>
    <row r="294" spans="10:14" x14ac:dyDescent="0.2">
      <c r="J294" s="142"/>
      <c r="N294" s="142"/>
    </row>
    <row r="295" spans="10:14" x14ac:dyDescent="0.2">
      <c r="J295" s="142"/>
      <c r="N295" s="142"/>
    </row>
    <row r="296" spans="10:14" x14ac:dyDescent="0.2">
      <c r="J296" s="142"/>
      <c r="N296" s="142"/>
    </row>
    <row r="297" spans="10:14" x14ac:dyDescent="0.2">
      <c r="J297" s="142"/>
      <c r="N297" s="142"/>
    </row>
    <row r="298" spans="10:14" x14ac:dyDescent="0.2">
      <c r="J298" s="142"/>
      <c r="N298" s="142"/>
    </row>
    <row r="299" spans="10:14" x14ac:dyDescent="0.2">
      <c r="J299" s="142"/>
      <c r="N299" s="142"/>
    </row>
    <row r="300" spans="10:14" x14ac:dyDescent="0.2">
      <c r="J300" s="142"/>
      <c r="N300" s="142"/>
    </row>
    <row r="301" spans="10:14" x14ac:dyDescent="0.2">
      <c r="J301" s="142"/>
      <c r="N301" s="142"/>
    </row>
    <row r="302" spans="10:14" x14ac:dyDescent="0.2">
      <c r="J302" s="142"/>
      <c r="N302" s="142"/>
    </row>
    <row r="303" spans="10:14" x14ac:dyDescent="0.2">
      <c r="J303" s="142"/>
      <c r="N303" s="142"/>
    </row>
    <row r="304" spans="10:14" x14ac:dyDescent="0.2">
      <c r="J304" s="142"/>
      <c r="N304" s="142"/>
    </row>
    <row r="305" spans="10:14" x14ac:dyDescent="0.2">
      <c r="J305" s="142"/>
      <c r="N305" s="142"/>
    </row>
    <row r="306" spans="10:14" x14ac:dyDescent="0.2">
      <c r="J306" s="142"/>
      <c r="N306" s="142"/>
    </row>
    <row r="307" spans="10:14" x14ac:dyDescent="0.2">
      <c r="J307" s="142"/>
      <c r="N307" s="142"/>
    </row>
    <row r="308" spans="10:14" x14ac:dyDescent="0.2">
      <c r="J308" s="142"/>
      <c r="N308" s="142"/>
    </row>
    <row r="309" spans="10:14" x14ac:dyDescent="0.2">
      <c r="J309" s="142"/>
      <c r="N309" s="142"/>
    </row>
    <row r="310" spans="10:14" x14ac:dyDescent="0.2">
      <c r="J310" s="142"/>
      <c r="N310" s="142"/>
    </row>
    <row r="311" spans="10:14" x14ac:dyDescent="0.2">
      <c r="J311" s="142"/>
      <c r="N311" s="142"/>
    </row>
    <row r="312" spans="10:14" x14ac:dyDescent="0.2">
      <c r="J312" s="142"/>
      <c r="N312" s="142"/>
    </row>
    <row r="313" spans="10:14" x14ac:dyDescent="0.2">
      <c r="J313" s="142"/>
      <c r="N313" s="142"/>
    </row>
    <row r="314" spans="10:14" x14ac:dyDescent="0.2">
      <c r="J314" s="142"/>
      <c r="N314" s="142"/>
    </row>
    <row r="315" spans="10:14" x14ac:dyDescent="0.2">
      <c r="J315" s="142"/>
      <c r="N315" s="142"/>
    </row>
    <row r="316" spans="10:14" x14ac:dyDescent="0.2">
      <c r="J316" s="142"/>
      <c r="N316" s="142"/>
    </row>
    <row r="317" spans="10:14" x14ac:dyDescent="0.2">
      <c r="J317" s="142"/>
      <c r="N317" s="142"/>
    </row>
    <row r="318" spans="10:14" x14ac:dyDescent="0.2">
      <c r="J318" s="142"/>
      <c r="N318" s="142"/>
    </row>
    <row r="319" spans="10:14" x14ac:dyDescent="0.2">
      <c r="J319" s="142"/>
      <c r="N319" s="142"/>
    </row>
    <row r="320" spans="10:14" x14ac:dyDescent="0.2">
      <c r="J320" s="142"/>
      <c r="N320" s="142"/>
    </row>
    <row r="321" spans="10:14" x14ac:dyDescent="0.2">
      <c r="J321" s="142"/>
      <c r="N321" s="142"/>
    </row>
    <row r="322" spans="10:14" x14ac:dyDescent="0.2">
      <c r="J322" s="142"/>
      <c r="N322" s="142"/>
    </row>
    <row r="323" spans="10:14" x14ac:dyDescent="0.2">
      <c r="J323" s="142"/>
      <c r="N323" s="142"/>
    </row>
    <row r="324" spans="10:14" x14ac:dyDescent="0.2">
      <c r="J324" s="142"/>
      <c r="N324" s="142"/>
    </row>
    <row r="325" spans="10:14" x14ac:dyDescent="0.2">
      <c r="J325" s="142"/>
      <c r="N325" s="142"/>
    </row>
    <row r="326" spans="10:14" x14ac:dyDescent="0.2">
      <c r="J326" s="142"/>
      <c r="N326" s="142"/>
    </row>
    <row r="327" spans="10:14" x14ac:dyDescent="0.2">
      <c r="J327" s="142"/>
      <c r="N327" s="142"/>
    </row>
    <row r="328" spans="10:14" x14ac:dyDescent="0.2">
      <c r="J328" s="142"/>
      <c r="N328" s="142"/>
    </row>
    <row r="329" spans="10:14" x14ac:dyDescent="0.2">
      <c r="J329" s="142"/>
      <c r="N329" s="142"/>
    </row>
    <row r="330" spans="10:14" x14ac:dyDescent="0.2">
      <c r="J330" s="142"/>
      <c r="N330" s="142"/>
    </row>
    <row r="331" spans="10:14" x14ac:dyDescent="0.2">
      <c r="J331" s="142"/>
      <c r="N331" s="142"/>
    </row>
    <row r="332" spans="10:14" x14ac:dyDescent="0.2">
      <c r="J332" s="142"/>
      <c r="N332" s="142"/>
    </row>
    <row r="333" spans="10:14" x14ac:dyDescent="0.2">
      <c r="J333" s="142"/>
      <c r="N333" s="142"/>
    </row>
    <row r="334" spans="10:14" x14ac:dyDescent="0.2">
      <c r="J334" s="142"/>
      <c r="N334" s="142"/>
    </row>
    <row r="335" spans="10:14" x14ac:dyDescent="0.2">
      <c r="J335" s="142"/>
      <c r="N335" s="142"/>
    </row>
    <row r="336" spans="10:14" x14ac:dyDescent="0.2">
      <c r="J336" s="142"/>
      <c r="N336" s="142"/>
    </row>
    <row r="337" spans="10:14" x14ac:dyDescent="0.2">
      <c r="J337" s="142"/>
      <c r="N337" s="142"/>
    </row>
    <row r="338" spans="10:14" x14ac:dyDescent="0.2">
      <c r="J338" s="142"/>
      <c r="N338" s="142"/>
    </row>
    <row r="339" spans="10:14" x14ac:dyDescent="0.2">
      <c r="J339" s="142"/>
      <c r="N339" s="142"/>
    </row>
    <row r="340" spans="10:14" x14ac:dyDescent="0.2">
      <c r="J340" s="142"/>
      <c r="N340" s="142"/>
    </row>
    <row r="341" spans="10:14" x14ac:dyDescent="0.2">
      <c r="J341" s="142"/>
      <c r="N341" s="142"/>
    </row>
    <row r="342" spans="10:14" x14ac:dyDescent="0.2">
      <c r="J342" s="142"/>
      <c r="N342" s="142"/>
    </row>
    <row r="343" spans="10:14" x14ac:dyDescent="0.2">
      <c r="J343" s="142"/>
      <c r="N343" s="142"/>
    </row>
    <row r="344" spans="10:14" x14ac:dyDescent="0.2">
      <c r="J344" s="142"/>
      <c r="N344" s="142"/>
    </row>
    <row r="345" spans="10:14" x14ac:dyDescent="0.2">
      <c r="J345" s="142"/>
      <c r="N345" s="142"/>
    </row>
    <row r="346" spans="10:14" x14ac:dyDescent="0.2">
      <c r="J346" s="142"/>
      <c r="N346" s="142"/>
    </row>
    <row r="347" spans="10:14" x14ac:dyDescent="0.2">
      <c r="J347" s="142"/>
      <c r="N347" s="142"/>
    </row>
    <row r="348" spans="10:14" x14ac:dyDescent="0.2">
      <c r="J348" s="142"/>
      <c r="N348" s="142"/>
    </row>
    <row r="349" spans="10:14" x14ac:dyDescent="0.2">
      <c r="J349" s="142"/>
      <c r="N349" s="142"/>
    </row>
    <row r="350" spans="10:14" x14ac:dyDescent="0.2">
      <c r="J350" s="142"/>
      <c r="N350" s="142"/>
    </row>
    <row r="351" spans="10:14" x14ac:dyDescent="0.2">
      <c r="J351" s="142"/>
      <c r="N351" s="142"/>
    </row>
    <row r="352" spans="10:14" x14ac:dyDescent="0.2">
      <c r="J352" s="142"/>
      <c r="N352" s="142"/>
    </row>
    <row r="353" spans="10:14" x14ac:dyDescent="0.2">
      <c r="J353" s="142"/>
      <c r="N353" s="142"/>
    </row>
    <row r="354" spans="10:14" x14ac:dyDescent="0.2">
      <c r="J354" s="142"/>
      <c r="N354" s="142"/>
    </row>
    <row r="355" spans="10:14" x14ac:dyDescent="0.2">
      <c r="J355" s="142"/>
      <c r="N355" s="142"/>
    </row>
    <row r="356" spans="10:14" x14ac:dyDescent="0.2">
      <c r="J356" s="142"/>
      <c r="N356" s="142"/>
    </row>
    <row r="357" spans="10:14" x14ac:dyDescent="0.2">
      <c r="J357" s="142"/>
      <c r="N357" s="142"/>
    </row>
    <row r="358" spans="10:14" x14ac:dyDescent="0.2">
      <c r="J358" s="142"/>
      <c r="N358" s="142"/>
    </row>
    <row r="359" spans="10:14" x14ac:dyDescent="0.2">
      <c r="J359" s="142"/>
      <c r="N359" s="142"/>
    </row>
    <row r="360" spans="10:14" x14ac:dyDescent="0.2">
      <c r="J360" s="142"/>
      <c r="N360" s="142"/>
    </row>
    <row r="361" spans="10:14" x14ac:dyDescent="0.2">
      <c r="J361" s="142"/>
      <c r="N361" s="142"/>
    </row>
    <row r="362" spans="10:14" x14ac:dyDescent="0.2">
      <c r="J362" s="142"/>
      <c r="N362" s="142"/>
    </row>
    <row r="363" spans="10:14" x14ac:dyDescent="0.2">
      <c r="J363" s="142"/>
      <c r="N363" s="142"/>
    </row>
    <row r="364" spans="10:14" x14ac:dyDescent="0.2">
      <c r="J364" s="142"/>
      <c r="N364" s="142"/>
    </row>
    <row r="365" spans="10:14" x14ac:dyDescent="0.2">
      <c r="J365" s="142"/>
      <c r="N365" s="142"/>
    </row>
    <row r="366" spans="10:14" x14ac:dyDescent="0.2">
      <c r="J366" s="142"/>
      <c r="N366" s="142"/>
    </row>
    <row r="367" spans="10:14" x14ac:dyDescent="0.2">
      <c r="J367" s="142"/>
      <c r="N367" s="142"/>
    </row>
    <row r="368" spans="10:14" x14ac:dyDescent="0.2">
      <c r="J368" s="142"/>
      <c r="N368" s="142"/>
    </row>
    <row r="369" spans="10:14" x14ac:dyDescent="0.2">
      <c r="J369" s="142"/>
      <c r="N369" s="142"/>
    </row>
    <row r="370" spans="10:14" x14ac:dyDescent="0.2">
      <c r="J370" s="142"/>
      <c r="N370" s="142"/>
    </row>
    <row r="371" spans="10:14" x14ac:dyDescent="0.2">
      <c r="J371" s="142"/>
      <c r="N371" s="142"/>
    </row>
    <row r="372" spans="10:14" x14ac:dyDescent="0.2">
      <c r="J372" s="142"/>
      <c r="N372" s="142"/>
    </row>
    <row r="373" spans="10:14" x14ac:dyDescent="0.2">
      <c r="J373" s="142"/>
      <c r="N373" s="142"/>
    </row>
    <row r="374" spans="10:14" x14ac:dyDescent="0.2">
      <c r="J374" s="142"/>
      <c r="N374" s="142"/>
    </row>
    <row r="375" spans="10:14" x14ac:dyDescent="0.2">
      <c r="J375" s="142"/>
      <c r="N375" s="142"/>
    </row>
    <row r="376" spans="10:14" x14ac:dyDescent="0.2">
      <c r="J376" s="142"/>
      <c r="N376" s="142"/>
    </row>
    <row r="377" spans="10:14" x14ac:dyDescent="0.2">
      <c r="J377" s="142"/>
      <c r="N377" s="142"/>
    </row>
    <row r="378" spans="10:14" x14ac:dyDescent="0.2">
      <c r="J378" s="142"/>
      <c r="N378" s="142"/>
    </row>
    <row r="379" spans="10:14" x14ac:dyDescent="0.2">
      <c r="J379" s="142"/>
      <c r="N379" s="142"/>
    </row>
    <row r="380" spans="10:14" x14ac:dyDescent="0.2">
      <c r="J380" s="142"/>
      <c r="N380" s="142"/>
    </row>
    <row r="381" spans="10:14" x14ac:dyDescent="0.2">
      <c r="J381" s="142"/>
      <c r="N381" s="142"/>
    </row>
    <row r="382" spans="10:14" x14ac:dyDescent="0.2">
      <c r="J382" s="142"/>
      <c r="N382" s="142"/>
    </row>
    <row r="383" spans="10:14" x14ac:dyDescent="0.2">
      <c r="J383" s="142"/>
      <c r="N383" s="142"/>
    </row>
    <row r="384" spans="10:14" x14ac:dyDescent="0.2">
      <c r="J384" s="142"/>
      <c r="N384" s="142"/>
    </row>
    <row r="385" spans="10:14" x14ac:dyDescent="0.2">
      <c r="J385" s="142"/>
      <c r="N385" s="142"/>
    </row>
    <row r="386" spans="10:14" x14ac:dyDescent="0.2">
      <c r="J386" s="142"/>
      <c r="N386" s="142"/>
    </row>
    <row r="387" spans="10:14" x14ac:dyDescent="0.2">
      <c r="J387" s="142"/>
      <c r="N387" s="142"/>
    </row>
    <row r="388" spans="10:14" x14ac:dyDescent="0.2">
      <c r="J388" s="142"/>
      <c r="N388" s="142"/>
    </row>
    <row r="389" spans="10:14" x14ac:dyDescent="0.2">
      <c r="J389" s="142"/>
      <c r="N389" s="142"/>
    </row>
    <row r="390" spans="10:14" x14ac:dyDescent="0.2">
      <c r="J390" s="142"/>
      <c r="N390" s="142"/>
    </row>
    <row r="391" spans="10:14" x14ac:dyDescent="0.2">
      <c r="J391" s="142"/>
      <c r="N391" s="142"/>
    </row>
    <row r="392" spans="10:14" x14ac:dyDescent="0.2">
      <c r="J392" s="142"/>
      <c r="N392" s="142"/>
    </row>
    <row r="393" spans="10:14" x14ac:dyDescent="0.2">
      <c r="J393" s="142"/>
      <c r="N393" s="142"/>
    </row>
    <row r="394" spans="10:14" x14ac:dyDescent="0.2">
      <c r="J394" s="142"/>
      <c r="N394" s="142"/>
    </row>
    <row r="395" spans="10:14" x14ac:dyDescent="0.2">
      <c r="J395" s="142"/>
      <c r="N395" s="142"/>
    </row>
    <row r="396" spans="10:14" x14ac:dyDescent="0.2">
      <c r="J396" s="142"/>
      <c r="N396" s="142"/>
    </row>
    <row r="397" spans="10:14" x14ac:dyDescent="0.2">
      <c r="J397" s="142"/>
      <c r="N397" s="142"/>
    </row>
    <row r="398" spans="10:14" x14ac:dyDescent="0.2">
      <c r="J398" s="142"/>
      <c r="N398" s="142"/>
    </row>
    <row r="399" spans="10:14" x14ac:dyDescent="0.2">
      <c r="J399" s="142"/>
      <c r="N399" s="142"/>
    </row>
    <row r="400" spans="10:14" x14ac:dyDescent="0.2">
      <c r="J400" s="142"/>
      <c r="N400" s="142"/>
    </row>
    <row r="401" spans="10:14" x14ac:dyDescent="0.2">
      <c r="J401" s="142"/>
      <c r="N401" s="142"/>
    </row>
    <row r="402" spans="10:14" x14ac:dyDescent="0.2">
      <c r="J402" s="142"/>
      <c r="N402" s="142"/>
    </row>
    <row r="403" spans="10:14" x14ac:dyDescent="0.2">
      <c r="J403" s="142"/>
      <c r="N403" s="142"/>
    </row>
    <row r="404" spans="10:14" x14ac:dyDescent="0.2">
      <c r="J404" s="142"/>
      <c r="N404" s="142"/>
    </row>
    <row r="405" spans="10:14" x14ac:dyDescent="0.2">
      <c r="J405" s="142"/>
      <c r="N405" s="142"/>
    </row>
    <row r="406" spans="10:14" x14ac:dyDescent="0.2">
      <c r="J406" s="142"/>
      <c r="N406" s="142"/>
    </row>
    <row r="407" spans="10:14" x14ac:dyDescent="0.2">
      <c r="J407" s="142"/>
      <c r="N407" s="142"/>
    </row>
    <row r="408" spans="10:14" x14ac:dyDescent="0.2">
      <c r="J408" s="142"/>
      <c r="N408" s="142"/>
    </row>
    <row r="409" spans="10:14" x14ac:dyDescent="0.2">
      <c r="J409" s="142"/>
      <c r="N409" s="142"/>
    </row>
    <row r="410" spans="10:14" x14ac:dyDescent="0.2">
      <c r="J410" s="142"/>
      <c r="N410" s="142"/>
    </row>
    <row r="411" spans="10:14" x14ac:dyDescent="0.2">
      <c r="J411" s="142"/>
      <c r="N411" s="142"/>
    </row>
    <row r="412" spans="10:14" x14ac:dyDescent="0.2">
      <c r="J412" s="142"/>
      <c r="N412" s="142"/>
    </row>
    <row r="413" spans="10:14" x14ac:dyDescent="0.2">
      <c r="J413" s="142"/>
      <c r="N413" s="142"/>
    </row>
    <row r="414" spans="10:14" x14ac:dyDescent="0.2">
      <c r="J414" s="142"/>
      <c r="N414" s="142"/>
    </row>
    <row r="415" spans="10:14" x14ac:dyDescent="0.2">
      <c r="J415" s="142"/>
      <c r="N415" s="142"/>
    </row>
    <row r="416" spans="10:14" x14ac:dyDescent="0.2">
      <c r="J416" s="142"/>
      <c r="N416" s="142"/>
    </row>
    <row r="417" spans="10:14" x14ac:dyDescent="0.2">
      <c r="J417" s="142"/>
      <c r="N417" s="142"/>
    </row>
    <row r="418" spans="10:14" x14ac:dyDescent="0.2">
      <c r="J418" s="142"/>
      <c r="N418" s="142"/>
    </row>
    <row r="419" spans="10:14" x14ac:dyDescent="0.2">
      <c r="J419" s="142"/>
      <c r="N419" s="142"/>
    </row>
    <row r="420" spans="10:14" x14ac:dyDescent="0.2">
      <c r="J420" s="142"/>
      <c r="N420" s="142"/>
    </row>
    <row r="421" spans="10:14" x14ac:dyDescent="0.2">
      <c r="J421" s="142"/>
      <c r="N421" s="142"/>
    </row>
    <row r="422" spans="10:14" x14ac:dyDescent="0.2">
      <c r="J422" s="142"/>
      <c r="N422" s="142"/>
    </row>
    <row r="423" spans="10:14" x14ac:dyDescent="0.2">
      <c r="J423" s="142"/>
      <c r="N423" s="142"/>
    </row>
    <row r="424" spans="10:14" x14ac:dyDescent="0.2">
      <c r="J424" s="142"/>
      <c r="N424" s="142"/>
    </row>
    <row r="425" spans="10:14" x14ac:dyDescent="0.2">
      <c r="J425" s="142"/>
      <c r="N425" s="142"/>
    </row>
    <row r="426" spans="10:14" x14ac:dyDescent="0.2">
      <c r="J426" s="142"/>
      <c r="N426" s="142"/>
    </row>
    <row r="427" spans="10:14" x14ac:dyDescent="0.2">
      <c r="J427" s="142"/>
      <c r="N427" s="142"/>
    </row>
    <row r="428" spans="10:14" x14ac:dyDescent="0.2">
      <c r="J428" s="142"/>
      <c r="N428" s="142"/>
    </row>
    <row r="429" spans="10:14" x14ac:dyDescent="0.2">
      <c r="J429" s="142"/>
      <c r="N429" s="142"/>
    </row>
    <row r="430" spans="10:14" x14ac:dyDescent="0.2">
      <c r="J430" s="142"/>
      <c r="N430" s="142"/>
    </row>
    <row r="431" spans="10:14" x14ac:dyDescent="0.2">
      <c r="J431" s="142"/>
      <c r="N431" s="142"/>
    </row>
    <row r="432" spans="10:14" x14ac:dyDescent="0.2">
      <c r="J432" s="142"/>
      <c r="N432" s="142"/>
    </row>
    <row r="433" spans="10:14" x14ac:dyDescent="0.2">
      <c r="J433" s="142"/>
      <c r="N433" s="142"/>
    </row>
    <row r="434" spans="10:14" x14ac:dyDescent="0.2">
      <c r="J434" s="142"/>
      <c r="N434" s="142"/>
    </row>
    <row r="435" spans="10:14" x14ac:dyDescent="0.2">
      <c r="J435" s="142"/>
      <c r="N435" s="142"/>
    </row>
    <row r="436" spans="10:14" x14ac:dyDescent="0.2">
      <c r="J436" s="142"/>
      <c r="N436" s="142"/>
    </row>
    <row r="437" spans="10:14" x14ac:dyDescent="0.2">
      <c r="J437" s="142"/>
      <c r="N437" s="142"/>
    </row>
    <row r="438" spans="10:14" x14ac:dyDescent="0.2">
      <c r="J438" s="142"/>
      <c r="N438" s="142"/>
    </row>
    <row r="439" spans="10:14" x14ac:dyDescent="0.2">
      <c r="J439" s="142"/>
      <c r="N439" s="142"/>
    </row>
    <row r="440" spans="10:14" x14ac:dyDescent="0.2">
      <c r="J440" s="142"/>
      <c r="N440" s="142"/>
    </row>
    <row r="441" spans="10:14" x14ac:dyDescent="0.2">
      <c r="J441" s="142"/>
      <c r="N441" s="142"/>
    </row>
    <row r="442" spans="10:14" x14ac:dyDescent="0.2">
      <c r="J442" s="142"/>
      <c r="N442" s="142"/>
    </row>
    <row r="443" spans="10:14" x14ac:dyDescent="0.2">
      <c r="J443" s="142"/>
      <c r="N443" s="142"/>
    </row>
    <row r="444" spans="10:14" x14ac:dyDescent="0.2">
      <c r="J444" s="142"/>
      <c r="N444" s="142"/>
    </row>
    <row r="445" spans="10:14" x14ac:dyDescent="0.2">
      <c r="J445" s="142"/>
      <c r="N445" s="142"/>
    </row>
    <row r="446" spans="10:14" x14ac:dyDescent="0.2">
      <c r="J446" s="142"/>
      <c r="N446" s="142"/>
    </row>
    <row r="447" spans="10:14" x14ac:dyDescent="0.2">
      <c r="J447" s="142"/>
      <c r="N447" s="142"/>
    </row>
    <row r="448" spans="10:14" x14ac:dyDescent="0.2">
      <c r="J448" s="142"/>
      <c r="N448" s="142"/>
    </row>
    <row r="449" spans="10:14" x14ac:dyDescent="0.2">
      <c r="J449" s="142"/>
      <c r="N449" s="142"/>
    </row>
    <row r="450" spans="10:14" x14ac:dyDescent="0.2">
      <c r="J450" s="142"/>
      <c r="N450" s="142"/>
    </row>
    <row r="451" spans="10:14" x14ac:dyDescent="0.2">
      <c r="J451" s="142"/>
      <c r="N451" s="142"/>
    </row>
    <row r="452" spans="10:14" x14ac:dyDescent="0.2">
      <c r="J452" s="142"/>
      <c r="N452" s="142"/>
    </row>
    <row r="453" spans="10:14" x14ac:dyDescent="0.2">
      <c r="J453" s="142"/>
      <c r="N453" s="142"/>
    </row>
    <row r="454" spans="10:14" x14ac:dyDescent="0.2">
      <c r="J454" s="142"/>
      <c r="N454" s="142"/>
    </row>
    <row r="455" spans="10:14" x14ac:dyDescent="0.2">
      <c r="J455" s="142"/>
      <c r="N455" s="142"/>
    </row>
    <row r="456" spans="10:14" x14ac:dyDescent="0.2">
      <c r="J456" s="142"/>
      <c r="N456" s="142"/>
    </row>
    <row r="457" spans="10:14" x14ac:dyDescent="0.2">
      <c r="J457" s="142"/>
      <c r="N457" s="142"/>
    </row>
    <row r="458" spans="10:14" x14ac:dyDescent="0.2">
      <c r="J458" s="142"/>
      <c r="N458" s="142"/>
    </row>
    <row r="459" spans="10:14" x14ac:dyDescent="0.2">
      <c r="J459" s="142"/>
      <c r="N459" s="142"/>
    </row>
    <row r="460" spans="10:14" x14ac:dyDescent="0.2">
      <c r="J460" s="142"/>
      <c r="N460" s="142"/>
    </row>
    <row r="461" spans="10:14" x14ac:dyDescent="0.2">
      <c r="J461" s="142"/>
      <c r="N461" s="142"/>
    </row>
    <row r="462" spans="10:14" x14ac:dyDescent="0.2">
      <c r="J462" s="142"/>
      <c r="N462" s="142"/>
    </row>
    <row r="463" spans="10:14" x14ac:dyDescent="0.2">
      <c r="J463" s="142"/>
      <c r="N463" s="142"/>
    </row>
    <row r="464" spans="10:14" x14ac:dyDescent="0.2">
      <c r="J464" s="142"/>
      <c r="N464" s="142"/>
    </row>
    <row r="465" spans="10:14" x14ac:dyDescent="0.2">
      <c r="J465" s="142"/>
      <c r="N465" s="142"/>
    </row>
    <row r="466" spans="10:14" x14ac:dyDescent="0.2">
      <c r="J466" s="142"/>
      <c r="N466" s="142"/>
    </row>
    <row r="467" spans="10:14" x14ac:dyDescent="0.2">
      <c r="J467" s="142"/>
      <c r="N467" s="142"/>
    </row>
    <row r="468" spans="10:14" x14ac:dyDescent="0.2">
      <c r="J468" s="142"/>
      <c r="N468" s="142"/>
    </row>
    <row r="469" spans="10:14" x14ac:dyDescent="0.2">
      <c r="J469" s="142"/>
      <c r="N469" s="142"/>
    </row>
    <row r="470" spans="10:14" x14ac:dyDescent="0.2">
      <c r="J470" s="142"/>
      <c r="N470" s="142"/>
    </row>
    <row r="471" spans="10:14" x14ac:dyDescent="0.2">
      <c r="J471" s="142"/>
      <c r="N471" s="142"/>
    </row>
    <row r="472" spans="10:14" x14ac:dyDescent="0.2">
      <c r="J472" s="142"/>
      <c r="N472" s="142"/>
    </row>
    <row r="473" spans="10:14" x14ac:dyDescent="0.2">
      <c r="J473" s="142"/>
      <c r="N473" s="142"/>
    </row>
    <row r="474" spans="10:14" x14ac:dyDescent="0.2">
      <c r="J474" s="142"/>
      <c r="N474" s="142"/>
    </row>
    <row r="475" spans="10:14" x14ac:dyDescent="0.2">
      <c r="J475" s="142"/>
      <c r="N475" s="142"/>
    </row>
    <row r="476" spans="10:14" x14ac:dyDescent="0.2">
      <c r="J476" s="142"/>
      <c r="N476" s="142"/>
    </row>
    <row r="477" spans="10:14" x14ac:dyDescent="0.2">
      <c r="J477" s="142"/>
      <c r="N477" s="142"/>
    </row>
    <row r="478" spans="10:14" x14ac:dyDescent="0.2">
      <c r="J478" s="142"/>
      <c r="N478" s="142"/>
    </row>
    <row r="479" spans="10:14" x14ac:dyDescent="0.2">
      <c r="J479" s="142"/>
      <c r="N479" s="142"/>
    </row>
    <row r="480" spans="10:14" x14ac:dyDescent="0.2">
      <c r="J480" s="142"/>
      <c r="N480" s="142"/>
    </row>
    <row r="481" spans="10:14" x14ac:dyDescent="0.2">
      <c r="J481" s="142"/>
      <c r="N481" s="142"/>
    </row>
    <row r="482" spans="10:14" x14ac:dyDescent="0.2">
      <c r="J482" s="142"/>
      <c r="N482" s="142"/>
    </row>
    <row r="483" spans="10:14" x14ac:dyDescent="0.2">
      <c r="J483" s="142"/>
      <c r="N483" s="142"/>
    </row>
    <row r="484" spans="10:14" x14ac:dyDescent="0.2">
      <c r="J484" s="142"/>
      <c r="N484" s="142"/>
    </row>
    <row r="485" spans="10:14" x14ac:dyDescent="0.2">
      <c r="J485" s="142"/>
      <c r="N485" s="142"/>
    </row>
    <row r="486" spans="10:14" x14ac:dyDescent="0.2">
      <c r="J486" s="142"/>
      <c r="N486" s="142"/>
    </row>
    <row r="487" spans="10:14" x14ac:dyDescent="0.2">
      <c r="J487" s="142"/>
      <c r="N487" s="142"/>
    </row>
    <row r="488" spans="10:14" x14ac:dyDescent="0.2">
      <c r="J488" s="142"/>
      <c r="N488" s="142"/>
    </row>
    <row r="489" spans="10:14" x14ac:dyDescent="0.2">
      <c r="J489" s="142"/>
      <c r="N489" s="142"/>
    </row>
    <row r="490" spans="10:14" x14ac:dyDescent="0.2">
      <c r="J490" s="142"/>
      <c r="N490" s="142"/>
    </row>
    <row r="491" spans="10:14" x14ac:dyDescent="0.2">
      <c r="J491" s="142"/>
      <c r="N491" s="142"/>
    </row>
    <row r="492" spans="10:14" x14ac:dyDescent="0.2">
      <c r="J492" s="142"/>
      <c r="N492" s="142"/>
    </row>
    <row r="493" spans="10:14" x14ac:dyDescent="0.2">
      <c r="J493" s="142"/>
      <c r="N493" s="142"/>
    </row>
    <row r="494" spans="10:14" x14ac:dyDescent="0.2">
      <c r="J494" s="142"/>
      <c r="N494" s="142"/>
    </row>
    <row r="495" spans="10:14" x14ac:dyDescent="0.2">
      <c r="J495" s="142"/>
      <c r="N495" s="142"/>
    </row>
    <row r="496" spans="10:14" x14ac:dyDescent="0.2">
      <c r="J496" s="142"/>
      <c r="N496" s="142"/>
    </row>
    <row r="497" spans="10:14" x14ac:dyDescent="0.2">
      <c r="J497" s="142"/>
      <c r="N497" s="142"/>
    </row>
    <row r="498" spans="10:14" x14ac:dyDescent="0.2">
      <c r="J498" s="142"/>
      <c r="N498" s="142"/>
    </row>
    <row r="499" spans="10:14" x14ac:dyDescent="0.2">
      <c r="J499" s="142"/>
      <c r="N499" s="142"/>
    </row>
    <row r="500" spans="10:14" x14ac:dyDescent="0.2">
      <c r="J500" s="142"/>
      <c r="N500" s="142"/>
    </row>
    <row r="501" spans="10:14" x14ac:dyDescent="0.2">
      <c r="J501" s="142"/>
      <c r="N501" s="142"/>
    </row>
    <row r="502" spans="10:14" x14ac:dyDescent="0.2">
      <c r="J502" s="142"/>
      <c r="N502" s="142"/>
    </row>
    <row r="503" spans="10:14" x14ac:dyDescent="0.2">
      <c r="J503" s="142"/>
      <c r="N503" s="142"/>
    </row>
    <row r="504" spans="10:14" x14ac:dyDescent="0.2">
      <c r="J504" s="142"/>
      <c r="N504" s="142"/>
    </row>
    <row r="505" spans="10:14" x14ac:dyDescent="0.2">
      <c r="J505" s="142"/>
      <c r="N505" s="142"/>
    </row>
    <row r="506" spans="10:14" x14ac:dyDescent="0.2">
      <c r="J506" s="142"/>
      <c r="N506" s="142"/>
    </row>
    <row r="507" spans="10:14" x14ac:dyDescent="0.2">
      <c r="J507" s="142"/>
      <c r="N507" s="142"/>
    </row>
    <row r="508" spans="10:14" x14ac:dyDescent="0.2">
      <c r="J508" s="142"/>
      <c r="N508" s="142"/>
    </row>
    <row r="509" spans="10:14" x14ac:dyDescent="0.2">
      <c r="J509" s="142"/>
      <c r="N509" s="142"/>
    </row>
    <row r="510" spans="10:14" x14ac:dyDescent="0.2">
      <c r="J510" s="142"/>
      <c r="N510" s="142"/>
    </row>
    <row r="511" spans="10:14" x14ac:dyDescent="0.2">
      <c r="J511" s="142"/>
      <c r="N511" s="142"/>
    </row>
    <row r="512" spans="10:14" x14ac:dyDescent="0.2">
      <c r="J512" s="142"/>
      <c r="N512" s="142"/>
    </row>
    <row r="513" spans="10:14" x14ac:dyDescent="0.2">
      <c r="J513" s="142"/>
      <c r="N513" s="142"/>
    </row>
    <row r="514" spans="10:14" x14ac:dyDescent="0.2">
      <c r="J514" s="142"/>
      <c r="N514" s="142"/>
    </row>
    <row r="515" spans="10:14" x14ac:dyDescent="0.2">
      <c r="J515" s="142"/>
      <c r="N515" s="142"/>
    </row>
    <row r="516" spans="10:14" x14ac:dyDescent="0.2">
      <c r="J516" s="142"/>
      <c r="N516" s="142"/>
    </row>
    <row r="517" spans="10:14" x14ac:dyDescent="0.2">
      <c r="J517" s="142"/>
      <c r="N517" s="142"/>
    </row>
    <row r="518" spans="10:14" x14ac:dyDescent="0.2">
      <c r="J518" s="142"/>
      <c r="N518" s="142"/>
    </row>
    <row r="519" spans="10:14" x14ac:dyDescent="0.2">
      <c r="J519" s="142"/>
      <c r="N519" s="142"/>
    </row>
    <row r="520" spans="10:14" x14ac:dyDescent="0.2">
      <c r="J520" s="142"/>
      <c r="N520" s="142"/>
    </row>
    <row r="521" spans="10:14" x14ac:dyDescent="0.2">
      <c r="J521" s="142"/>
      <c r="N521" s="142"/>
    </row>
    <row r="522" spans="10:14" x14ac:dyDescent="0.2">
      <c r="J522" s="142"/>
      <c r="N522" s="142"/>
    </row>
    <row r="523" spans="10:14" x14ac:dyDescent="0.2">
      <c r="J523" s="142"/>
      <c r="N523" s="142"/>
    </row>
    <row r="524" spans="10:14" x14ac:dyDescent="0.2">
      <c r="J524" s="142"/>
      <c r="N524" s="142"/>
    </row>
    <row r="525" spans="10:14" x14ac:dyDescent="0.2">
      <c r="J525" s="142"/>
      <c r="N525" s="142"/>
    </row>
    <row r="526" spans="10:14" x14ac:dyDescent="0.2">
      <c r="J526" s="142"/>
      <c r="N526" s="142"/>
    </row>
    <row r="527" spans="10:14" x14ac:dyDescent="0.2">
      <c r="J527" s="142"/>
      <c r="N527" s="142"/>
    </row>
    <row r="528" spans="10:14" x14ac:dyDescent="0.2">
      <c r="J528" s="142"/>
      <c r="N528" s="142"/>
    </row>
    <row r="529" spans="10:14" x14ac:dyDescent="0.2">
      <c r="J529" s="142"/>
      <c r="N529" s="142"/>
    </row>
    <row r="530" spans="10:14" x14ac:dyDescent="0.2">
      <c r="J530" s="142"/>
      <c r="N530" s="142"/>
    </row>
    <row r="531" spans="10:14" x14ac:dyDescent="0.2">
      <c r="J531" s="142"/>
      <c r="N531" s="142"/>
    </row>
    <row r="532" spans="10:14" x14ac:dyDescent="0.2">
      <c r="J532" s="142"/>
      <c r="N532" s="142"/>
    </row>
    <row r="533" spans="10:14" x14ac:dyDescent="0.2">
      <c r="J533" s="142"/>
      <c r="N533" s="142"/>
    </row>
    <row r="534" spans="10:14" x14ac:dyDescent="0.2">
      <c r="J534" s="142"/>
      <c r="N534" s="142"/>
    </row>
    <row r="535" spans="10:14" x14ac:dyDescent="0.2">
      <c r="J535" s="142"/>
      <c r="N535" s="142"/>
    </row>
    <row r="536" spans="10:14" x14ac:dyDescent="0.2">
      <c r="J536" s="142"/>
      <c r="N536" s="142"/>
    </row>
    <row r="537" spans="10:14" x14ac:dyDescent="0.2">
      <c r="J537" s="142"/>
      <c r="N537" s="142"/>
    </row>
    <row r="538" spans="10:14" x14ac:dyDescent="0.2">
      <c r="J538" s="142"/>
      <c r="N538" s="142"/>
    </row>
    <row r="539" spans="10:14" x14ac:dyDescent="0.2">
      <c r="J539" s="142"/>
      <c r="N539" s="142"/>
    </row>
    <row r="540" spans="10:14" x14ac:dyDescent="0.2">
      <c r="J540" s="142"/>
      <c r="N540" s="142"/>
    </row>
    <row r="541" spans="10:14" x14ac:dyDescent="0.2">
      <c r="J541" s="142"/>
      <c r="N541" s="142"/>
    </row>
    <row r="542" spans="10:14" x14ac:dyDescent="0.2">
      <c r="J542" s="142"/>
      <c r="N542" s="142"/>
    </row>
    <row r="543" spans="10:14" x14ac:dyDescent="0.2">
      <c r="J543" s="142"/>
      <c r="N543" s="142"/>
    </row>
    <row r="544" spans="10:14" x14ac:dyDescent="0.2">
      <c r="J544" s="142"/>
      <c r="N544" s="142"/>
    </row>
    <row r="545" spans="10:14" x14ac:dyDescent="0.2">
      <c r="J545" s="142"/>
      <c r="N545" s="142"/>
    </row>
    <row r="546" spans="10:14" x14ac:dyDescent="0.2">
      <c r="J546" s="142"/>
      <c r="N546" s="142"/>
    </row>
    <row r="547" spans="10:14" x14ac:dyDescent="0.2">
      <c r="J547" s="142"/>
      <c r="N547" s="142"/>
    </row>
    <row r="548" spans="10:14" x14ac:dyDescent="0.2">
      <c r="J548" s="142"/>
      <c r="N548" s="142"/>
    </row>
    <row r="549" spans="10:14" x14ac:dyDescent="0.2">
      <c r="J549" s="142"/>
      <c r="N549" s="142"/>
    </row>
    <row r="550" spans="10:14" x14ac:dyDescent="0.2">
      <c r="J550" s="142"/>
      <c r="N550" s="142"/>
    </row>
    <row r="551" spans="10:14" x14ac:dyDescent="0.2">
      <c r="J551" s="142"/>
      <c r="N551" s="142"/>
    </row>
    <row r="552" spans="10:14" x14ac:dyDescent="0.2">
      <c r="J552" s="142"/>
      <c r="N552" s="142"/>
    </row>
    <row r="553" spans="10:14" x14ac:dyDescent="0.2">
      <c r="J553" s="142"/>
      <c r="N553" s="142"/>
    </row>
    <row r="554" spans="10:14" x14ac:dyDescent="0.2">
      <c r="J554" s="142"/>
      <c r="N554" s="142"/>
    </row>
    <row r="555" spans="10:14" x14ac:dyDescent="0.2">
      <c r="J555" s="142"/>
      <c r="N555" s="142"/>
    </row>
    <row r="556" spans="10:14" x14ac:dyDescent="0.2">
      <c r="J556" s="142"/>
      <c r="N556" s="142"/>
    </row>
    <row r="557" spans="10:14" x14ac:dyDescent="0.2">
      <c r="J557" s="142"/>
      <c r="N557" s="142"/>
    </row>
    <row r="558" spans="10:14" x14ac:dyDescent="0.2">
      <c r="J558" s="142"/>
      <c r="N558" s="142"/>
    </row>
    <row r="559" spans="10:14" x14ac:dyDescent="0.2">
      <c r="J559" s="142"/>
      <c r="N559" s="142"/>
    </row>
    <row r="560" spans="10:14" x14ac:dyDescent="0.2">
      <c r="J560" s="142"/>
      <c r="N560" s="142"/>
    </row>
    <row r="561" spans="10:14" x14ac:dyDescent="0.2">
      <c r="J561" s="142"/>
      <c r="N561" s="142"/>
    </row>
    <row r="562" spans="10:14" x14ac:dyDescent="0.2">
      <c r="J562" s="142"/>
      <c r="N562" s="142"/>
    </row>
    <row r="563" spans="10:14" x14ac:dyDescent="0.2">
      <c r="J563" s="142"/>
      <c r="N563" s="142"/>
    </row>
    <row r="564" spans="10:14" x14ac:dyDescent="0.2">
      <c r="J564" s="142"/>
      <c r="N564" s="142"/>
    </row>
    <row r="565" spans="10:14" x14ac:dyDescent="0.2">
      <c r="J565" s="142"/>
      <c r="N565" s="142"/>
    </row>
    <row r="566" spans="10:14" x14ac:dyDescent="0.2">
      <c r="J566" s="142"/>
      <c r="N566" s="142"/>
    </row>
    <row r="567" spans="10:14" x14ac:dyDescent="0.2">
      <c r="J567" s="142"/>
      <c r="N567" s="142"/>
    </row>
    <row r="568" spans="10:14" x14ac:dyDescent="0.2">
      <c r="J568" s="142"/>
      <c r="N568" s="142"/>
    </row>
    <row r="569" spans="10:14" x14ac:dyDescent="0.2">
      <c r="J569" s="142"/>
      <c r="N569" s="142"/>
    </row>
    <row r="570" spans="10:14" x14ac:dyDescent="0.2">
      <c r="J570" s="142"/>
      <c r="N570" s="142"/>
    </row>
    <row r="571" spans="10:14" x14ac:dyDescent="0.2">
      <c r="J571" s="142"/>
      <c r="N571" s="142"/>
    </row>
    <row r="572" spans="10:14" x14ac:dyDescent="0.2">
      <c r="J572" s="142"/>
      <c r="N572" s="142"/>
    </row>
    <row r="573" spans="10:14" x14ac:dyDescent="0.2">
      <c r="J573" s="142"/>
      <c r="N573" s="142"/>
    </row>
    <row r="574" spans="10:14" x14ac:dyDescent="0.2">
      <c r="J574" s="142"/>
      <c r="N574" s="142"/>
    </row>
    <row r="575" spans="10:14" x14ac:dyDescent="0.2">
      <c r="J575" s="142"/>
      <c r="N575" s="142"/>
    </row>
    <row r="576" spans="10:14" x14ac:dyDescent="0.2">
      <c r="J576" s="142"/>
      <c r="N576" s="142"/>
    </row>
    <row r="577" spans="10:14" x14ac:dyDescent="0.2">
      <c r="J577" s="142"/>
      <c r="N577" s="142"/>
    </row>
    <row r="578" spans="10:14" x14ac:dyDescent="0.2">
      <c r="J578" s="142"/>
      <c r="N578" s="142"/>
    </row>
    <row r="579" spans="10:14" x14ac:dyDescent="0.2">
      <c r="J579" s="142"/>
      <c r="N579" s="142"/>
    </row>
    <row r="580" spans="10:14" x14ac:dyDescent="0.2">
      <c r="J580" s="142"/>
      <c r="N580" s="142"/>
    </row>
    <row r="581" spans="10:14" x14ac:dyDescent="0.2">
      <c r="J581" s="142"/>
      <c r="N581" s="142"/>
    </row>
    <row r="582" spans="10:14" x14ac:dyDescent="0.2">
      <c r="J582" s="142"/>
      <c r="N582" s="142"/>
    </row>
    <row r="583" spans="10:14" x14ac:dyDescent="0.2">
      <c r="J583" s="142"/>
      <c r="N583" s="142"/>
    </row>
    <row r="584" spans="10:14" x14ac:dyDescent="0.2">
      <c r="J584" s="142"/>
      <c r="N584" s="142"/>
    </row>
    <row r="585" spans="10:14" x14ac:dyDescent="0.2">
      <c r="J585" s="142"/>
      <c r="N585" s="142"/>
    </row>
    <row r="586" spans="10:14" x14ac:dyDescent="0.2">
      <c r="J586" s="142"/>
      <c r="N586" s="142"/>
    </row>
    <row r="587" spans="10:14" x14ac:dyDescent="0.2">
      <c r="J587" s="142"/>
      <c r="N587" s="142"/>
    </row>
    <row r="588" spans="10:14" x14ac:dyDescent="0.2">
      <c r="J588" s="142"/>
      <c r="N588" s="142"/>
    </row>
    <row r="589" spans="10:14" x14ac:dyDescent="0.2">
      <c r="J589" s="142"/>
      <c r="N589" s="142"/>
    </row>
    <row r="590" spans="10:14" x14ac:dyDescent="0.2">
      <c r="J590" s="142"/>
      <c r="N590" s="142"/>
    </row>
    <row r="591" spans="10:14" x14ac:dyDescent="0.2">
      <c r="J591" s="142"/>
      <c r="N591" s="142"/>
    </row>
    <row r="592" spans="10:14" x14ac:dyDescent="0.2">
      <c r="J592" s="142"/>
      <c r="N592" s="142"/>
    </row>
    <row r="593" spans="10:14" x14ac:dyDescent="0.2">
      <c r="J593" s="142"/>
      <c r="N593" s="142"/>
    </row>
    <row r="594" spans="10:14" x14ac:dyDescent="0.2">
      <c r="J594" s="142"/>
      <c r="N594" s="142"/>
    </row>
    <row r="595" spans="10:14" x14ac:dyDescent="0.2">
      <c r="J595" s="142"/>
      <c r="N595" s="142"/>
    </row>
    <row r="596" spans="10:14" x14ac:dyDescent="0.2">
      <c r="J596" s="142"/>
      <c r="N596" s="142"/>
    </row>
    <row r="597" spans="10:14" x14ac:dyDescent="0.2">
      <c r="J597" s="142"/>
      <c r="N597" s="142"/>
    </row>
    <row r="598" spans="10:14" x14ac:dyDescent="0.2">
      <c r="J598" s="142"/>
      <c r="N598" s="142"/>
    </row>
    <row r="599" spans="10:14" x14ac:dyDescent="0.2">
      <c r="J599" s="142"/>
      <c r="N599" s="142"/>
    </row>
    <row r="600" spans="10:14" x14ac:dyDescent="0.2">
      <c r="J600" s="142"/>
      <c r="N600" s="142"/>
    </row>
    <row r="601" spans="10:14" x14ac:dyDescent="0.2">
      <c r="J601" s="142"/>
      <c r="N601" s="142"/>
    </row>
    <row r="602" spans="10:14" x14ac:dyDescent="0.2">
      <c r="J602" s="142"/>
      <c r="N602" s="142"/>
    </row>
    <row r="603" spans="10:14" x14ac:dyDescent="0.2">
      <c r="J603" s="142"/>
      <c r="N603" s="142"/>
    </row>
    <row r="604" spans="10:14" x14ac:dyDescent="0.2">
      <c r="J604" s="142"/>
      <c r="N604" s="142"/>
    </row>
    <row r="605" spans="10:14" x14ac:dyDescent="0.2">
      <c r="J605" s="142"/>
      <c r="N605" s="142"/>
    </row>
    <row r="606" spans="10:14" x14ac:dyDescent="0.2">
      <c r="J606" s="142"/>
      <c r="N606" s="142"/>
    </row>
    <row r="607" spans="10:14" x14ac:dyDescent="0.2">
      <c r="J607" s="142"/>
      <c r="N607" s="142"/>
    </row>
    <row r="608" spans="10:14" x14ac:dyDescent="0.2">
      <c r="J608" s="142"/>
      <c r="N608" s="142"/>
    </row>
    <row r="609" spans="10:14" x14ac:dyDescent="0.2">
      <c r="J609" s="142"/>
      <c r="N609" s="142"/>
    </row>
    <row r="610" spans="10:14" x14ac:dyDescent="0.2">
      <c r="J610" s="142"/>
      <c r="N610" s="142"/>
    </row>
    <row r="611" spans="10:14" x14ac:dyDescent="0.2">
      <c r="J611" s="142"/>
      <c r="N611" s="142"/>
    </row>
    <row r="612" spans="10:14" x14ac:dyDescent="0.2">
      <c r="J612" s="142"/>
      <c r="N612" s="142"/>
    </row>
    <row r="613" spans="10:14" x14ac:dyDescent="0.2">
      <c r="J613" s="142"/>
      <c r="N613" s="142"/>
    </row>
    <row r="614" spans="10:14" x14ac:dyDescent="0.2">
      <c r="J614" s="142"/>
      <c r="N614" s="142"/>
    </row>
    <row r="615" spans="10:14" x14ac:dyDescent="0.2">
      <c r="J615" s="142"/>
      <c r="N615" s="142"/>
    </row>
    <row r="616" spans="10:14" x14ac:dyDescent="0.2">
      <c r="J616" s="142"/>
      <c r="N616" s="142"/>
    </row>
    <row r="617" spans="10:14" x14ac:dyDescent="0.2">
      <c r="J617" s="142"/>
      <c r="N617" s="142"/>
    </row>
    <row r="618" spans="10:14" x14ac:dyDescent="0.2">
      <c r="J618" s="142"/>
      <c r="N618" s="142"/>
    </row>
    <row r="619" spans="10:14" x14ac:dyDescent="0.2">
      <c r="J619" s="142"/>
      <c r="N619" s="142"/>
    </row>
    <row r="620" spans="10:14" x14ac:dyDescent="0.2">
      <c r="J620" s="142"/>
      <c r="N620" s="142"/>
    </row>
    <row r="621" spans="10:14" x14ac:dyDescent="0.2">
      <c r="J621" s="142"/>
      <c r="N621" s="142"/>
    </row>
    <row r="622" spans="10:14" x14ac:dyDescent="0.2">
      <c r="J622" s="142"/>
      <c r="N622" s="142"/>
    </row>
    <row r="623" spans="10:14" x14ac:dyDescent="0.2">
      <c r="J623" s="142"/>
      <c r="N623" s="142"/>
    </row>
    <row r="624" spans="10:14" x14ac:dyDescent="0.2">
      <c r="J624" s="142"/>
      <c r="N624" s="142"/>
    </row>
    <row r="625" spans="10:14" x14ac:dyDescent="0.2">
      <c r="J625" s="142"/>
      <c r="N625" s="142"/>
    </row>
    <row r="626" spans="10:14" x14ac:dyDescent="0.2">
      <c r="J626" s="142"/>
      <c r="N626" s="142"/>
    </row>
    <row r="627" spans="10:14" x14ac:dyDescent="0.2">
      <c r="J627" s="142"/>
      <c r="N627" s="142"/>
    </row>
    <row r="628" spans="10:14" x14ac:dyDescent="0.2">
      <c r="J628" s="142"/>
      <c r="N628" s="142"/>
    </row>
    <row r="629" spans="10:14" x14ac:dyDescent="0.2">
      <c r="J629" s="142"/>
      <c r="N629" s="142"/>
    </row>
    <row r="630" spans="10:14" x14ac:dyDescent="0.2">
      <c r="J630" s="142"/>
      <c r="N630" s="142"/>
    </row>
    <row r="631" spans="10:14" x14ac:dyDescent="0.2">
      <c r="J631" s="142"/>
      <c r="N631" s="142"/>
    </row>
    <row r="632" spans="10:14" x14ac:dyDescent="0.2">
      <c r="J632" s="142"/>
      <c r="N632" s="142"/>
    </row>
    <row r="633" spans="10:14" x14ac:dyDescent="0.2">
      <c r="J633" s="142"/>
      <c r="N633" s="142"/>
    </row>
    <row r="634" spans="10:14" x14ac:dyDescent="0.2">
      <c r="J634" s="142"/>
      <c r="N634" s="142"/>
    </row>
    <row r="635" spans="10:14" x14ac:dyDescent="0.2">
      <c r="J635" s="142"/>
      <c r="N635" s="142"/>
    </row>
    <row r="636" spans="10:14" x14ac:dyDescent="0.2">
      <c r="J636" s="142"/>
      <c r="N636" s="142"/>
    </row>
    <row r="637" spans="10:14" x14ac:dyDescent="0.2">
      <c r="J637" s="142"/>
      <c r="N637" s="142"/>
    </row>
    <row r="638" spans="10:14" x14ac:dyDescent="0.2">
      <c r="J638" s="142"/>
      <c r="N638" s="142"/>
    </row>
    <row r="639" spans="10:14" x14ac:dyDescent="0.2">
      <c r="J639" s="142"/>
      <c r="N639" s="142"/>
    </row>
    <row r="640" spans="10:14" x14ac:dyDescent="0.2">
      <c r="J640" s="142"/>
      <c r="N640" s="142"/>
    </row>
    <row r="641" spans="10:14" x14ac:dyDescent="0.2">
      <c r="J641" s="142"/>
      <c r="N641" s="142"/>
    </row>
    <row r="642" spans="10:14" x14ac:dyDescent="0.2">
      <c r="J642" s="142"/>
      <c r="N642" s="142"/>
    </row>
    <row r="643" spans="10:14" x14ac:dyDescent="0.2">
      <c r="J643" s="142"/>
      <c r="N643" s="142"/>
    </row>
    <row r="644" spans="10:14" x14ac:dyDescent="0.2">
      <c r="J644" s="142"/>
      <c r="N644" s="142"/>
    </row>
    <row r="645" spans="10:14" x14ac:dyDescent="0.2">
      <c r="J645" s="142"/>
      <c r="N645" s="142"/>
    </row>
    <row r="646" spans="10:14" x14ac:dyDescent="0.2">
      <c r="J646" s="142"/>
      <c r="N646" s="142"/>
    </row>
    <row r="647" spans="10:14" x14ac:dyDescent="0.2">
      <c r="J647" s="142"/>
      <c r="N647" s="142"/>
    </row>
    <row r="648" spans="10:14" x14ac:dyDescent="0.2">
      <c r="J648" s="142"/>
      <c r="N648" s="142"/>
    </row>
    <row r="649" spans="10:14" x14ac:dyDescent="0.2">
      <c r="J649" s="142"/>
      <c r="N649" s="142"/>
    </row>
    <row r="650" spans="10:14" x14ac:dyDescent="0.2">
      <c r="J650" s="142"/>
      <c r="N650" s="142"/>
    </row>
    <row r="651" spans="10:14" x14ac:dyDescent="0.2">
      <c r="J651" s="142"/>
      <c r="N651" s="142"/>
    </row>
    <row r="652" spans="10:14" x14ac:dyDescent="0.2">
      <c r="J652" s="142"/>
      <c r="N652" s="142"/>
    </row>
    <row r="653" spans="10:14" x14ac:dyDescent="0.2">
      <c r="J653" s="142"/>
      <c r="N653" s="142"/>
    </row>
    <row r="654" spans="10:14" x14ac:dyDescent="0.2">
      <c r="J654" s="142"/>
      <c r="N654" s="142"/>
    </row>
    <row r="655" spans="10:14" x14ac:dyDescent="0.2">
      <c r="J655" s="142"/>
      <c r="N655" s="142"/>
    </row>
    <row r="656" spans="10:14" x14ac:dyDescent="0.2">
      <c r="J656" s="142"/>
      <c r="N656" s="142"/>
    </row>
    <row r="657" spans="10:14" x14ac:dyDescent="0.2">
      <c r="J657" s="142"/>
      <c r="N657" s="142"/>
    </row>
    <row r="658" spans="10:14" x14ac:dyDescent="0.2">
      <c r="J658" s="142"/>
      <c r="N658" s="142"/>
    </row>
    <row r="659" spans="10:14" x14ac:dyDescent="0.2">
      <c r="J659" s="142"/>
      <c r="N659" s="142"/>
    </row>
    <row r="660" spans="10:14" x14ac:dyDescent="0.2">
      <c r="J660" s="142"/>
      <c r="N660" s="142"/>
    </row>
    <row r="661" spans="10:14" x14ac:dyDescent="0.2">
      <c r="J661" s="142"/>
      <c r="N661" s="142"/>
    </row>
    <row r="662" spans="10:14" x14ac:dyDescent="0.2">
      <c r="J662" s="142"/>
      <c r="N662" s="142"/>
    </row>
    <row r="663" spans="10:14" x14ac:dyDescent="0.2">
      <c r="J663" s="142"/>
      <c r="N663" s="142"/>
    </row>
    <row r="664" spans="10:14" x14ac:dyDescent="0.2">
      <c r="J664" s="142"/>
      <c r="N664" s="142"/>
    </row>
    <row r="665" spans="10:14" x14ac:dyDescent="0.2">
      <c r="J665" s="142"/>
      <c r="N665" s="142"/>
    </row>
    <row r="666" spans="10:14" x14ac:dyDescent="0.2">
      <c r="J666" s="142"/>
      <c r="N666" s="142"/>
    </row>
    <row r="667" spans="10:14" x14ac:dyDescent="0.2">
      <c r="J667" s="142"/>
      <c r="N667" s="142"/>
    </row>
    <row r="668" spans="10:14" x14ac:dyDescent="0.2">
      <c r="J668" s="142"/>
      <c r="N668" s="142"/>
    </row>
    <row r="669" spans="10:14" x14ac:dyDescent="0.2">
      <c r="J669" s="142"/>
      <c r="N669" s="142"/>
    </row>
    <row r="670" spans="10:14" x14ac:dyDescent="0.2">
      <c r="J670" s="142"/>
      <c r="N670" s="142"/>
    </row>
    <row r="671" spans="10:14" x14ac:dyDescent="0.2">
      <c r="J671" s="142"/>
      <c r="N671" s="142"/>
    </row>
    <row r="672" spans="10:14" x14ac:dyDescent="0.2">
      <c r="J672" s="142"/>
      <c r="N672" s="142"/>
    </row>
    <row r="673" spans="10:14" x14ac:dyDescent="0.2">
      <c r="J673" s="142"/>
      <c r="N673" s="142"/>
    </row>
    <row r="674" spans="10:14" x14ac:dyDescent="0.2">
      <c r="J674" s="142"/>
      <c r="N674" s="142"/>
    </row>
    <row r="675" spans="10:14" x14ac:dyDescent="0.2">
      <c r="J675" s="142"/>
      <c r="N675" s="142"/>
    </row>
    <row r="676" spans="10:14" x14ac:dyDescent="0.2">
      <c r="J676" s="142"/>
      <c r="N676" s="142"/>
    </row>
    <row r="677" spans="10:14" x14ac:dyDescent="0.2">
      <c r="J677" s="142"/>
      <c r="N677" s="142"/>
    </row>
    <row r="678" spans="10:14" x14ac:dyDescent="0.2">
      <c r="J678" s="142"/>
      <c r="N678" s="142"/>
    </row>
    <row r="679" spans="10:14" x14ac:dyDescent="0.2">
      <c r="J679" s="142"/>
      <c r="N679" s="142"/>
    </row>
    <row r="680" spans="10:14" x14ac:dyDescent="0.2">
      <c r="J680" s="142"/>
      <c r="N680" s="142"/>
    </row>
    <row r="681" spans="10:14" x14ac:dyDescent="0.2">
      <c r="J681" s="142"/>
      <c r="N681" s="142"/>
    </row>
    <row r="682" spans="10:14" x14ac:dyDescent="0.2">
      <c r="J682" s="142"/>
      <c r="N682" s="142"/>
    </row>
    <row r="683" spans="10:14" x14ac:dyDescent="0.2">
      <c r="J683" s="142"/>
      <c r="N683" s="142"/>
    </row>
    <row r="684" spans="10:14" x14ac:dyDescent="0.2">
      <c r="J684" s="142"/>
      <c r="N684" s="142"/>
    </row>
    <row r="685" spans="10:14" x14ac:dyDescent="0.2">
      <c r="J685" s="142"/>
      <c r="N685" s="142"/>
    </row>
    <row r="686" spans="10:14" x14ac:dyDescent="0.2">
      <c r="J686" s="142"/>
      <c r="N686" s="142"/>
    </row>
    <row r="687" spans="10:14" x14ac:dyDescent="0.2">
      <c r="J687" s="142"/>
      <c r="N687" s="142"/>
    </row>
    <row r="688" spans="10:14" x14ac:dyDescent="0.2">
      <c r="J688" s="142"/>
      <c r="N688" s="142"/>
    </row>
    <row r="689" spans="10:14" x14ac:dyDescent="0.2">
      <c r="J689" s="142"/>
      <c r="N689" s="142"/>
    </row>
    <row r="690" spans="10:14" x14ac:dyDescent="0.2">
      <c r="J690" s="142"/>
      <c r="N690" s="142"/>
    </row>
    <row r="691" spans="10:14" x14ac:dyDescent="0.2">
      <c r="J691" s="142"/>
      <c r="N691" s="142"/>
    </row>
    <row r="692" spans="10:14" x14ac:dyDescent="0.2">
      <c r="J692" s="142"/>
      <c r="N692" s="142"/>
    </row>
    <row r="693" spans="10:14" x14ac:dyDescent="0.2">
      <c r="J693" s="142"/>
      <c r="N693" s="142"/>
    </row>
    <row r="694" spans="10:14" x14ac:dyDescent="0.2">
      <c r="J694" s="142"/>
      <c r="N694" s="142"/>
    </row>
    <row r="695" spans="10:14" x14ac:dyDescent="0.2">
      <c r="J695" s="142"/>
      <c r="N695" s="142"/>
    </row>
    <row r="696" spans="10:14" x14ac:dyDescent="0.2">
      <c r="J696" s="142"/>
      <c r="N696" s="142"/>
    </row>
    <row r="697" spans="10:14" x14ac:dyDescent="0.2">
      <c r="J697" s="142"/>
      <c r="N697" s="142"/>
    </row>
    <row r="698" spans="10:14" x14ac:dyDescent="0.2">
      <c r="J698" s="142"/>
      <c r="N698" s="142"/>
    </row>
    <row r="699" spans="10:14" x14ac:dyDescent="0.2">
      <c r="J699" s="142"/>
      <c r="N699" s="142"/>
    </row>
    <row r="700" spans="10:14" x14ac:dyDescent="0.2">
      <c r="J700" s="142"/>
      <c r="N700" s="142"/>
    </row>
    <row r="701" spans="10:14" x14ac:dyDescent="0.2">
      <c r="J701" s="142"/>
      <c r="N701" s="142"/>
    </row>
    <row r="702" spans="10:14" x14ac:dyDescent="0.2">
      <c r="J702" s="142"/>
      <c r="N702" s="142"/>
    </row>
    <row r="703" spans="10:14" x14ac:dyDescent="0.2">
      <c r="J703" s="142"/>
      <c r="N703" s="142"/>
    </row>
    <row r="704" spans="10:14" x14ac:dyDescent="0.2">
      <c r="J704" s="142"/>
      <c r="N704" s="142"/>
    </row>
    <row r="705" spans="10:14" x14ac:dyDescent="0.2">
      <c r="J705" s="142"/>
      <c r="N705" s="142"/>
    </row>
    <row r="706" spans="10:14" x14ac:dyDescent="0.2">
      <c r="J706" s="142"/>
      <c r="N706" s="142"/>
    </row>
    <row r="707" spans="10:14" x14ac:dyDescent="0.2">
      <c r="J707" s="142"/>
      <c r="N707" s="142"/>
    </row>
    <row r="708" spans="10:14" x14ac:dyDescent="0.2">
      <c r="J708" s="142"/>
      <c r="N708" s="142"/>
    </row>
    <row r="709" spans="10:14" x14ac:dyDescent="0.2">
      <c r="J709" s="142"/>
      <c r="N709" s="142"/>
    </row>
    <row r="710" spans="10:14" x14ac:dyDescent="0.2">
      <c r="J710" s="142"/>
      <c r="N710" s="142"/>
    </row>
    <row r="711" spans="10:14" x14ac:dyDescent="0.2">
      <c r="J711" s="142"/>
      <c r="N711" s="142"/>
    </row>
    <row r="712" spans="10:14" x14ac:dyDescent="0.2">
      <c r="J712" s="142"/>
      <c r="N712" s="142"/>
    </row>
    <row r="713" spans="10:14" x14ac:dyDescent="0.2">
      <c r="J713" s="142"/>
      <c r="N713" s="142"/>
    </row>
    <row r="714" spans="10:14" x14ac:dyDescent="0.2">
      <c r="J714" s="142"/>
      <c r="N714" s="142"/>
    </row>
    <row r="715" spans="10:14" x14ac:dyDescent="0.2">
      <c r="J715" s="142"/>
      <c r="N715" s="142"/>
    </row>
    <row r="716" spans="10:14" x14ac:dyDescent="0.2">
      <c r="J716" s="142"/>
      <c r="N716" s="142"/>
    </row>
    <row r="717" spans="10:14" x14ac:dyDescent="0.2">
      <c r="J717" s="142"/>
      <c r="N717" s="142"/>
    </row>
    <row r="718" spans="10:14" x14ac:dyDescent="0.2">
      <c r="J718" s="142"/>
      <c r="N718" s="142"/>
    </row>
    <row r="719" spans="10:14" x14ac:dyDescent="0.2">
      <c r="J719" s="142"/>
      <c r="N719" s="142"/>
    </row>
    <row r="720" spans="10:14" x14ac:dyDescent="0.2">
      <c r="J720" s="142"/>
      <c r="N720" s="142"/>
    </row>
    <row r="721" spans="10:14" x14ac:dyDescent="0.2">
      <c r="J721" s="142"/>
      <c r="N721" s="142"/>
    </row>
    <row r="722" spans="10:14" x14ac:dyDescent="0.2">
      <c r="J722" s="142"/>
      <c r="N722" s="142"/>
    </row>
    <row r="723" spans="10:14" x14ac:dyDescent="0.2">
      <c r="J723" s="142"/>
      <c r="N723" s="142"/>
    </row>
    <row r="724" spans="10:14" x14ac:dyDescent="0.2">
      <c r="J724" s="142"/>
      <c r="N724" s="142"/>
    </row>
    <row r="725" spans="10:14" x14ac:dyDescent="0.2">
      <c r="J725" s="142"/>
      <c r="N725" s="142"/>
    </row>
    <row r="726" spans="10:14" x14ac:dyDescent="0.2">
      <c r="J726" s="142"/>
      <c r="N726" s="142"/>
    </row>
    <row r="727" spans="10:14" x14ac:dyDescent="0.2">
      <c r="J727" s="142"/>
      <c r="N727" s="142"/>
    </row>
    <row r="728" spans="10:14" x14ac:dyDescent="0.2">
      <c r="J728" s="142"/>
      <c r="N728" s="142"/>
    </row>
    <row r="729" spans="10:14" x14ac:dyDescent="0.2">
      <c r="J729" s="142"/>
      <c r="N729" s="142"/>
    </row>
    <row r="730" spans="10:14" x14ac:dyDescent="0.2">
      <c r="J730" s="142"/>
      <c r="N730" s="142"/>
    </row>
    <row r="731" spans="10:14" x14ac:dyDescent="0.2">
      <c r="J731" s="142"/>
      <c r="N731" s="142"/>
    </row>
    <row r="732" spans="10:14" x14ac:dyDescent="0.2">
      <c r="J732" s="142"/>
      <c r="N732" s="142"/>
    </row>
    <row r="733" spans="10:14" x14ac:dyDescent="0.2">
      <c r="J733" s="142"/>
      <c r="N733" s="142"/>
    </row>
    <row r="734" spans="10:14" x14ac:dyDescent="0.2">
      <c r="J734" s="142"/>
      <c r="N734" s="142"/>
    </row>
    <row r="735" spans="10:14" x14ac:dyDescent="0.2">
      <c r="J735" s="142"/>
      <c r="N735" s="142"/>
    </row>
    <row r="736" spans="10:14" x14ac:dyDescent="0.2">
      <c r="J736" s="142"/>
      <c r="N736" s="142"/>
    </row>
    <row r="737" spans="10:14" x14ac:dyDescent="0.2">
      <c r="J737" s="142"/>
      <c r="N737" s="142"/>
    </row>
    <row r="738" spans="10:14" x14ac:dyDescent="0.2">
      <c r="J738" s="142"/>
      <c r="N738" s="142"/>
    </row>
    <row r="739" spans="10:14" x14ac:dyDescent="0.2">
      <c r="J739" s="142"/>
      <c r="N739" s="142"/>
    </row>
    <row r="740" spans="10:14" x14ac:dyDescent="0.2">
      <c r="J740" s="142"/>
      <c r="N740" s="142"/>
    </row>
    <row r="741" spans="10:14" x14ac:dyDescent="0.2">
      <c r="J741" s="142"/>
      <c r="N741" s="142"/>
    </row>
    <row r="742" spans="10:14" x14ac:dyDescent="0.2">
      <c r="J742" s="142"/>
      <c r="N742" s="142"/>
    </row>
    <row r="743" spans="10:14" x14ac:dyDescent="0.2">
      <c r="J743" s="142"/>
      <c r="N743" s="142"/>
    </row>
    <row r="744" spans="10:14" x14ac:dyDescent="0.2">
      <c r="J744" s="142"/>
      <c r="N744" s="142"/>
    </row>
    <row r="745" spans="10:14" x14ac:dyDescent="0.2">
      <c r="J745" s="142"/>
      <c r="N745" s="142"/>
    </row>
    <row r="746" spans="10:14" x14ac:dyDescent="0.2">
      <c r="J746" s="142"/>
      <c r="N746" s="142"/>
    </row>
    <row r="747" spans="10:14" x14ac:dyDescent="0.2">
      <c r="J747" s="142"/>
      <c r="N747" s="142"/>
    </row>
    <row r="748" spans="10:14" x14ac:dyDescent="0.2">
      <c r="J748" s="142"/>
      <c r="N748" s="142"/>
    </row>
    <row r="749" spans="10:14" x14ac:dyDescent="0.2">
      <c r="J749" s="142"/>
      <c r="N749" s="142"/>
    </row>
    <row r="750" spans="10:14" x14ac:dyDescent="0.2">
      <c r="J750" s="142"/>
      <c r="N750" s="142"/>
    </row>
    <row r="751" spans="10:14" x14ac:dyDescent="0.2">
      <c r="J751" s="142"/>
      <c r="N751" s="142"/>
    </row>
    <row r="752" spans="10:14" x14ac:dyDescent="0.2">
      <c r="J752" s="142"/>
      <c r="N752" s="142"/>
    </row>
    <row r="753" spans="10:14" x14ac:dyDescent="0.2">
      <c r="J753" s="142"/>
      <c r="N753" s="142"/>
    </row>
    <row r="754" spans="10:14" x14ac:dyDescent="0.2">
      <c r="J754" s="142"/>
      <c r="N754" s="142"/>
    </row>
    <row r="755" spans="10:14" x14ac:dyDescent="0.2">
      <c r="J755" s="142"/>
      <c r="N755" s="142"/>
    </row>
    <row r="756" spans="10:14" x14ac:dyDescent="0.2">
      <c r="J756" s="142"/>
      <c r="N756" s="142"/>
    </row>
    <row r="757" spans="10:14" x14ac:dyDescent="0.2">
      <c r="J757" s="142"/>
      <c r="N757" s="142"/>
    </row>
    <row r="758" spans="10:14" x14ac:dyDescent="0.2">
      <c r="J758" s="142"/>
      <c r="N758" s="142"/>
    </row>
    <row r="759" spans="10:14" x14ac:dyDescent="0.2">
      <c r="J759" s="142"/>
      <c r="N759" s="142"/>
    </row>
    <row r="760" spans="10:14" x14ac:dyDescent="0.2">
      <c r="J760" s="142"/>
      <c r="N760" s="142"/>
    </row>
    <row r="761" spans="10:14" x14ac:dyDescent="0.2">
      <c r="J761" s="142"/>
      <c r="N761" s="142"/>
    </row>
    <row r="762" spans="10:14" x14ac:dyDescent="0.2">
      <c r="J762" s="142"/>
      <c r="N762" s="142"/>
    </row>
    <row r="763" spans="10:14" x14ac:dyDescent="0.2">
      <c r="J763" s="142"/>
      <c r="N763" s="142"/>
    </row>
    <row r="764" spans="10:14" x14ac:dyDescent="0.2">
      <c r="J764" s="142"/>
      <c r="N764" s="142"/>
    </row>
    <row r="765" spans="10:14" x14ac:dyDescent="0.2">
      <c r="J765" s="142"/>
      <c r="N765" s="142"/>
    </row>
    <row r="766" spans="10:14" x14ac:dyDescent="0.2">
      <c r="J766" s="142"/>
      <c r="N766" s="142"/>
    </row>
    <row r="767" spans="10:14" x14ac:dyDescent="0.2">
      <c r="J767" s="142"/>
      <c r="N767" s="142"/>
    </row>
    <row r="768" spans="10:14" x14ac:dyDescent="0.2">
      <c r="J768" s="142"/>
      <c r="N768" s="142"/>
    </row>
    <row r="769" spans="10:14" x14ac:dyDescent="0.2">
      <c r="J769" s="142"/>
      <c r="N769" s="142"/>
    </row>
    <row r="770" spans="10:14" x14ac:dyDescent="0.2">
      <c r="J770" s="142"/>
      <c r="N770" s="142"/>
    </row>
    <row r="771" spans="10:14" x14ac:dyDescent="0.2">
      <c r="J771" s="142"/>
      <c r="N771" s="142"/>
    </row>
    <row r="772" spans="10:14" x14ac:dyDescent="0.2">
      <c r="J772" s="142"/>
      <c r="N772" s="142"/>
    </row>
    <row r="773" spans="10:14" x14ac:dyDescent="0.2">
      <c r="J773" s="142"/>
      <c r="N773" s="142"/>
    </row>
    <row r="774" spans="10:14" x14ac:dyDescent="0.2">
      <c r="J774" s="142"/>
      <c r="N774" s="142"/>
    </row>
    <row r="775" spans="10:14" x14ac:dyDescent="0.2">
      <c r="J775" s="142"/>
      <c r="N775" s="142"/>
    </row>
    <row r="776" spans="10:14" x14ac:dyDescent="0.2">
      <c r="J776" s="142"/>
      <c r="N776" s="142"/>
    </row>
    <row r="777" spans="10:14" x14ac:dyDescent="0.2">
      <c r="J777" s="142"/>
      <c r="N777" s="142"/>
    </row>
    <row r="778" spans="10:14" x14ac:dyDescent="0.2">
      <c r="J778" s="142"/>
      <c r="N778" s="142"/>
    </row>
    <row r="779" spans="10:14" x14ac:dyDescent="0.2">
      <c r="J779" s="142"/>
      <c r="N779" s="142"/>
    </row>
    <row r="780" spans="10:14" x14ac:dyDescent="0.2">
      <c r="J780" s="142"/>
      <c r="N780" s="142"/>
    </row>
    <row r="781" spans="10:14" x14ac:dyDescent="0.2">
      <c r="J781" s="142"/>
      <c r="N781" s="142"/>
    </row>
    <row r="782" spans="10:14" x14ac:dyDescent="0.2">
      <c r="J782" s="142"/>
      <c r="N782" s="142"/>
    </row>
    <row r="783" spans="10:14" x14ac:dyDescent="0.2">
      <c r="J783" s="142"/>
      <c r="N783" s="142"/>
    </row>
    <row r="784" spans="10:14" x14ac:dyDescent="0.2">
      <c r="J784" s="142"/>
      <c r="N784" s="142"/>
    </row>
    <row r="785" spans="10:14" x14ac:dyDescent="0.2">
      <c r="J785" s="142"/>
      <c r="N785" s="142"/>
    </row>
    <row r="786" spans="10:14" x14ac:dyDescent="0.2">
      <c r="J786" s="142"/>
      <c r="N786" s="142"/>
    </row>
    <row r="787" spans="10:14" x14ac:dyDescent="0.2">
      <c r="J787" s="142"/>
      <c r="N787" s="142"/>
    </row>
    <row r="788" spans="10:14" x14ac:dyDescent="0.2">
      <c r="J788" s="142"/>
      <c r="N788" s="142"/>
    </row>
    <row r="789" spans="10:14" x14ac:dyDescent="0.2">
      <c r="J789" s="142"/>
      <c r="N789" s="142"/>
    </row>
    <row r="790" spans="10:14" x14ac:dyDescent="0.2">
      <c r="J790" s="142"/>
      <c r="N790" s="142"/>
    </row>
    <row r="791" spans="10:14" x14ac:dyDescent="0.2">
      <c r="J791" s="142"/>
      <c r="N791" s="142"/>
    </row>
    <row r="792" spans="10:14" x14ac:dyDescent="0.2">
      <c r="J792" s="142"/>
      <c r="N792" s="142"/>
    </row>
    <row r="793" spans="10:14" x14ac:dyDescent="0.2">
      <c r="J793" s="142"/>
      <c r="N793" s="142"/>
    </row>
    <row r="794" spans="10:14" x14ac:dyDescent="0.2">
      <c r="J794" s="142"/>
      <c r="N794" s="142"/>
    </row>
    <row r="795" spans="10:14" x14ac:dyDescent="0.2">
      <c r="J795" s="142"/>
      <c r="N795" s="142"/>
    </row>
    <row r="796" spans="10:14" x14ac:dyDescent="0.2">
      <c r="J796" s="142"/>
      <c r="N796" s="142"/>
    </row>
    <row r="797" spans="10:14" x14ac:dyDescent="0.2">
      <c r="J797" s="142"/>
      <c r="N797" s="142"/>
    </row>
    <row r="798" spans="10:14" x14ac:dyDescent="0.2">
      <c r="J798" s="142"/>
      <c r="N798" s="142"/>
    </row>
    <row r="799" spans="10:14" x14ac:dyDescent="0.2">
      <c r="J799" s="142"/>
      <c r="N799" s="142"/>
    </row>
    <row r="800" spans="10:14" x14ac:dyDescent="0.2">
      <c r="J800" s="142"/>
      <c r="N800" s="142"/>
    </row>
    <row r="801" spans="10:14" x14ac:dyDescent="0.2">
      <c r="J801" s="142"/>
      <c r="N801" s="142"/>
    </row>
    <row r="802" spans="10:14" x14ac:dyDescent="0.2">
      <c r="J802" s="142"/>
      <c r="N802" s="142"/>
    </row>
    <row r="803" spans="10:14" x14ac:dyDescent="0.2">
      <c r="J803" s="142"/>
      <c r="N803" s="142"/>
    </row>
    <row r="804" spans="10:14" x14ac:dyDescent="0.2">
      <c r="J804" s="142"/>
      <c r="N804" s="142"/>
    </row>
    <row r="805" spans="10:14" x14ac:dyDescent="0.2">
      <c r="J805" s="142"/>
      <c r="N805" s="142"/>
    </row>
    <row r="806" spans="10:14" x14ac:dyDescent="0.2">
      <c r="J806" s="142"/>
      <c r="N806" s="142"/>
    </row>
    <row r="807" spans="10:14" x14ac:dyDescent="0.2">
      <c r="J807" s="142"/>
      <c r="N807" s="142"/>
    </row>
    <row r="808" spans="10:14" x14ac:dyDescent="0.2">
      <c r="J808" s="142"/>
      <c r="N808" s="142"/>
    </row>
    <row r="809" spans="10:14" x14ac:dyDescent="0.2">
      <c r="J809" s="142"/>
      <c r="N809" s="142"/>
    </row>
    <row r="810" spans="10:14" x14ac:dyDescent="0.2">
      <c r="J810" s="142"/>
      <c r="N810" s="142"/>
    </row>
    <row r="811" spans="10:14" x14ac:dyDescent="0.2">
      <c r="J811" s="142"/>
      <c r="N811" s="142"/>
    </row>
    <row r="812" spans="10:14" x14ac:dyDescent="0.2">
      <c r="J812" s="142"/>
      <c r="N812" s="142"/>
    </row>
    <row r="813" spans="10:14" x14ac:dyDescent="0.2">
      <c r="J813" s="142"/>
      <c r="N813" s="142"/>
    </row>
    <row r="814" spans="10:14" x14ac:dyDescent="0.2">
      <c r="J814" s="142"/>
      <c r="N814" s="142"/>
    </row>
    <row r="815" spans="10:14" x14ac:dyDescent="0.2">
      <c r="J815" s="142"/>
      <c r="N815" s="142"/>
    </row>
    <row r="816" spans="10:14" x14ac:dyDescent="0.2">
      <c r="J816" s="142"/>
      <c r="N816" s="142"/>
    </row>
    <row r="817" spans="10:14" x14ac:dyDescent="0.2">
      <c r="J817" s="142"/>
      <c r="N817" s="142"/>
    </row>
    <row r="818" spans="10:14" x14ac:dyDescent="0.2">
      <c r="J818" s="142"/>
      <c r="N818" s="142"/>
    </row>
    <row r="819" spans="10:14" x14ac:dyDescent="0.2">
      <c r="J819" s="142"/>
      <c r="N819" s="142"/>
    </row>
    <row r="820" spans="10:14" x14ac:dyDescent="0.2">
      <c r="J820" s="142"/>
      <c r="N820" s="142"/>
    </row>
    <row r="821" spans="10:14" x14ac:dyDescent="0.2">
      <c r="J821" s="142"/>
      <c r="N821" s="142"/>
    </row>
    <row r="822" spans="10:14" x14ac:dyDescent="0.2">
      <c r="J822" s="142"/>
      <c r="N822" s="142"/>
    </row>
    <row r="823" spans="10:14" x14ac:dyDescent="0.2">
      <c r="J823" s="142"/>
      <c r="N823" s="142"/>
    </row>
    <row r="824" spans="10:14" x14ac:dyDescent="0.2">
      <c r="J824" s="142"/>
      <c r="N824" s="142"/>
    </row>
    <row r="825" spans="10:14" x14ac:dyDescent="0.2">
      <c r="J825" s="142"/>
      <c r="N825" s="142"/>
    </row>
    <row r="826" spans="10:14" x14ac:dyDescent="0.2">
      <c r="J826" s="142"/>
      <c r="N826" s="142"/>
    </row>
    <row r="827" spans="10:14" x14ac:dyDescent="0.2">
      <c r="J827" s="142"/>
      <c r="N827" s="142"/>
    </row>
    <row r="828" spans="10:14" x14ac:dyDescent="0.2">
      <c r="J828" s="142"/>
      <c r="N828" s="142"/>
    </row>
    <row r="829" spans="10:14" x14ac:dyDescent="0.2">
      <c r="J829" s="142"/>
      <c r="N829" s="142"/>
    </row>
    <row r="830" spans="10:14" x14ac:dyDescent="0.2">
      <c r="J830" s="142"/>
      <c r="N830" s="142"/>
    </row>
    <row r="831" spans="10:14" x14ac:dyDescent="0.2">
      <c r="J831" s="142"/>
      <c r="N831" s="142"/>
    </row>
    <row r="832" spans="10:14" x14ac:dyDescent="0.2">
      <c r="J832" s="142"/>
      <c r="N832" s="142"/>
    </row>
    <row r="833" spans="10:14" x14ac:dyDescent="0.2">
      <c r="J833" s="142"/>
      <c r="N833" s="142"/>
    </row>
    <row r="834" spans="10:14" x14ac:dyDescent="0.2">
      <c r="J834" s="142"/>
      <c r="N834" s="142"/>
    </row>
    <row r="835" spans="10:14" x14ac:dyDescent="0.2">
      <c r="J835" s="142"/>
      <c r="N835" s="142"/>
    </row>
    <row r="836" spans="10:14" x14ac:dyDescent="0.2">
      <c r="J836" s="142"/>
      <c r="N836" s="142"/>
    </row>
    <row r="837" spans="10:14" x14ac:dyDescent="0.2">
      <c r="J837" s="142"/>
      <c r="N837" s="142"/>
    </row>
    <row r="838" spans="10:14" x14ac:dyDescent="0.2">
      <c r="J838" s="142"/>
      <c r="N838" s="142"/>
    </row>
    <row r="839" spans="10:14" x14ac:dyDescent="0.2">
      <c r="J839" s="142"/>
      <c r="N839" s="142"/>
    </row>
    <row r="840" spans="10:14" x14ac:dyDescent="0.2">
      <c r="J840" s="142"/>
      <c r="N840" s="142"/>
    </row>
    <row r="841" spans="10:14" x14ac:dyDescent="0.2">
      <c r="J841" s="142"/>
      <c r="N841" s="142"/>
    </row>
    <row r="842" spans="10:14" x14ac:dyDescent="0.2">
      <c r="J842" s="142"/>
      <c r="N842" s="142"/>
    </row>
    <row r="843" spans="10:14" x14ac:dyDescent="0.2">
      <c r="J843" s="142"/>
      <c r="N843" s="142"/>
    </row>
    <row r="844" spans="10:14" x14ac:dyDescent="0.2">
      <c r="J844" s="142"/>
      <c r="N844" s="142"/>
    </row>
    <row r="845" spans="10:14" x14ac:dyDescent="0.2">
      <c r="J845" s="142"/>
      <c r="N845" s="142"/>
    </row>
    <row r="846" spans="10:14" x14ac:dyDescent="0.2">
      <c r="J846" s="142"/>
      <c r="N846" s="142"/>
    </row>
    <row r="847" spans="10:14" x14ac:dyDescent="0.2">
      <c r="J847" s="142"/>
      <c r="N847" s="142"/>
    </row>
    <row r="848" spans="10:14" x14ac:dyDescent="0.2">
      <c r="J848" s="142"/>
      <c r="N848" s="142"/>
    </row>
    <row r="849" spans="10:14" x14ac:dyDescent="0.2">
      <c r="J849" s="142"/>
      <c r="N849" s="142"/>
    </row>
    <row r="850" spans="10:14" x14ac:dyDescent="0.2">
      <c r="J850" s="142"/>
      <c r="N850" s="142"/>
    </row>
    <row r="851" spans="10:14" x14ac:dyDescent="0.2">
      <c r="J851" s="142"/>
      <c r="N851" s="142"/>
    </row>
    <row r="852" spans="10:14" x14ac:dyDescent="0.2">
      <c r="J852" s="142"/>
      <c r="N852" s="142"/>
    </row>
    <row r="853" spans="10:14" x14ac:dyDescent="0.2">
      <c r="J853" s="142"/>
      <c r="N853" s="142"/>
    </row>
    <row r="854" spans="10:14" x14ac:dyDescent="0.2">
      <c r="J854" s="142"/>
      <c r="N854" s="142"/>
    </row>
    <row r="855" spans="10:14" x14ac:dyDescent="0.2">
      <c r="J855" s="142"/>
      <c r="N855" s="142"/>
    </row>
    <row r="856" spans="10:14" x14ac:dyDescent="0.2">
      <c r="J856" s="142"/>
      <c r="N856" s="142"/>
    </row>
    <row r="857" spans="10:14" x14ac:dyDescent="0.2">
      <c r="J857" s="142"/>
      <c r="N857" s="142"/>
    </row>
    <row r="858" spans="10:14" x14ac:dyDescent="0.2">
      <c r="J858" s="142"/>
      <c r="N858" s="142"/>
    </row>
    <row r="859" spans="10:14" x14ac:dyDescent="0.2">
      <c r="J859" s="142"/>
      <c r="N859" s="142"/>
    </row>
    <row r="860" spans="10:14" x14ac:dyDescent="0.2">
      <c r="J860" s="142"/>
      <c r="N860" s="142"/>
    </row>
    <row r="861" spans="10:14" x14ac:dyDescent="0.2">
      <c r="J861" s="142"/>
      <c r="N861" s="142"/>
    </row>
    <row r="862" spans="10:14" x14ac:dyDescent="0.2">
      <c r="J862" s="142"/>
      <c r="N862" s="142"/>
    </row>
    <row r="863" spans="10:14" x14ac:dyDescent="0.2">
      <c r="J863" s="142"/>
      <c r="N863" s="142"/>
    </row>
    <row r="864" spans="10:14" x14ac:dyDescent="0.2">
      <c r="J864" s="142"/>
      <c r="N864" s="142"/>
    </row>
    <row r="865" spans="10:14" x14ac:dyDescent="0.2">
      <c r="J865" s="142"/>
      <c r="N865" s="142"/>
    </row>
    <row r="866" spans="10:14" x14ac:dyDescent="0.2">
      <c r="J866" s="142"/>
      <c r="N866" s="142"/>
    </row>
    <row r="867" spans="10:14" x14ac:dyDescent="0.2">
      <c r="J867" s="142"/>
      <c r="N867" s="142"/>
    </row>
    <row r="868" spans="10:14" x14ac:dyDescent="0.2">
      <c r="J868" s="142"/>
      <c r="N868" s="142"/>
    </row>
    <row r="869" spans="10:14" x14ac:dyDescent="0.2">
      <c r="J869" s="142"/>
      <c r="N869" s="142"/>
    </row>
    <row r="870" spans="10:14" x14ac:dyDescent="0.2">
      <c r="J870" s="142"/>
      <c r="N870" s="142"/>
    </row>
    <row r="871" spans="10:14" x14ac:dyDescent="0.2">
      <c r="J871" s="142"/>
      <c r="N871" s="142"/>
    </row>
    <row r="872" spans="10:14" x14ac:dyDescent="0.2">
      <c r="J872" s="142"/>
      <c r="N872" s="142"/>
    </row>
    <row r="873" spans="10:14" x14ac:dyDescent="0.2">
      <c r="J873" s="142"/>
      <c r="N873" s="142"/>
    </row>
    <row r="874" spans="10:14" x14ac:dyDescent="0.2">
      <c r="J874" s="142"/>
      <c r="N874" s="142"/>
    </row>
    <row r="875" spans="10:14" x14ac:dyDescent="0.2">
      <c r="J875" s="142"/>
      <c r="N875" s="142"/>
    </row>
    <row r="876" spans="10:14" x14ac:dyDescent="0.2">
      <c r="J876" s="142"/>
      <c r="N876" s="142"/>
    </row>
    <row r="877" spans="10:14" x14ac:dyDescent="0.2">
      <c r="J877" s="142"/>
      <c r="N877" s="142"/>
    </row>
    <row r="878" spans="10:14" x14ac:dyDescent="0.2">
      <c r="J878" s="142"/>
      <c r="N878" s="142"/>
    </row>
    <row r="879" spans="10:14" x14ac:dyDescent="0.2">
      <c r="J879" s="142"/>
      <c r="N879" s="142"/>
    </row>
    <row r="880" spans="10:14" x14ac:dyDescent="0.2">
      <c r="J880" s="142"/>
      <c r="N880" s="142"/>
    </row>
    <row r="881" spans="10:14" x14ac:dyDescent="0.2">
      <c r="J881" s="142"/>
      <c r="N881" s="142"/>
    </row>
    <row r="882" spans="10:14" x14ac:dyDescent="0.2">
      <c r="J882" s="142"/>
      <c r="N882" s="142"/>
    </row>
    <row r="883" spans="10:14" x14ac:dyDescent="0.2">
      <c r="J883" s="142"/>
      <c r="N883" s="142"/>
    </row>
    <row r="884" spans="10:14" x14ac:dyDescent="0.2">
      <c r="J884" s="142"/>
      <c r="N884" s="142"/>
    </row>
    <row r="885" spans="10:14" x14ac:dyDescent="0.2">
      <c r="J885" s="142"/>
      <c r="N885" s="142"/>
    </row>
    <row r="886" spans="10:14" x14ac:dyDescent="0.2">
      <c r="J886" s="142"/>
      <c r="N886" s="142"/>
    </row>
    <row r="887" spans="10:14" x14ac:dyDescent="0.2">
      <c r="J887" s="142"/>
      <c r="N887" s="142"/>
    </row>
    <row r="888" spans="10:14" x14ac:dyDescent="0.2">
      <c r="J888" s="142"/>
      <c r="N888" s="142"/>
    </row>
    <row r="889" spans="10:14" x14ac:dyDescent="0.2">
      <c r="J889" s="142"/>
      <c r="N889" s="142"/>
    </row>
    <row r="890" spans="10:14" x14ac:dyDescent="0.2">
      <c r="J890" s="142"/>
      <c r="N890" s="142"/>
    </row>
    <row r="891" spans="10:14" x14ac:dyDescent="0.2">
      <c r="J891" s="142"/>
      <c r="N891" s="142"/>
    </row>
    <row r="892" spans="10:14" x14ac:dyDescent="0.2">
      <c r="J892" s="142"/>
      <c r="N892" s="142"/>
    </row>
    <row r="893" spans="10:14" x14ac:dyDescent="0.2">
      <c r="J893" s="142"/>
      <c r="N893" s="142"/>
    </row>
    <row r="894" spans="10:14" x14ac:dyDescent="0.2">
      <c r="J894" s="142"/>
      <c r="N894" s="142"/>
    </row>
    <row r="895" spans="10:14" x14ac:dyDescent="0.2">
      <c r="J895" s="142"/>
      <c r="N895" s="142"/>
    </row>
    <row r="896" spans="10:14" x14ac:dyDescent="0.2">
      <c r="J896" s="142"/>
      <c r="N896" s="142"/>
    </row>
    <row r="897" spans="10:14" x14ac:dyDescent="0.2">
      <c r="J897" s="142"/>
      <c r="N897" s="142"/>
    </row>
    <row r="898" spans="10:14" x14ac:dyDescent="0.2">
      <c r="J898" s="142"/>
      <c r="N898" s="142"/>
    </row>
    <row r="899" spans="10:14" x14ac:dyDescent="0.2">
      <c r="J899" s="142"/>
      <c r="N899" s="142"/>
    </row>
    <row r="900" spans="10:14" x14ac:dyDescent="0.2">
      <c r="J900" s="142"/>
      <c r="N900" s="142"/>
    </row>
    <row r="901" spans="10:14" x14ac:dyDescent="0.2">
      <c r="J901" s="142"/>
      <c r="N901" s="142"/>
    </row>
    <row r="902" spans="10:14" x14ac:dyDescent="0.2">
      <c r="J902" s="142"/>
      <c r="N902" s="142"/>
    </row>
    <row r="903" spans="10:14" x14ac:dyDescent="0.2">
      <c r="J903" s="142"/>
      <c r="N903" s="142"/>
    </row>
    <row r="904" spans="10:14" x14ac:dyDescent="0.2">
      <c r="J904" s="142"/>
      <c r="N904" s="142"/>
    </row>
    <row r="905" spans="10:14" x14ac:dyDescent="0.2">
      <c r="J905" s="142"/>
      <c r="N905" s="142"/>
    </row>
    <row r="906" spans="10:14" x14ac:dyDescent="0.2">
      <c r="J906" s="142"/>
      <c r="N906" s="142"/>
    </row>
    <row r="907" spans="10:14" x14ac:dyDescent="0.2">
      <c r="J907" s="142"/>
      <c r="N907" s="142"/>
    </row>
    <row r="908" spans="10:14" x14ac:dyDescent="0.2">
      <c r="J908" s="142"/>
      <c r="N908" s="142"/>
    </row>
    <row r="909" spans="10:14" x14ac:dyDescent="0.2">
      <c r="J909" s="142"/>
      <c r="N909" s="142"/>
    </row>
    <row r="910" spans="10:14" x14ac:dyDescent="0.2">
      <c r="J910" s="142"/>
      <c r="N910" s="142"/>
    </row>
    <row r="911" spans="10:14" x14ac:dyDescent="0.2">
      <c r="J911" s="142"/>
      <c r="N911" s="142"/>
    </row>
    <row r="912" spans="10:14" x14ac:dyDescent="0.2">
      <c r="J912" s="142"/>
      <c r="N912" s="142"/>
    </row>
    <row r="913" spans="10:14" x14ac:dyDescent="0.2">
      <c r="J913" s="142"/>
      <c r="N913" s="142"/>
    </row>
    <row r="914" spans="10:14" x14ac:dyDescent="0.2">
      <c r="J914" s="142"/>
      <c r="N914" s="142"/>
    </row>
    <row r="915" spans="10:14" x14ac:dyDescent="0.2">
      <c r="J915" s="142"/>
      <c r="N915" s="142"/>
    </row>
    <row r="916" spans="10:14" x14ac:dyDescent="0.2">
      <c r="J916" s="142"/>
      <c r="N916" s="142"/>
    </row>
    <row r="917" spans="10:14" x14ac:dyDescent="0.2">
      <c r="J917" s="142"/>
      <c r="N917" s="142"/>
    </row>
    <row r="918" spans="10:14" x14ac:dyDescent="0.2">
      <c r="J918" s="142"/>
      <c r="N918" s="142"/>
    </row>
    <row r="919" spans="10:14" x14ac:dyDescent="0.2">
      <c r="J919" s="142"/>
      <c r="N919" s="142"/>
    </row>
    <row r="920" spans="10:14" x14ac:dyDescent="0.2">
      <c r="J920" s="142"/>
      <c r="N920" s="142"/>
    </row>
    <row r="921" spans="10:14" x14ac:dyDescent="0.2">
      <c r="J921" s="142"/>
      <c r="N921" s="142"/>
    </row>
    <row r="922" spans="10:14" x14ac:dyDescent="0.2">
      <c r="J922" s="142"/>
      <c r="N922" s="142"/>
    </row>
    <row r="923" spans="10:14" x14ac:dyDescent="0.2">
      <c r="J923" s="142"/>
      <c r="N923" s="142"/>
    </row>
    <row r="924" spans="10:14" x14ac:dyDescent="0.2">
      <c r="J924" s="142"/>
      <c r="N924" s="142"/>
    </row>
    <row r="925" spans="10:14" x14ac:dyDescent="0.2">
      <c r="J925" s="142"/>
      <c r="N925" s="142"/>
    </row>
    <row r="926" spans="10:14" x14ac:dyDescent="0.2">
      <c r="J926" s="142"/>
      <c r="N926" s="142"/>
    </row>
    <row r="927" spans="10:14" x14ac:dyDescent="0.2">
      <c r="J927" s="142"/>
      <c r="N927" s="142"/>
    </row>
    <row r="928" spans="10:14" x14ac:dyDescent="0.2">
      <c r="J928" s="142"/>
      <c r="N928" s="142"/>
    </row>
    <row r="929" spans="10:14" x14ac:dyDescent="0.2">
      <c r="J929" s="142"/>
      <c r="N929" s="142"/>
    </row>
    <row r="930" spans="10:14" x14ac:dyDescent="0.2">
      <c r="J930" s="142"/>
      <c r="N930" s="142"/>
    </row>
    <row r="931" spans="10:14" x14ac:dyDescent="0.2">
      <c r="J931" s="142"/>
      <c r="N931" s="142"/>
    </row>
    <row r="932" spans="10:14" x14ac:dyDescent="0.2">
      <c r="J932" s="142"/>
      <c r="N932" s="142"/>
    </row>
    <row r="933" spans="10:14" x14ac:dyDescent="0.2">
      <c r="J933" s="142"/>
      <c r="N933" s="142"/>
    </row>
    <row r="934" spans="10:14" x14ac:dyDescent="0.2">
      <c r="J934" s="142"/>
      <c r="N934" s="142"/>
    </row>
    <row r="935" spans="10:14" x14ac:dyDescent="0.2">
      <c r="J935" s="142"/>
      <c r="N935" s="142"/>
    </row>
    <row r="936" spans="10:14" x14ac:dyDescent="0.2">
      <c r="J936" s="142"/>
      <c r="N936" s="142"/>
    </row>
    <row r="937" spans="10:14" x14ac:dyDescent="0.2">
      <c r="J937" s="142"/>
      <c r="N937" s="142"/>
    </row>
    <row r="938" spans="10:14" x14ac:dyDescent="0.2">
      <c r="J938" s="142"/>
      <c r="N938" s="142"/>
    </row>
    <row r="939" spans="10:14" x14ac:dyDescent="0.2">
      <c r="J939" s="142"/>
      <c r="N939" s="142"/>
    </row>
    <row r="940" spans="10:14" x14ac:dyDescent="0.2">
      <c r="J940" s="142"/>
      <c r="N940" s="142"/>
    </row>
    <row r="941" spans="10:14" x14ac:dyDescent="0.2">
      <c r="J941" s="142"/>
      <c r="N941" s="142"/>
    </row>
    <row r="942" spans="10:14" x14ac:dyDescent="0.2">
      <c r="J942" s="142"/>
      <c r="N942" s="142"/>
    </row>
    <row r="943" spans="10:14" x14ac:dyDescent="0.2">
      <c r="J943" s="142"/>
      <c r="N943" s="142"/>
    </row>
    <row r="944" spans="10:14" x14ac:dyDescent="0.2">
      <c r="J944" s="142"/>
      <c r="N944" s="142"/>
    </row>
    <row r="945" spans="10:14" x14ac:dyDescent="0.2">
      <c r="J945" s="142"/>
      <c r="N945" s="142"/>
    </row>
    <row r="946" spans="10:14" x14ac:dyDescent="0.2">
      <c r="J946" s="142"/>
      <c r="N946" s="142"/>
    </row>
    <row r="947" spans="10:14" x14ac:dyDescent="0.2">
      <c r="J947" s="142"/>
      <c r="N947" s="142"/>
    </row>
    <row r="948" spans="10:14" x14ac:dyDescent="0.2">
      <c r="J948" s="142"/>
      <c r="N948" s="142"/>
    </row>
    <row r="949" spans="10:14" x14ac:dyDescent="0.2">
      <c r="J949" s="142"/>
      <c r="N949" s="142"/>
    </row>
    <row r="950" spans="10:14" x14ac:dyDescent="0.2">
      <c r="J950" s="142"/>
      <c r="N950" s="142"/>
    </row>
    <row r="951" spans="10:14" x14ac:dyDescent="0.2">
      <c r="J951" s="142"/>
      <c r="N951" s="142"/>
    </row>
    <row r="952" spans="10:14" x14ac:dyDescent="0.2">
      <c r="J952" s="142"/>
      <c r="N952" s="142"/>
    </row>
    <row r="953" spans="10:14" x14ac:dyDescent="0.2">
      <c r="J953" s="142"/>
      <c r="N953" s="142"/>
    </row>
    <row r="954" spans="10:14" x14ac:dyDescent="0.2">
      <c r="J954" s="142"/>
      <c r="N954" s="142"/>
    </row>
    <row r="955" spans="10:14" x14ac:dyDescent="0.2">
      <c r="J955" s="142"/>
      <c r="N955" s="142"/>
    </row>
    <row r="956" spans="10:14" x14ac:dyDescent="0.2">
      <c r="J956" s="142"/>
      <c r="N956" s="142"/>
    </row>
    <row r="957" spans="10:14" x14ac:dyDescent="0.2">
      <c r="J957" s="142"/>
      <c r="N957" s="142"/>
    </row>
    <row r="958" spans="10:14" x14ac:dyDescent="0.2">
      <c r="J958" s="142"/>
      <c r="N958" s="142"/>
    </row>
    <row r="959" spans="10:14" x14ac:dyDescent="0.2">
      <c r="J959" s="142"/>
      <c r="N959" s="142"/>
    </row>
    <row r="960" spans="10:14" x14ac:dyDescent="0.2">
      <c r="J960" s="142"/>
      <c r="N960" s="142"/>
    </row>
    <row r="961" spans="10:14" x14ac:dyDescent="0.2">
      <c r="J961" s="142"/>
      <c r="N961" s="142"/>
    </row>
    <row r="962" spans="10:14" x14ac:dyDescent="0.2">
      <c r="J962" s="142"/>
      <c r="N962" s="142"/>
    </row>
    <row r="963" spans="10:14" x14ac:dyDescent="0.2">
      <c r="J963" s="142"/>
      <c r="N963" s="142"/>
    </row>
    <row r="964" spans="10:14" x14ac:dyDescent="0.2">
      <c r="J964" s="142"/>
      <c r="N964" s="142"/>
    </row>
    <row r="965" spans="10:14" x14ac:dyDescent="0.2">
      <c r="J965" s="142"/>
      <c r="N965" s="142"/>
    </row>
    <row r="966" spans="10:14" x14ac:dyDescent="0.2">
      <c r="J966" s="142"/>
      <c r="N966" s="142"/>
    </row>
    <row r="967" spans="10:14" x14ac:dyDescent="0.2">
      <c r="J967" s="142"/>
      <c r="N967" s="142"/>
    </row>
    <row r="968" spans="10:14" x14ac:dyDescent="0.2">
      <c r="J968" s="142"/>
      <c r="N968" s="142"/>
    </row>
    <row r="969" spans="10:14" x14ac:dyDescent="0.2">
      <c r="J969" s="142"/>
      <c r="N969" s="142"/>
    </row>
    <row r="970" spans="10:14" x14ac:dyDescent="0.2">
      <c r="J970" s="142"/>
      <c r="N970" s="142"/>
    </row>
    <row r="971" spans="10:14" x14ac:dyDescent="0.2">
      <c r="J971" s="142"/>
      <c r="N971" s="142"/>
    </row>
    <row r="972" spans="10:14" x14ac:dyDescent="0.2">
      <c r="J972" s="142"/>
      <c r="N972" s="142"/>
    </row>
    <row r="973" spans="10:14" x14ac:dyDescent="0.2">
      <c r="J973" s="142"/>
      <c r="N973" s="142"/>
    </row>
    <row r="974" spans="10:14" x14ac:dyDescent="0.2">
      <c r="J974" s="142"/>
      <c r="N974" s="142"/>
    </row>
    <row r="975" spans="10:14" x14ac:dyDescent="0.2">
      <c r="J975" s="142"/>
      <c r="N975" s="142"/>
    </row>
    <row r="976" spans="10:14" x14ac:dyDescent="0.2">
      <c r="J976" s="142"/>
      <c r="N976" s="142"/>
    </row>
    <row r="977" spans="10:14" x14ac:dyDescent="0.2">
      <c r="J977" s="142"/>
      <c r="N977" s="142"/>
    </row>
    <row r="978" spans="10:14" x14ac:dyDescent="0.2">
      <c r="J978" s="142"/>
      <c r="N978" s="142"/>
    </row>
    <row r="979" spans="10:14" x14ac:dyDescent="0.2">
      <c r="J979" s="142"/>
      <c r="N979" s="142"/>
    </row>
    <row r="980" spans="10:14" x14ac:dyDescent="0.2">
      <c r="J980" s="142"/>
      <c r="N980" s="142"/>
    </row>
    <row r="981" spans="10:14" x14ac:dyDescent="0.2">
      <c r="J981" s="142"/>
      <c r="N981" s="142"/>
    </row>
    <row r="982" spans="10:14" x14ac:dyDescent="0.2">
      <c r="J982" s="142"/>
      <c r="N982" s="142"/>
    </row>
    <row r="983" spans="10:14" x14ac:dyDescent="0.2">
      <c r="J983" s="142"/>
      <c r="N983" s="142"/>
    </row>
    <row r="984" spans="10:14" x14ac:dyDescent="0.2">
      <c r="J984" s="142"/>
      <c r="N984" s="142"/>
    </row>
    <row r="985" spans="10:14" x14ac:dyDescent="0.2">
      <c r="J985" s="142"/>
      <c r="N985" s="142"/>
    </row>
    <row r="986" spans="10:14" x14ac:dyDescent="0.2">
      <c r="J986" s="142"/>
      <c r="N986" s="142"/>
    </row>
    <row r="987" spans="10:14" x14ac:dyDescent="0.2">
      <c r="J987" s="142"/>
      <c r="N987" s="142"/>
    </row>
    <row r="988" spans="10:14" x14ac:dyDescent="0.2">
      <c r="J988" s="142"/>
      <c r="N988" s="142"/>
    </row>
    <row r="989" spans="10:14" x14ac:dyDescent="0.2">
      <c r="J989" s="142"/>
      <c r="N989" s="142"/>
    </row>
    <row r="990" spans="10:14" x14ac:dyDescent="0.2">
      <c r="J990" s="142"/>
      <c r="N990" s="142"/>
    </row>
    <row r="991" spans="10:14" x14ac:dyDescent="0.2">
      <c r="J991" s="142"/>
      <c r="N991" s="142"/>
    </row>
    <row r="992" spans="10:14" x14ac:dyDescent="0.2">
      <c r="J992" s="142"/>
      <c r="N992" s="142"/>
    </row>
    <row r="993" spans="10:14" x14ac:dyDescent="0.2">
      <c r="J993" s="142"/>
      <c r="N993" s="142"/>
    </row>
    <row r="994" spans="10:14" x14ac:dyDescent="0.2">
      <c r="J994" s="142"/>
      <c r="N994" s="142"/>
    </row>
    <row r="995" spans="10:14" x14ac:dyDescent="0.2">
      <c r="J995" s="142"/>
      <c r="N995" s="142"/>
    </row>
    <row r="996" spans="10:14" x14ac:dyDescent="0.2">
      <c r="J996" s="142"/>
      <c r="N996" s="142"/>
    </row>
    <row r="997" spans="10:14" x14ac:dyDescent="0.2">
      <c r="J997" s="142"/>
      <c r="N997" s="142"/>
    </row>
    <row r="998" spans="10:14" x14ac:dyDescent="0.2">
      <c r="J998" s="142"/>
      <c r="N998" s="142"/>
    </row>
    <row r="999" spans="10:14" x14ac:dyDescent="0.2">
      <c r="J999" s="142"/>
      <c r="N999" s="142"/>
    </row>
    <row r="1000" spans="10:14" x14ac:dyDescent="0.2">
      <c r="J1000" s="142"/>
      <c r="N1000" s="142"/>
    </row>
    <row r="1001" spans="10:14" x14ac:dyDescent="0.2">
      <c r="J1001" s="142"/>
      <c r="N1001" s="142"/>
    </row>
    <row r="1002" spans="10:14" x14ac:dyDescent="0.2">
      <c r="J1002" s="142"/>
      <c r="N1002" s="142"/>
    </row>
    <row r="1003" spans="10:14" x14ac:dyDescent="0.2">
      <c r="J1003" s="142"/>
      <c r="N1003" s="142"/>
    </row>
    <row r="1004" spans="10:14" x14ac:dyDescent="0.2">
      <c r="J1004" s="142"/>
      <c r="N1004" s="142"/>
    </row>
    <row r="1005" spans="10:14" x14ac:dyDescent="0.2">
      <c r="J1005" s="142"/>
      <c r="N1005" s="142"/>
    </row>
    <row r="1006" spans="10:14" x14ac:dyDescent="0.2">
      <c r="J1006" s="142"/>
      <c r="N1006" s="142"/>
    </row>
    <row r="1007" spans="10:14" x14ac:dyDescent="0.2">
      <c r="J1007" s="142"/>
      <c r="N1007" s="142"/>
    </row>
    <row r="1008" spans="10:14" x14ac:dyDescent="0.2">
      <c r="J1008" s="142"/>
      <c r="N1008" s="142"/>
    </row>
    <row r="1009" spans="10:14" x14ac:dyDescent="0.2">
      <c r="J1009" s="142"/>
      <c r="N1009" s="142"/>
    </row>
    <row r="1010" spans="10:14" x14ac:dyDescent="0.2">
      <c r="J1010" s="142"/>
      <c r="N1010" s="142"/>
    </row>
    <row r="1011" spans="10:14" x14ac:dyDescent="0.2">
      <c r="J1011" s="142"/>
      <c r="N1011" s="142"/>
    </row>
  </sheetData>
  <mergeCells count="50">
    <mergeCell ref="F1:J1"/>
    <mergeCell ref="K1:N1"/>
    <mergeCell ref="C2:D2"/>
    <mergeCell ref="I2:J2"/>
    <mergeCell ref="F38:J38"/>
    <mergeCell ref="K38:N38"/>
    <mergeCell ref="C181:D181"/>
    <mergeCell ref="C39:D39"/>
    <mergeCell ref="F92:J92"/>
    <mergeCell ref="C93:D93"/>
    <mergeCell ref="W103:X103"/>
    <mergeCell ref="F114:J114"/>
    <mergeCell ref="C115:D115"/>
    <mergeCell ref="W135:X135"/>
    <mergeCell ref="F151:J151"/>
    <mergeCell ref="C152:D152"/>
    <mergeCell ref="F180:J180"/>
    <mergeCell ref="C212:D212"/>
    <mergeCell ref="B227:I227"/>
    <mergeCell ref="C228:D228"/>
    <mergeCell ref="C229:D229"/>
    <mergeCell ref="C230:D230"/>
    <mergeCell ref="C242:D242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F249:G249"/>
    <mergeCell ref="H249:I249"/>
    <mergeCell ref="V88:Y88"/>
    <mergeCell ref="F246:G246"/>
    <mergeCell ref="H246:I246"/>
    <mergeCell ref="F247:G247"/>
    <mergeCell ref="H247:I247"/>
    <mergeCell ref="F248:G248"/>
    <mergeCell ref="H248:I248"/>
    <mergeCell ref="F243:G243"/>
    <mergeCell ref="H243:I243"/>
    <mergeCell ref="F244:G244"/>
    <mergeCell ref="H244:I244"/>
    <mergeCell ref="F245:G245"/>
    <mergeCell ref="H245:I245"/>
    <mergeCell ref="F211:J211"/>
  </mergeCells>
  <pageMargins left="0.7" right="0.7" top="0.78740157499999996" bottom="0.78740157499999996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D327-87AC-4E00-809C-81AE45A51B49}">
  <sheetPr codeName="Tabelle2">
    <pageSetUpPr fitToPage="1"/>
  </sheetPr>
  <dimension ref="A1:AD1019"/>
  <sheetViews>
    <sheetView topLeftCell="A125" zoomScale="85" zoomScaleNormal="85" workbookViewId="0">
      <selection activeCell="G227" sqref="G227"/>
    </sheetView>
  </sheetViews>
  <sheetFormatPr baseColWidth="10" defaultRowHeight="14.25" x14ac:dyDescent="0.2"/>
  <cols>
    <col min="1" max="1" width="16" style="221" customWidth="1"/>
    <col min="2" max="2" width="28.75" style="221" customWidth="1"/>
    <col min="3" max="3" width="17" style="221" customWidth="1"/>
    <col min="4" max="4" width="7.25" style="221" customWidth="1"/>
    <col min="5" max="5" width="35.125" style="12" customWidth="1"/>
    <col min="6" max="6" width="11.625" style="221" customWidth="1"/>
    <col min="7" max="7" width="10.75" style="221" customWidth="1"/>
    <col min="8" max="8" width="9.625" style="221" customWidth="1"/>
    <col min="9" max="9" width="10" style="221" customWidth="1"/>
    <col min="10" max="10" width="15.25" style="20" customWidth="1"/>
    <col min="11" max="11" width="11" style="221"/>
    <col min="12" max="12" width="9" style="221" customWidth="1"/>
    <col min="13" max="13" width="18.625" style="221" customWidth="1"/>
    <col min="14" max="14" width="26.25" style="20" customWidth="1"/>
    <col min="15" max="15" width="11" style="221"/>
    <col min="16" max="16" width="10.625" style="221" customWidth="1"/>
    <col min="17" max="17" width="25.375" style="221" customWidth="1"/>
    <col min="18" max="18" width="20.625" style="221" customWidth="1"/>
    <col min="19" max="19" width="17.75" style="221" customWidth="1"/>
    <col min="20" max="21" width="11" style="221"/>
    <col min="22" max="22" width="31.5" style="221" customWidth="1"/>
    <col min="23" max="23" width="21" style="221" customWidth="1"/>
    <col min="24" max="24" width="17.125" style="221" customWidth="1"/>
    <col min="25" max="25" width="17.5" style="221" customWidth="1"/>
    <col min="26" max="26" width="22.375" style="221" customWidth="1"/>
    <col min="27" max="27" width="22.5" style="221" customWidth="1"/>
    <col min="28" max="28" width="20.5" style="221" customWidth="1"/>
    <col min="29" max="16384" width="11" style="221"/>
  </cols>
  <sheetData>
    <row r="1" spans="1:27" ht="18.75" thickBot="1" x14ac:dyDescent="0.25">
      <c r="B1" s="16"/>
      <c r="C1" s="16"/>
      <c r="D1" s="16"/>
      <c r="E1" s="16"/>
      <c r="F1" s="355" t="s">
        <v>111</v>
      </c>
      <c r="G1" s="355"/>
      <c r="H1" s="355"/>
      <c r="I1" s="355"/>
      <c r="J1" s="355"/>
      <c r="K1" s="351" t="s">
        <v>40</v>
      </c>
      <c r="L1" s="351"/>
      <c r="M1" s="351"/>
      <c r="N1" s="351"/>
    </row>
    <row r="2" spans="1:27" ht="57" x14ac:dyDescent="0.2">
      <c r="A2" s="1" t="s">
        <v>33</v>
      </c>
      <c r="B2" s="2"/>
      <c r="C2" s="356" t="s">
        <v>0</v>
      </c>
      <c r="D2" s="357"/>
      <c r="E2" s="218" t="s">
        <v>19</v>
      </c>
      <c r="F2" s="2" t="s">
        <v>1</v>
      </c>
      <c r="G2" s="2" t="s">
        <v>24</v>
      </c>
      <c r="H2" s="2" t="s">
        <v>22</v>
      </c>
      <c r="I2" s="356" t="s">
        <v>35</v>
      </c>
      <c r="J2" s="358"/>
      <c r="K2" s="219" t="s">
        <v>2</v>
      </c>
      <c r="L2" s="2" t="s">
        <v>3</v>
      </c>
      <c r="M2" s="2" t="s">
        <v>4</v>
      </c>
      <c r="N2" s="10" t="s">
        <v>5</v>
      </c>
      <c r="Z2" s="221" t="s">
        <v>134</v>
      </c>
      <c r="AA2" s="221" t="s">
        <v>131</v>
      </c>
    </row>
    <row r="3" spans="1:27" ht="16.5" thickBot="1" x14ac:dyDescent="0.25">
      <c r="A3" s="5"/>
      <c r="B3" s="6"/>
      <c r="C3" s="7" t="s">
        <v>35</v>
      </c>
      <c r="D3" s="37" t="s">
        <v>115</v>
      </c>
      <c r="E3" s="11"/>
      <c r="F3" s="6" t="s">
        <v>6</v>
      </c>
      <c r="G3" s="6" t="s">
        <v>23</v>
      </c>
      <c r="H3" s="6"/>
      <c r="I3" s="7" t="s">
        <v>35</v>
      </c>
      <c r="J3" s="37" t="s">
        <v>115</v>
      </c>
      <c r="K3" s="18" t="s">
        <v>34</v>
      </c>
      <c r="L3" s="6" t="s">
        <v>7</v>
      </c>
      <c r="M3" s="6"/>
      <c r="N3" s="8"/>
    </row>
    <row r="4" spans="1:27" x14ac:dyDescent="0.2">
      <c r="A4" s="147"/>
      <c r="B4" s="147"/>
      <c r="C4" s="147"/>
      <c r="D4" s="147"/>
      <c r="E4" s="148"/>
      <c r="F4" s="222"/>
      <c r="K4" s="17"/>
      <c r="L4" s="13"/>
      <c r="N4" s="221"/>
      <c r="U4" s="221" t="s">
        <v>124</v>
      </c>
      <c r="W4" s="221">
        <v>300</v>
      </c>
      <c r="X4" s="221" t="s">
        <v>130</v>
      </c>
      <c r="Y4" s="221" t="s">
        <v>125</v>
      </c>
      <c r="Z4" s="221">
        <v>466</v>
      </c>
      <c r="AA4" s="221">
        <f>W4/1000*Z4/1000</f>
        <v>0.13979999999999998</v>
      </c>
    </row>
    <row r="5" spans="1:27" ht="14.25" hidden="1" customHeight="1" x14ac:dyDescent="0.2">
      <c r="A5" s="161" t="s">
        <v>239</v>
      </c>
      <c r="B5" s="147" t="s">
        <v>14</v>
      </c>
      <c r="C5" s="147">
        <f>1395+927+1122</f>
        <v>3444</v>
      </c>
      <c r="D5" s="147" t="s">
        <v>10</v>
      </c>
      <c r="E5" s="149" t="s">
        <v>262</v>
      </c>
      <c r="F5" s="222">
        <f>C5</f>
        <v>3444</v>
      </c>
      <c r="I5" s="221">
        <f>C5</f>
        <v>3444</v>
      </c>
      <c r="J5" s="20" t="s">
        <v>10</v>
      </c>
      <c r="K5" s="17">
        <f>AA27</f>
        <v>0.15598800000000002</v>
      </c>
      <c r="L5" s="222">
        <f t="shared" ref="L5:L9" si="0">I5*K5</f>
        <v>537.2226720000001</v>
      </c>
      <c r="N5" s="221" t="s">
        <v>49</v>
      </c>
      <c r="W5" s="221">
        <v>100</v>
      </c>
      <c r="X5" s="221" t="s">
        <v>130</v>
      </c>
      <c r="Y5" s="221" t="s">
        <v>126</v>
      </c>
      <c r="Z5" s="221">
        <v>0.1</v>
      </c>
      <c r="AA5" s="221">
        <f t="shared" ref="AA5:AA10" si="1">W5/1000*Z5/1000</f>
        <v>1.0000000000000003E-5</v>
      </c>
    </row>
    <row r="6" spans="1:27" hidden="1" x14ac:dyDescent="0.2">
      <c r="A6" s="147"/>
      <c r="B6" s="147" t="s">
        <v>247</v>
      </c>
      <c r="C6" s="150">
        <v>198</v>
      </c>
      <c r="D6" s="147" t="s">
        <v>12</v>
      </c>
      <c r="E6" s="149" t="s">
        <v>38</v>
      </c>
      <c r="F6" s="222">
        <f>C6*0.4</f>
        <v>79.2</v>
      </c>
      <c r="I6" s="222">
        <f>F6</f>
        <v>79.2</v>
      </c>
      <c r="J6" s="20" t="s">
        <v>10</v>
      </c>
      <c r="K6" s="17">
        <f>AA12</f>
        <v>0.14654999999999999</v>
      </c>
      <c r="L6" s="222">
        <f t="shared" si="0"/>
        <v>11.60676</v>
      </c>
      <c r="N6" s="221" t="s">
        <v>49</v>
      </c>
      <c r="W6" s="221">
        <f>650+340+680</f>
        <v>1670</v>
      </c>
      <c r="X6" s="221" t="s">
        <v>130</v>
      </c>
      <c r="Y6" s="221" t="s">
        <v>127</v>
      </c>
      <c r="Z6" s="221">
        <v>4</v>
      </c>
      <c r="AA6" s="221">
        <f t="shared" si="1"/>
        <v>6.6799999999999993E-3</v>
      </c>
    </row>
    <row r="7" spans="1:27" hidden="1" x14ac:dyDescent="0.2">
      <c r="A7" s="147"/>
      <c r="B7" s="147" t="s">
        <v>249</v>
      </c>
      <c r="C7" s="147">
        <v>233</v>
      </c>
      <c r="D7" s="147" t="s">
        <v>11</v>
      </c>
      <c r="E7" s="149"/>
      <c r="F7" s="222" t="s">
        <v>25</v>
      </c>
      <c r="H7" s="221">
        <f>C7</f>
        <v>233</v>
      </c>
      <c r="I7" s="221">
        <f>H7</f>
        <v>233</v>
      </c>
      <c r="J7" s="20" t="s">
        <v>11</v>
      </c>
      <c r="K7" s="221">
        <v>0.65600000000000003</v>
      </c>
      <c r="L7" s="222">
        <f t="shared" si="0"/>
        <v>152.84800000000001</v>
      </c>
      <c r="M7" s="221" t="s">
        <v>41</v>
      </c>
      <c r="N7" s="221" t="s">
        <v>194</v>
      </c>
      <c r="W7" s="221">
        <f>200</f>
        <v>200</v>
      </c>
      <c r="X7" s="221" t="s">
        <v>130</v>
      </c>
      <c r="Y7" s="221" t="s">
        <v>128</v>
      </c>
      <c r="Z7" s="221">
        <v>0.3</v>
      </c>
      <c r="AA7" s="221">
        <f t="shared" si="1"/>
        <v>5.9999999999999995E-5</v>
      </c>
    </row>
    <row r="8" spans="1:27" hidden="1" x14ac:dyDescent="0.2">
      <c r="A8" s="147"/>
      <c r="B8" s="147" t="s">
        <v>188</v>
      </c>
      <c r="C8" s="147">
        <v>18</v>
      </c>
      <c r="D8" s="147" t="s">
        <v>11</v>
      </c>
      <c r="E8" s="149"/>
      <c r="F8" s="222"/>
      <c r="H8" s="150">
        <f>C8</f>
        <v>18</v>
      </c>
      <c r="I8" s="150">
        <f>H8</f>
        <v>18</v>
      </c>
      <c r="J8" s="20" t="s">
        <v>11</v>
      </c>
      <c r="K8" s="221">
        <v>2.5049999999999999</v>
      </c>
      <c r="L8" s="222">
        <f t="shared" si="0"/>
        <v>45.089999999999996</v>
      </c>
      <c r="M8" s="221" t="s">
        <v>193</v>
      </c>
      <c r="N8" s="221" t="s">
        <v>194</v>
      </c>
    </row>
    <row r="9" spans="1:27" hidden="1" x14ac:dyDescent="0.2">
      <c r="A9" s="147"/>
      <c r="B9" s="147" t="s">
        <v>189</v>
      </c>
      <c r="C9" s="147">
        <v>2906</v>
      </c>
      <c r="D9" s="147" t="s">
        <v>191</v>
      </c>
      <c r="E9" s="149" t="s">
        <v>192</v>
      </c>
      <c r="F9" s="222"/>
      <c r="I9" s="222">
        <f>C9*22/1000</f>
        <v>63.932000000000002</v>
      </c>
      <c r="J9" s="20" t="s">
        <v>11</v>
      </c>
      <c r="K9" s="221">
        <v>0.86</v>
      </c>
      <c r="L9" s="222">
        <f t="shared" si="0"/>
        <v>54.981520000000003</v>
      </c>
      <c r="M9" s="221" t="s">
        <v>48</v>
      </c>
      <c r="N9" s="221" t="s">
        <v>49</v>
      </c>
    </row>
    <row r="10" spans="1:27" ht="15" hidden="1" thickBot="1" x14ac:dyDescent="0.25">
      <c r="A10" s="39"/>
      <c r="E10" s="40"/>
      <c r="F10" s="222"/>
      <c r="J10" s="26"/>
      <c r="L10" s="36">
        <f>SUM(L4:L9)</f>
        <v>801.74895200000026</v>
      </c>
      <c r="N10" s="221"/>
      <c r="W10" s="221">
        <v>2.5</v>
      </c>
      <c r="X10" s="221" t="s">
        <v>130</v>
      </c>
      <c r="Y10" s="221" t="s">
        <v>129</v>
      </c>
      <c r="AA10" s="221">
        <f t="shared" si="1"/>
        <v>0</v>
      </c>
    </row>
    <row r="11" spans="1:27" ht="13.5" hidden="1" customHeight="1" x14ac:dyDescent="0.2">
      <c r="A11" s="39"/>
      <c r="B11" s="39">
        <v>0.9</v>
      </c>
      <c r="C11" s="39">
        <f>B11*C6*8</f>
        <v>1425.6000000000001</v>
      </c>
      <c r="D11" s="39"/>
      <c r="E11" s="39"/>
      <c r="J11" s="26"/>
      <c r="N11" s="221"/>
    </row>
    <row r="12" spans="1:27" hidden="1" x14ac:dyDescent="0.2">
      <c r="A12" s="39"/>
      <c r="B12" s="39"/>
      <c r="C12" s="39"/>
      <c r="D12" s="39"/>
      <c r="E12" s="39"/>
      <c r="J12" s="26"/>
      <c r="N12" s="221"/>
      <c r="Z12" s="55" t="s">
        <v>132</v>
      </c>
      <c r="AA12" s="56">
        <f>SUM(AA4:AA10)</f>
        <v>0.14654999999999999</v>
      </c>
    </row>
    <row r="13" spans="1:27" hidden="1" x14ac:dyDescent="0.2">
      <c r="A13" s="39" t="s">
        <v>91</v>
      </c>
      <c r="B13" s="39" t="s">
        <v>16</v>
      </c>
      <c r="C13" s="39">
        <v>0</v>
      </c>
      <c r="D13" s="39" t="s">
        <v>10</v>
      </c>
      <c r="E13" s="40" t="s">
        <v>39</v>
      </c>
      <c r="F13" s="50">
        <f>C13</f>
        <v>0</v>
      </c>
      <c r="G13" s="39"/>
      <c r="H13" s="39"/>
      <c r="I13" s="39">
        <v>0</v>
      </c>
      <c r="J13" s="157" t="s">
        <v>10</v>
      </c>
      <c r="K13" s="158">
        <f>AA38</f>
        <v>0.16428880000000001</v>
      </c>
      <c r="L13" s="50">
        <f>I13*K13</f>
        <v>0</v>
      </c>
      <c r="M13" s="39"/>
      <c r="N13" s="39"/>
    </row>
    <row r="14" spans="1:27" hidden="1" x14ac:dyDescent="0.2">
      <c r="A14" s="39"/>
      <c r="B14" s="39" t="s">
        <v>17</v>
      </c>
      <c r="C14" s="39">
        <v>0</v>
      </c>
      <c r="D14" s="39" t="s">
        <v>18</v>
      </c>
      <c r="E14" s="40" t="s">
        <v>190</v>
      </c>
      <c r="F14" s="50" t="s">
        <v>25</v>
      </c>
      <c r="G14" s="39"/>
      <c r="H14" s="39"/>
      <c r="I14" s="39">
        <f>15/1000*C14</f>
        <v>0</v>
      </c>
      <c r="J14" s="157" t="s">
        <v>11</v>
      </c>
      <c r="K14" s="39">
        <v>2.3140000000000001</v>
      </c>
      <c r="L14" s="50">
        <f>I14*K14</f>
        <v>0</v>
      </c>
      <c r="M14" s="39" t="s">
        <v>42</v>
      </c>
      <c r="N14" s="39" t="s">
        <v>194</v>
      </c>
    </row>
    <row r="15" spans="1:27" hidden="1" x14ac:dyDescent="0.2">
      <c r="A15" s="39"/>
      <c r="B15" s="39" t="s">
        <v>20</v>
      </c>
      <c r="C15" s="39">
        <v>0</v>
      </c>
      <c r="D15" s="39" t="s">
        <v>12</v>
      </c>
      <c r="E15" s="40"/>
      <c r="F15" s="49">
        <f>PI()*0.025^2*C15</f>
        <v>0</v>
      </c>
      <c r="G15" s="39">
        <v>7.8</v>
      </c>
      <c r="H15" s="49">
        <f>C15*21/1000</f>
        <v>0</v>
      </c>
      <c r="I15" s="49">
        <f>H15</f>
        <v>0</v>
      </c>
      <c r="J15" s="157" t="s">
        <v>11</v>
      </c>
      <c r="K15" s="39">
        <v>2.266</v>
      </c>
      <c r="L15" s="50">
        <f>I15*K15</f>
        <v>0</v>
      </c>
      <c r="M15" s="39" t="s">
        <v>41</v>
      </c>
      <c r="N15" s="39" t="s">
        <v>194</v>
      </c>
    </row>
    <row r="16" spans="1:27" ht="14.25" hidden="1" customHeight="1" thickBot="1" x14ac:dyDescent="0.25">
      <c r="A16" s="39"/>
      <c r="B16" s="39" t="s">
        <v>9</v>
      </c>
      <c r="C16" s="39">
        <v>0</v>
      </c>
      <c r="D16" s="39" t="s">
        <v>11</v>
      </c>
      <c r="E16" s="40" t="s">
        <v>21</v>
      </c>
      <c r="F16" s="49"/>
      <c r="G16" s="39"/>
      <c r="H16" s="49">
        <f>C16</f>
        <v>0</v>
      </c>
      <c r="I16" s="49">
        <f>H16</f>
        <v>0</v>
      </c>
      <c r="J16" s="157" t="s">
        <v>11</v>
      </c>
      <c r="K16" s="39">
        <v>0.91300000000000003</v>
      </c>
      <c r="L16" s="50">
        <f>I16*K16</f>
        <v>0</v>
      </c>
      <c r="M16" s="39" t="s">
        <v>48</v>
      </c>
      <c r="N16" s="39" t="s">
        <v>49</v>
      </c>
      <c r="Z16" s="221" t="s">
        <v>134</v>
      </c>
      <c r="AA16" s="221" t="s">
        <v>131</v>
      </c>
    </row>
    <row r="17" spans="1:27" ht="15" hidden="1" thickBot="1" x14ac:dyDescent="0.25">
      <c r="A17" s="39"/>
      <c r="B17" s="39"/>
      <c r="C17" s="39"/>
      <c r="D17" s="39"/>
      <c r="E17" s="40"/>
      <c r="F17" s="49"/>
      <c r="G17" s="39"/>
      <c r="H17" s="39"/>
      <c r="I17" s="39"/>
      <c r="J17" s="159"/>
      <c r="K17" s="39"/>
      <c r="L17" s="160">
        <f>SUM(L13:L16)</f>
        <v>0</v>
      </c>
      <c r="M17" s="39"/>
      <c r="N17" s="39"/>
    </row>
    <row r="18" spans="1:27" x14ac:dyDescent="0.2">
      <c r="A18" s="39"/>
      <c r="B18" s="39"/>
      <c r="C18" s="39"/>
      <c r="D18" s="39"/>
      <c r="E18" s="39"/>
      <c r="J18" s="26"/>
      <c r="N18" s="221"/>
      <c r="U18" s="221" t="s">
        <v>133</v>
      </c>
      <c r="W18" s="221">
        <v>320</v>
      </c>
      <c r="X18" s="221" t="s">
        <v>130</v>
      </c>
      <c r="Y18" s="221" t="s">
        <v>125</v>
      </c>
      <c r="Z18" s="221">
        <v>466</v>
      </c>
      <c r="AA18" s="221">
        <f>W18/1000*Z18/1000</f>
        <v>0.14912</v>
      </c>
    </row>
    <row r="19" spans="1:27" x14ac:dyDescent="0.2">
      <c r="A19" s="39"/>
      <c r="B19" s="39"/>
      <c r="C19" s="39"/>
      <c r="D19" s="39"/>
      <c r="E19" s="39"/>
      <c r="J19" s="26"/>
      <c r="N19" s="221"/>
      <c r="W19" s="221">
        <v>80</v>
      </c>
      <c r="X19" s="221" t="s">
        <v>130</v>
      </c>
      <c r="Y19" s="221" t="s">
        <v>126</v>
      </c>
      <c r="Z19" s="221">
        <v>0.1</v>
      </c>
      <c r="AA19" s="221">
        <f t="shared" ref="AA19:AA25" si="2">W19/1000*Z19/1000</f>
        <v>7.9999999999999996E-6</v>
      </c>
    </row>
    <row r="20" spans="1:27" x14ac:dyDescent="0.2">
      <c r="B20" s="147"/>
      <c r="C20" s="150"/>
      <c r="D20" s="147"/>
      <c r="E20" s="149"/>
      <c r="F20" s="154"/>
      <c r="G20" s="147"/>
      <c r="H20" s="156"/>
      <c r="I20" s="154"/>
      <c r="J20" s="155"/>
      <c r="K20" s="17"/>
      <c r="L20" s="222"/>
      <c r="N20" s="221"/>
      <c r="W20" s="221">
        <f>677+341+682</f>
        <v>1700</v>
      </c>
      <c r="X20" s="221" t="s">
        <v>130</v>
      </c>
      <c r="Y20" s="221" t="s">
        <v>127</v>
      </c>
      <c r="Z20" s="221">
        <v>4</v>
      </c>
      <c r="AA20" s="221">
        <f t="shared" si="2"/>
        <v>6.7999999999999996E-3</v>
      </c>
    </row>
    <row r="21" spans="1:27" ht="15" x14ac:dyDescent="0.2">
      <c r="A21" s="161"/>
      <c r="B21" s="147" t="s">
        <v>344</v>
      </c>
      <c r="C21" s="198">
        <f>Anker!B5</f>
        <v>10</v>
      </c>
      <c r="D21" s="147" t="s">
        <v>11</v>
      </c>
      <c r="E21" s="149"/>
      <c r="F21" s="156"/>
      <c r="G21" s="147"/>
      <c r="H21" s="156">
        <f>C21</f>
        <v>10</v>
      </c>
      <c r="I21" s="147">
        <f>C21</f>
        <v>10</v>
      </c>
      <c r="J21" s="155" t="s">
        <v>11</v>
      </c>
      <c r="K21" s="234">
        <v>0.67300000000000004</v>
      </c>
      <c r="L21" s="238">
        <f>I21*K21</f>
        <v>6.73</v>
      </c>
      <c r="M21" s="234" t="s">
        <v>193</v>
      </c>
      <c r="N21" s="234" t="s">
        <v>194</v>
      </c>
      <c r="W21" s="221">
        <f>200</f>
        <v>200</v>
      </c>
      <c r="X21" s="221" t="s">
        <v>130</v>
      </c>
      <c r="Y21" s="221" t="s">
        <v>128</v>
      </c>
      <c r="Z21" s="221">
        <v>0.3</v>
      </c>
      <c r="AA21" s="221">
        <f t="shared" si="2"/>
        <v>5.9999999999999995E-5</v>
      </c>
    </row>
    <row r="22" spans="1:27" x14ac:dyDescent="0.2">
      <c r="A22" s="147" t="s">
        <v>300</v>
      </c>
      <c r="B22" s="147" t="s">
        <v>348</v>
      </c>
      <c r="C22" s="198">
        <f>Anker!B7</f>
        <v>10</v>
      </c>
      <c r="D22" s="147" t="s">
        <v>11</v>
      </c>
      <c r="E22" s="149"/>
      <c r="F22" s="156"/>
      <c r="G22" s="147"/>
      <c r="H22" s="156">
        <f>C22</f>
        <v>10</v>
      </c>
      <c r="I22" s="147">
        <f>C22</f>
        <v>10</v>
      </c>
      <c r="J22" s="155" t="s">
        <v>11</v>
      </c>
      <c r="K22" s="221">
        <v>1.0149999999999999</v>
      </c>
      <c r="L22" s="222">
        <f>I22*K22</f>
        <v>10.149999999999999</v>
      </c>
      <c r="M22" s="221" t="s">
        <v>193</v>
      </c>
      <c r="N22" s="221" t="s">
        <v>194</v>
      </c>
    </row>
    <row r="23" spans="1:27" x14ac:dyDescent="0.2">
      <c r="A23" s="147"/>
      <c r="B23" s="147" t="s">
        <v>189</v>
      </c>
      <c r="C23" s="198">
        <f>Anker!B3</f>
        <v>2906</v>
      </c>
      <c r="D23" s="147" t="s">
        <v>191</v>
      </c>
      <c r="E23" s="156">
        <f>Anker!B11</f>
        <v>25</v>
      </c>
      <c r="F23" s="221" t="s">
        <v>349</v>
      </c>
      <c r="G23" s="147"/>
      <c r="H23" s="147"/>
      <c r="I23" s="156">
        <f>C23*Anker!B11/1000</f>
        <v>72.650000000000006</v>
      </c>
      <c r="J23" s="155" t="s">
        <v>11</v>
      </c>
      <c r="K23" s="221">
        <v>0.86</v>
      </c>
      <c r="L23" s="222">
        <f>I23*K23</f>
        <v>62.479000000000006</v>
      </c>
      <c r="M23" s="221" t="s">
        <v>48</v>
      </c>
      <c r="N23" s="221" t="s">
        <v>49</v>
      </c>
    </row>
    <row r="24" spans="1:27" ht="15" thickBot="1" x14ac:dyDescent="0.25">
      <c r="A24" s="147"/>
      <c r="B24" s="147"/>
      <c r="C24" s="150"/>
      <c r="D24" s="147"/>
      <c r="E24" s="149"/>
      <c r="F24" s="156"/>
      <c r="G24" s="147"/>
      <c r="H24" s="156"/>
      <c r="I24" s="156"/>
      <c r="J24" s="155"/>
      <c r="L24" s="222"/>
      <c r="N24" s="221"/>
    </row>
    <row r="25" spans="1:27" ht="15" thickBot="1" x14ac:dyDescent="0.25">
      <c r="A25" s="39"/>
      <c r="B25" s="39"/>
      <c r="C25" s="39"/>
      <c r="D25" s="39"/>
      <c r="E25" s="40"/>
      <c r="F25" s="13"/>
      <c r="J25" s="26"/>
      <c r="L25" s="36">
        <f>SUM(L21:L23)</f>
        <v>79.359000000000009</v>
      </c>
      <c r="N25" s="221"/>
      <c r="W25" s="221">
        <v>2.5</v>
      </c>
      <c r="X25" s="221" t="s">
        <v>130</v>
      </c>
      <c r="Y25" s="221" t="s">
        <v>129</v>
      </c>
      <c r="AA25" s="221">
        <f t="shared" si="2"/>
        <v>0</v>
      </c>
    </row>
    <row r="26" spans="1:27" ht="13.5" customHeight="1" x14ac:dyDescent="0.2">
      <c r="A26" s="39"/>
      <c r="B26" s="39"/>
      <c r="C26" s="39"/>
      <c r="D26" s="39"/>
      <c r="E26" s="39"/>
      <c r="J26" s="26"/>
      <c r="N26" s="221"/>
    </row>
    <row r="27" spans="1:27" hidden="1" x14ac:dyDescent="0.2">
      <c r="A27" s="39"/>
      <c r="B27" s="39"/>
      <c r="C27" s="39"/>
      <c r="D27" s="39"/>
      <c r="E27" s="39"/>
      <c r="J27" s="26"/>
      <c r="N27" s="221"/>
      <c r="Z27" s="55" t="s">
        <v>135</v>
      </c>
      <c r="AA27" s="56">
        <f>SUM(AA18:AA25)</f>
        <v>0.15598800000000002</v>
      </c>
    </row>
    <row r="28" spans="1:27" hidden="1" x14ac:dyDescent="0.2">
      <c r="A28" s="39" t="s">
        <v>93</v>
      </c>
      <c r="B28" s="39" t="s">
        <v>27</v>
      </c>
      <c r="C28" s="39">
        <v>0</v>
      </c>
      <c r="D28" s="39" t="s">
        <v>26</v>
      </c>
      <c r="E28" s="40" t="s">
        <v>75</v>
      </c>
      <c r="F28" s="49" t="s">
        <v>25</v>
      </c>
      <c r="G28" s="39"/>
      <c r="H28" s="39"/>
      <c r="I28" s="39">
        <f>C28*0.233</f>
        <v>0</v>
      </c>
      <c r="J28" s="157" t="s">
        <v>11</v>
      </c>
      <c r="K28" s="39">
        <v>0.91300000000000003</v>
      </c>
      <c r="L28" s="50">
        <f>I28*K28</f>
        <v>0</v>
      </c>
      <c r="M28" s="39" t="s">
        <v>48</v>
      </c>
      <c r="N28" s="39" t="s">
        <v>49</v>
      </c>
    </row>
    <row r="29" spans="1:27" ht="15" hidden="1" thickBo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159"/>
      <c r="K29" s="39"/>
      <c r="L29" s="160">
        <f>SUM(L28)</f>
        <v>0</v>
      </c>
      <c r="M29" s="39"/>
      <c r="N29" s="39"/>
    </row>
    <row r="30" spans="1:27" ht="13.5" hidden="1" customHeight="1" x14ac:dyDescent="0.2">
      <c r="A30" s="39"/>
      <c r="B30" s="39"/>
      <c r="C30" s="39"/>
      <c r="D30" s="39"/>
      <c r="E30" s="39"/>
      <c r="F30" s="39"/>
      <c r="G30" s="39"/>
      <c r="H30" s="39"/>
      <c r="I30" s="39"/>
      <c r="J30" s="159"/>
      <c r="K30" s="39"/>
      <c r="L30" s="39"/>
      <c r="M30" s="39"/>
      <c r="N30" s="39"/>
      <c r="U30" s="221" t="s">
        <v>136</v>
      </c>
      <c r="Z30" s="221" t="s">
        <v>134</v>
      </c>
      <c r="AA30" s="221" t="s">
        <v>131</v>
      </c>
    </row>
    <row r="31" spans="1:27" hidden="1" x14ac:dyDescent="0.2">
      <c r="A31" s="39"/>
      <c r="B31" s="39"/>
      <c r="C31" s="39"/>
      <c r="D31" s="39"/>
      <c r="E31" s="39"/>
      <c r="F31" s="39"/>
      <c r="G31" s="39"/>
      <c r="H31" s="39"/>
      <c r="I31" s="39"/>
      <c r="J31" s="159"/>
      <c r="K31" s="39"/>
      <c r="L31" s="39"/>
      <c r="M31" s="39"/>
      <c r="N31" s="39"/>
    </row>
    <row r="32" spans="1:27" hidden="1" x14ac:dyDescent="0.2">
      <c r="A32" s="39" t="s">
        <v>94</v>
      </c>
      <c r="B32" s="39" t="s">
        <v>43</v>
      </c>
      <c r="C32" s="39" t="s">
        <v>31</v>
      </c>
      <c r="D32" s="39" t="s">
        <v>71</v>
      </c>
      <c r="E32" s="40" t="s">
        <v>29</v>
      </c>
      <c r="F32" s="49" t="s">
        <v>25</v>
      </c>
      <c r="G32" s="39"/>
      <c r="H32" s="39">
        <v>0</v>
      </c>
      <c r="I32" s="39">
        <f>H32</f>
        <v>0</v>
      </c>
      <c r="J32" s="157" t="s">
        <v>11</v>
      </c>
      <c r="K32" s="39">
        <v>0.91300000000000003</v>
      </c>
      <c r="L32" s="50">
        <f>I32*K32</f>
        <v>0</v>
      </c>
      <c r="M32" s="39" t="s">
        <v>48</v>
      </c>
      <c r="N32" s="39" t="s">
        <v>49</v>
      </c>
      <c r="W32" s="221">
        <v>320</v>
      </c>
      <c r="X32" s="221" t="s">
        <v>130</v>
      </c>
      <c r="Y32" s="221" t="s">
        <v>125</v>
      </c>
      <c r="Z32" s="221">
        <v>485</v>
      </c>
      <c r="AA32" s="221">
        <f>W32/1000*Z32/1000</f>
        <v>0.1552</v>
      </c>
    </row>
    <row r="33" spans="1:27" hidden="1" x14ac:dyDescent="0.2">
      <c r="A33" s="39"/>
      <c r="B33" s="39" t="s">
        <v>44</v>
      </c>
      <c r="C33" s="39">
        <v>0</v>
      </c>
      <c r="D33" s="39" t="s">
        <v>10</v>
      </c>
      <c r="E33" s="40" t="s">
        <v>30</v>
      </c>
      <c r="F33" s="49" t="s">
        <v>25</v>
      </c>
      <c r="G33" s="39"/>
      <c r="H33" s="39">
        <v>0</v>
      </c>
      <c r="I33" s="39">
        <f>H33</f>
        <v>0</v>
      </c>
      <c r="J33" s="157" t="s">
        <v>11</v>
      </c>
      <c r="K33" s="39">
        <v>0.28000000000000003</v>
      </c>
      <c r="L33" s="50">
        <f>I33*K33</f>
        <v>0</v>
      </c>
      <c r="M33" s="39"/>
      <c r="N33" s="39" t="s">
        <v>50</v>
      </c>
      <c r="W33" s="221">
        <v>130</v>
      </c>
      <c r="X33" s="221" t="s">
        <v>130</v>
      </c>
      <c r="Y33" s="221" t="s">
        <v>126</v>
      </c>
      <c r="Z33" s="221">
        <v>4</v>
      </c>
      <c r="AA33" s="221">
        <f t="shared" ref="AA33:AA36" si="3">W33/1000*Z33/1000</f>
        <v>5.2000000000000006E-4</v>
      </c>
    </row>
    <row r="34" spans="1:27" hidden="1" x14ac:dyDescent="0.2">
      <c r="A34" s="39"/>
      <c r="B34" s="39" t="s">
        <v>45</v>
      </c>
      <c r="C34" s="39">
        <f>47500</f>
        <v>47500</v>
      </c>
      <c r="D34" s="39" t="s">
        <v>12</v>
      </c>
      <c r="E34" s="40" t="s">
        <v>32</v>
      </c>
      <c r="F34" s="49">
        <f>C34*PI()*(0.008^2-0.005^2)</f>
        <v>5.8198003907750913</v>
      </c>
      <c r="G34" s="39">
        <v>1.4</v>
      </c>
      <c r="H34" s="49">
        <v>0</v>
      </c>
      <c r="I34" s="49">
        <f>H34</f>
        <v>0</v>
      </c>
      <c r="J34" s="157" t="s">
        <v>11</v>
      </c>
      <c r="K34" s="39">
        <v>3.23</v>
      </c>
      <c r="L34" s="50">
        <f>I34*K34</f>
        <v>0</v>
      </c>
      <c r="M34" s="39" t="s">
        <v>47</v>
      </c>
      <c r="N34" s="39" t="s">
        <v>46</v>
      </c>
      <c r="W34" s="221">
        <f>677+341+682</f>
        <v>1700</v>
      </c>
      <c r="X34" s="221" t="s">
        <v>130</v>
      </c>
      <c r="Y34" s="221" t="s">
        <v>127</v>
      </c>
      <c r="Z34" s="221">
        <v>5</v>
      </c>
      <c r="AA34" s="221">
        <f t="shared" si="3"/>
        <v>8.5000000000000006E-3</v>
      </c>
    </row>
    <row r="35" spans="1:27" ht="15" hidden="1" thickBot="1" x14ac:dyDescent="0.25">
      <c r="A35" s="39"/>
      <c r="B35" s="39"/>
      <c r="C35" s="39"/>
      <c r="D35" s="39"/>
      <c r="E35" s="40"/>
      <c r="I35" s="39"/>
      <c r="J35" s="157"/>
      <c r="K35" s="39"/>
      <c r="L35" s="160">
        <f>SUM(L32:L34)</f>
        <v>0</v>
      </c>
      <c r="M35" s="39"/>
      <c r="N35" s="39"/>
      <c r="W35" s="221">
        <f>200</f>
        <v>200</v>
      </c>
      <c r="X35" s="221" t="s">
        <v>130</v>
      </c>
      <c r="Y35" s="221" t="s">
        <v>128</v>
      </c>
      <c r="Z35" s="221">
        <v>0.34399999999999997</v>
      </c>
      <c r="AA35" s="221">
        <f t="shared" si="3"/>
        <v>6.8800000000000005E-5</v>
      </c>
    </row>
    <row r="36" spans="1:27" x14ac:dyDescent="0.2">
      <c r="A36" s="39"/>
      <c r="B36" s="39"/>
      <c r="C36" s="39"/>
      <c r="D36" s="39"/>
      <c r="E36" s="40"/>
      <c r="N36" s="221"/>
      <c r="W36" s="221">
        <v>2.5</v>
      </c>
      <c r="X36" s="221" t="s">
        <v>130</v>
      </c>
      <c r="Y36" s="221" t="s">
        <v>129</v>
      </c>
      <c r="AA36" s="221">
        <f t="shared" si="3"/>
        <v>0</v>
      </c>
    </row>
    <row r="37" spans="1:27" x14ac:dyDescent="0.2">
      <c r="A37" s="39"/>
      <c r="B37" s="40"/>
      <c r="C37" s="40"/>
      <c r="D37" s="40"/>
      <c r="E37" s="40"/>
      <c r="F37" s="12"/>
      <c r="G37" s="12"/>
      <c r="H37" s="12"/>
      <c r="I37" s="12"/>
      <c r="J37" s="26"/>
      <c r="N37" s="221"/>
    </row>
    <row r="38" spans="1:27" ht="18.75" thickBot="1" x14ac:dyDescent="0.25">
      <c r="A38" s="39"/>
      <c r="B38" s="41"/>
      <c r="C38" s="41"/>
      <c r="D38" s="41"/>
      <c r="E38" s="41"/>
      <c r="F38" s="349" t="s">
        <v>112</v>
      </c>
      <c r="G38" s="349"/>
      <c r="H38" s="349"/>
      <c r="I38" s="349"/>
      <c r="J38" s="350"/>
      <c r="K38" s="351" t="s">
        <v>40</v>
      </c>
      <c r="L38" s="351"/>
      <c r="M38" s="351"/>
      <c r="N38" s="351"/>
      <c r="Z38" s="55" t="s">
        <v>136</v>
      </c>
      <c r="AA38" s="56">
        <f>SUM(AA32:AA36)</f>
        <v>0.16428880000000001</v>
      </c>
    </row>
    <row r="39" spans="1:27" ht="42.75" x14ac:dyDescent="0.2">
      <c r="A39" s="162" t="s">
        <v>33</v>
      </c>
      <c r="B39" s="163"/>
      <c r="C39" s="353" t="s">
        <v>54</v>
      </c>
      <c r="D39" s="354"/>
      <c r="E39" s="163" t="s">
        <v>19</v>
      </c>
      <c r="F39" s="22" t="s">
        <v>56</v>
      </c>
      <c r="G39" s="24" t="s">
        <v>57</v>
      </c>
      <c r="H39" s="24" t="s">
        <v>58</v>
      </c>
      <c r="I39" s="2" t="s">
        <v>74</v>
      </c>
      <c r="J39" s="28" t="s">
        <v>73</v>
      </c>
      <c r="K39" s="219" t="s">
        <v>2</v>
      </c>
      <c r="L39" s="2" t="s">
        <v>3</v>
      </c>
      <c r="M39" s="27" t="s">
        <v>72</v>
      </c>
      <c r="N39" s="10" t="s">
        <v>5</v>
      </c>
      <c r="O39" s="2" t="s">
        <v>64</v>
      </c>
    </row>
    <row r="40" spans="1:27" ht="16.5" thickBot="1" x14ac:dyDescent="0.25">
      <c r="A40" s="44"/>
      <c r="B40" s="45"/>
      <c r="C40" s="46"/>
      <c r="D40" s="47"/>
      <c r="E40" s="48"/>
      <c r="F40" s="6" t="s">
        <v>23</v>
      </c>
      <c r="G40" s="23" t="s">
        <v>7</v>
      </c>
      <c r="H40" s="6" t="s">
        <v>59</v>
      </c>
      <c r="I40" s="6" t="s">
        <v>156</v>
      </c>
      <c r="J40" s="19" t="s">
        <v>60</v>
      </c>
      <c r="K40" s="18" t="s">
        <v>62</v>
      </c>
      <c r="L40" s="6" t="s">
        <v>7</v>
      </c>
      <c r="M40" s="21" t="s">
        <v>40</v>
      </c>
      <c r="N40" s="8"/>
      <c r="O40" s="182" t="s">
        <v>63</v>
      </c>
    </row>
    <row r="41" spans="1:27" hidden="1" x14ac:dyDescent="0.2">
      <c r="A41" s="152" t="s">
        <v>90</v>
      </c>
      <c r="B41" s="152" t="s">
        <v>248</v>
      </c>
      <c r="C41" s="153">
        <f>I5+I6</f>
        <v>3523.2</v>
      </c>
      <c r="D41" s="152" t="s">
        <v>10</v>
      </c>
      <c r="E41" s="164"/>
      <c r="F41" s="152">
        <v>2.2999999999999998</v>
      </c>
      <c r="G41" s="222">
        <f>F41*C41</f>
        <v>8103.3599999999988</v>
      </c>
      <c r="H41" s="221">
        <v>24</v>
      </c>
      <c r="I41" s="221">
        <v>8</v>
      </c>
      <c r="J41" s="20">
        <v>20</v>
      </c>
      <c r="K41" s="29">
        <f>IF(N41="Road Rigid &gt; 17t",0.00122,0.0012)</f>
        <v>1.1999999999999999E-3</v>
      </c>
      <c r="L41" s="221">
        <f>J41*M41*K41*(1+O41/100)</f>
        <v>21.167999999999999</v>
      </c>
      <c r="M41" s="221">
        <f>IF($M$40&lt;&gt;0,ROUNDUP(C41/I41,0),ROUNDUP(G41/H41,0))</f>
        <v>441</v>
      </c>
      <c r="N41" s="221" t="s">
        <v>65</v>
      </c>
      <c r="O41" s="221">
        <v>100</v>
      </c>
    </row>
    <row r="42" spans="1:27" hidden="1" x14ac:dyDescent="0.2">
      <c r="A42" s="152"/>
      <c r="B42" s="152" t="s">
        <v>8</v>
      </c>
      <c r="C42" s="153">
        <f>I7</f>
        <v>233</v>
      </c>
      <c r="D42" s="152" t="s">
        <v>11</v>
      </c>
      <c r="E42" s="164"/>
      <c r="F42" s="152" t="s">
        <v>25</v>
      </c>
      <c r="G42" s="13">
        <f>C42</f>
        <v>233</v>
      </c>
      <c r="H42" s="221">
        <v>25</v>
      </c>
      <c r="I42" s="221">
        <f>IF(N42="Road Rigid &gt; 17t",7.5,15)</f>
        <v>15</v>
      </c>
      <c r="J42" s="20">
        <v>300</v>
      </c>
      <c r="K42" s="29">
        <f t="shared" ref="K42:K45" si="4">IF(N42="Road Rigid &gt; 17t",0.00122,0.0012)</f>
        <v>1.1999999999999999E-3</v>
      </c>
      <c r="L42" s="221">
        <f>J42*M42*K42*(1+O42/100)</f>
        <v>11.52</v>
      </c>
      <c r="M42" s="221">
        <f>IF($M$40&lt;&gt;0,ROUNDUP(G42/I42,0),ROUNDUP(G42/H42,0))</f>
        <v>16</v>
      </c>
      <c r="N42" s="221" t="s">
        <v>65</v>
      </c>
      <c r="O42" s="221">
        <v>100</v>
      </c>
    </row>
    <row r="43" spans="1:27" hidden="1" x14ac:dyDescent="0.2">
      <c r="A43" s="152"/>
      <c r="B43" s="152" t="s">
        <v>188</v>
      </c>
      <c r="C43" s="153">
        <f>I8</f>
        <v>18</v>
      </c>
      <c r="D43" s="152" t="s">
        <v>11</v>
      </c>
      <c r="E43" s="164"/>
      <c r="F43" s="152"/>
      <c r="G43" s="13">
        <f t="shared" ref="G43:G44" si="5">C43</f>
        <v>18</v>
      </c>
      <c r="H43" s="221">
        <v>25</v>
      </c>
      <c r="I43" s="221">
        <f>IF(N43="Road Rigid &gt; 17t",7.5,15)</f>
        <v>15</v>
      </c>
      <c r="J43" s="20">
        <v>300</v>
      </c>
      <c r="K43" s="29">
        <f t="shared" si="4"/>
        <v>1.1999999999999999E-3</v>
      </c>
      <c r="L43" s="221">
        <f>J43*M43*K43*(1+O43/100)</f>
        <v>1.44</v>
      </c>
      <c r="M43" s="221">
        <f>IF($M$40&lt;&gt;0,ROUNDUP(G43/I43,0),ROUNDUP(G43/H43,0))</f>
        <v>2</v>
      </c>
      <c r="N43" s="221" t="s">
        <v>65</v>
      </c>
      <c r="O43" s="221">
        <v>100</v>
      </c>
    </row>
    <row r="44" spans="1:27" hidden="1" x14ac:dyDescent="0.2">
      <c r="A44" s="152"/>
      <c r="B44" s="152" t="s">
        <v>189</v>
      </c>
      <c r="C44" s="153">
        <f>I9</f>
        <v>63.932000000000002</v>
      </c>
      <c r="D44" s="152" t="s">
        <v>11</v>
      </c>
      <c r="E44" s="164"/>
      <c r="F44" s="152"/>
      <c r="G44" s="13">
        <f t="shared" si="5"/>
        <v>63.932000000000002</v>
      </c>
      <c r="H44" s="221">
        <v>25</v>
      </c>
      <c r="I44" s="221">
        <f>IF(N44="Road Rigid &gt; 17t",7.5,15)</f>
        <v>15</v>
      </c>
      <c r="J44" s="20">
        <v>20</v>
      </c>
      <c r="K44" s="29">
        <f t="shared" si="4"/>
        <v>1.1999999999999999E-3</v>
      </c>
      <c r="L44" s="221">
        <f>J44*M44*K44*(1+O44/100)</f>
        <v>0.24</v>
      </c>
      <c r="M44" s="221">
        <f>IF($M$40&lt;&gt;0,ROUNDUP(G44/I44,0),ROUNDUP(G44/H44,0))</f>
        <v>5</v>
      </c>
      <c r="N44" s="221" t="s">
        <v>65</v>
      </c>
      <c r="O44" s="221">
        <v>100</v>
      </c>
    </row>
    <row r="45" spans="1:27" hidden="1" x14ac:dyDescent="0.2">
      <c r="A45" s="152"/>
      <c r="B45" s="152" t="s">
        <v>208</v>
      </c>
      <c r="C45" s="199">
        <f>C157+C158+C159</f>
        <v>14437.125</v>
      </c>
      <c r="D45" s="152" t="s">
        <v>70</v>
      </c>
      <c r="E45" s="164"/>
      <c r="F45" s="152"/>
      <c r="G45" s="222">
        <f>C45</f>
        <v>14437.125</v>
      </c>
      <c r="H45" s="221">
        <v>25</v>
      </c>
      <c r="I45" s="221">
        <v>800</v>
      </c>
      <c r="J45" s="20">
        <v>10</v>
      </c>
      <c r="K45" s="29">
        <f t="shared" si="4"/>
        <v>1.2199999999999999E-3</v>
      </c>
      <c r="L45" s="221">
        <f>J45*M45*K45*(1+O45/100)</f>
        <v>0.46359999999999996</v>
      </c>
      <c r="M45" s="221">
        <f>IF($M$40&lt;&gt;0,ROUNDUP(G45/I45,0),ROUNDUP(G45/H45,0))</f>
        <v>19</v>
      </c>
      <c r="N45" s="221" t="s">
        <v>61</v>
      </c>
      <c r="O45" s="221">
        <v>100</v>
      </c>
    </row>
    <row r="46" spans="1:27" ht="15" hidden="1" thickBot="1" x14ac:dyDescent="0.25">
      <c r="A46" s="39"/>
      <c r="B46" s="39"/>
      <c r="C46" s="39"/>
      <c r="D46" s="39"/>
      <c r="E46" s="40"/>
      <c r="L46" s="36">
        <f>SUM(L41:L45)</f>
        <v>34.831600000000002</v>
      </c>
      <c r="M46" s="36">
        <f>SUM(M41:M45)</f>
        <v>483</v>
      </c>
      <c r="N46" s="221"/>
    </row>
    <row r="47" spans="1:27" hidden="1" x14ac:dyDescent="0.2">
      <c r="A47" s="39"/>
      <c r="B47" s="39"/>
      <c r="C47" s="39"/>
      <c r="D47" s="39"/>
      <c r="E47" s="40"/>
      <c r="N47" s="221"/>
    </row>
    <row r="48" spans="1:27" hidden="1" x14ac:dyDescent="0.2">
      <c r="A48" s="39"/>
      <c r="B48" s="39"/>
      <c r="C48" s="39"/>
      <c r="D48" s="39"/>
      <c r="E48" s="40"/>
      <c r="N48" s="221"/>
    </row>
    <row r="49" spans="1:15" hidden="1" x14ac:dyDescent="0.2">
      <c r="A49" s="39" t="s">
        <v>91</v>
      </c>
      <c r="B49" s="39" t="s">
        <v>51</v>
      </c>
      <c r="C49" s="39">
        <f>C13</f>
        <v>0</v>
      </c>
      <c r="D49" s="39" t="s">
        <v>10</v>
      </c>
      <c r="E49" s="40" t="s">
        <v>113</v>
      </c>
      <c r="F49" s="39">
        <v>2.2999999999999998</v>
      </c>
      <c r="G49" s="39">
        <f>F49*C49</f>
        <v>0</v>
      </c>
      <c r="H49" s="39">
        <v>24</v>
      </c>
      <c r="I49" s="39">
        <v>8</v>
      </c>
      <c r="J49" s="157">
        <v>20</v>
      </c>
      <c r="K49" s="165">
        <f t="shared" ref="K49:K50" si="6">IF(N49="Road Rigid &gt; 17t",0.00122,0.0012)</f>
        <v>1.1999999999999999E-3</v>
      </c>
      <c r="L49" s="39">
        <f>J49*M49*K49*(1+O49/100)</f>
        <v>0</v>
      </c>
      <c r="M49" s="39">
        <f>IF($M$40&lt;&gt;0,ROUNDUP(C49/I49,0),ROUNDUP(G49/H49,0))</f>
        <v>0</v>
      </c>
      <c r="N49" s="39" t="s">
        <v>65</v>
      </c>
      <c r="O49" s="39">
        <v>100</v>
      </c>
    </row>
    <row r="50" spans="1:15" hidden="1" x14ac:dyDescent="0.2">
      <c r="A50" s="39"/>
      <c r="B50" s="39" t="s">
        <v>67</v>
      </c>
      <c r="C50" s="49">
        <f>I14+I15</f>
        <v>0</v>
      </c>
      <c r="D50" s="39" t="s">
        <v>11</v>
      </c>
      <c r="E50" s="40" t="s">
        <v>114</v>
      </c>
      <c r="F50" s="39" t="s">
        <v>25</v>
      </c>
      <c r="G50" s="49">
        <f>C50</f>
        <v>0</v>
      </c>
      <c r="H50" s="39">
        <v>25</v>
      </c>
      <c r="I50" s="39">
        <f>IF(N50="Road Rigid &gt; 17t",7.5,15)</f>
        <v>15</v>
      </c>
      <c r="J50" s="157">
        <v>300</v>
      </c>
      <c r="K50" s="165">
        <f t="shared" si="6"/>
        <v>1.1999999999999999E-3</v>
      </c>
      <c r="L50" s="39">
        <f>J50*M50*K50*(1+O50/100)</f>
        <v>0</v>
      </c>
      <c r="M50" s="39">
        <f>IF($M$40&lt;&gt;0,ROUNDUP(G50/I50,0),ROUNDUP(G50/H50,0))</f>
        <v>0</v>
      </c>
      <c r="N50" s="39" t="s">
        <v>65</v>
      </c>
      <c r="O50" s="39">
        <v>100</v>
      </c>
    </row>
    <row r="51" spans="1:15" hidden="1" x14ac:dyDescent="0.2">
      <c r="A51" s="39"/>
      <c r="B51" s="39" t="s">
        <v>52</v>
      </c>
      <c r="C51" s="49">
        <f>I16</f>
        <v>0</v>
      </c>
      <c r="D51" s="39" t="s">
        <v>11</v>
      </c>
      <c r="E51" s="40"/>
      <c r="F51" s="39" t="s">
        <v>25</v>
      </c>
      <c r="G51" s="49">
        <f t="shared" ref="G51" si="7">C51</f>
        <v>0</v>
      </c>
      <c r="H51" s="39">
        <v>25</v>
      </c>
      <c r="I51" s="39">
        <f>IF(N51="Road Rigid &gt; 17t",7.5,15)</f>
        <v>15</v>
      </c>
      <c r="J51" s="157">
        <v>20</v>
      </c>
      <c r="K51" s="165">
        <f>IF(N51="Road Rigid &gt; 17t",0.00122,0.0012)</f>
        <v>1.1999999999999999E-3</v>
      </c>
      <c r="L51" s="39">
        <f>J51*M51*K51*(1+O51/100)</f>
        <v>0</v>
      </c>
      <c r="M51" s="39">
        <f>IF($M$40&lt;&gt;0,ROUNDUP(G51/I51,0),ROUNDUP(G51/H51,0))</f>
        <v>0</v>
      </c>
      <c r="N51" s="39" t="s">
        <v>65</v>
      </c>
      <c r="O51" s="39">
        <v>100</v>
      </c>
    </row>
    <row r="52" spans="1:15" ht="15" hidden="1" thickBot="1" x14ac:dyDescent="0.25">
      <c r="A52" s="39"/>
      <c r="B52" s="39"/>
      <c r="C52" s="49"/>
      <c r="D52" s="39"/>
      <c r="E52" s="40"/>
      <c r="F52" s="39"/>
      <c r="G52" s="49"/>
      <c r="H52" s="39"/>
      <c r="I52" s="39"/>
      <c r="J52" s="157"/>
      <c r="K52" s="165"/>
      <c r="L52" s="160">
        <f>SUM(L49:L51)</f>
        <v>0</v>
      </c>
      <c r="M52" s="160">
        <f>SUM(M49:M51)</f>
        <v>0</v>
      </c>
      <c r="N52" s="39"/>
      <c r="O52" s="39"/>
    </row>
    <row r="53" spans="1:15" hidden="1" x14ac:dyDescent="0.2">
      <c r="A53" s="39"/>
      <c r="B53" s="39"/>
      <c r="C53" s="49"/>
      <c r="D53" s="39"/>
      <c r="E53" s="40"/>
      <c r="G53" s="13"/>
      <c r="K53" s="29"/>
      <c r="N53" s="221"/>
    </row>
    <row r="54" spans="1:15" x14ac:dyDescent="0.2">
      <c r="A54" s="39"/>
      <c r="B54" s="39"/>
      <c r="C54" s="39"/>
      <c r="D54" s="39"/>
      <c r="E54" s="40"/>
      <c r="N54" s="221"/>
    </row>
    <row r="55" spans="1:15" x14ac:dyDescent="0.2">
      <c r="A55" s="147"/>
      <c r="B55" s="147"/>
      <c r="C55" s="156"/>
      <c r="D55" s="147"/>
      <c r="E55" s="147"/>
      <c r="F55" s="147"/>
      <c r="G55" s="222"/>
      <c r="K55" s="29"/>
      <c r="N55" s="221"/>
    </row>
    <row r="56" spans="1:15" x14ac:dyDescent="0.2">
      <c r="A56" s="147"/>
      <c r="B56" s="147"/>
      <c r="C56" s="147"/>
      <c r="D56" s="147"/>
      <c r="E56" s="147"/>
      <c r="F56" s="147"/>
      <c r="K56" s="29"/>
      <c r="N56" s="221"/>
    </row>
    <row r="57" spans="1:15" x14ac:dyDescent="0.2">
      <c r="A57" s="147"/>
      <c r="B57" s="147" t="s">
        <v>188</v>
      </c>
      <c r="C57" s="147">
        <f>I21+I22</f>
        <v>20</v>
      </c>
      <c r="D57" s="147" t="s">
        <v>11</v>
      </c>
      <c r="E57" s="149"/>
      <c r="F57" s="147"/>
      <c r="G57" s="13">
        <f t="shared" ref="G57:G58" si="8">C57</f>
        <v>20</v>
      </c>
      <c r="H57" s="221">
        <v>25</v>
      </c>
      <c r="I57" s="221">
        <f>IF(N57="Road Rigid &gt; 17t",7.5,15)</f>
        <v>15</v>
      </c>
      <c r="J57" s="20">
        <v>300</v>
      </c>
      <c r="K57" s="29">
        <f>IF(N57="Road Rigid &gt; 17t",0.00098,0.00094)</f>
        <v>9.3999999999999997E-4</v>
      </c>
      <c r="L57" s="221">
        <f t="shared" ref="L57:L60" si="9">J57*M57*K57*(1+O57/100)</f>
        <v>1.1279999999999999</v>
      </c>
      <c r="M57" s="221">
        <f t="shared" ref="M57:M60" si="10">IF($M$40&lt;&gt;0,ROUNDUP(G57/I57,0),ROUNDUP(G57/H57,0))</f>
        <v>2</v>
      </c>
      <c r="N57" s="221" t="s">
        <v>65</v>
      </c>
      <c r="O57" s="221">
        <v>100</v>
      </c>
    </row>
    <row r="58" spans="1:15" x14ac:dyDescent="0.2">
      <c r="A58" s="147"/>
      <c r="B58" s="147" t="s">
        <v>189</v>
      </c>
      <c r="C58" s="156">
        <f>I23</f>
        <v>72.650000000000006</v>
      </c>
      <c r="D58" s="147" t="s">
        <v>11</v>
      </c>
      <c r="E58" s="149"/>
      <c r="F58" s="147"/>
      <c r="G58" s="13">
        <f t="shared" si="8"/>
        <v>72.650000000000006</v>
      </c>
      <c r="H58" s="221">
        <v>25</v>
      </c>
      <c r="I58" s="221">
        <f>IF(N58="Road Rigid &gt; 17t",7.5,15)</f>
        <v>15</v>
      </c>
      <c r="J58" s="20">
        <v>20</v>
      </c>
      <c r="K58" s="29">
        <f>IF(N58="Road Rigid &gt; 17t",0.00098,0.00094)</f>
        <v>9.3999999999999997E-4</v>
      </c>
      <c r="L58" s="221">
        <f t="shared" si="9"/>
        <v>0.188</v>
      </c>
      <c r="M58" s="221">
        <f t="shared" si="10"/>
        <v>5</v>
      </c>
      <c r="N58" s="221" t="s">
        <v>65</v>
      </c>
      <c r="O58" s="221">
        <v>100</v>
      </c>
    </row>
    <row r="59" spans="1:15" x14ac:dyDescent="0.2">
      <c r="A59" s="147"/>
      <c r="B59" s="147"/>
      <c r="C59" s="156"/>
      <c r="D59" s="147"/>
      <c r="E59" s="149"/>
      <c r="F59" s="147"/>
      <c r="G59" s="13"/>
      <c r="K59" s="29"/>
      <c r="N59" s="221"/>
    </row>
    <row r="60" spans="1:15" ht="15" thickBot="1" x14ac:dyDescent="0.25">
      <c r="A60" s="147"/>
      <c r="B60" s="147" t="s">
        <v>208</v>
      </c>
      <c r="C60" s="198">
        <f>C169</f>
        <v>5812</v>
      </c>
      <c r="D60" s="147" t="s">
        <v>70</v>
      </c>
      <c r="E60" s="149"/>
      <c r="F60" s="147"/>
      <c r="G60" s="222">
        <f>C60</f>
        <v>5812</v>
      </c>
      <c r="H60" s="221">
        <v>25</v>
      </c>
      <c r="I60" s="221">
        <v>800</v>
      </c>
      <c r="J60" s="20">
        <v>10</v>
      </c>
      <c r="K60" s="29">
        <f>IF(N60="Road Rigid &gt; 17t",0.00098,0.00094)</f>
        <v>9.7999999999999997E-4</v>
      </c>
      <c r="L60" s="221">
        <f t="shared" si="9"/>
        <v>0.15679999999999999</v>
      </c>
      <c r="M60" s="221">
        <f t="shared" si="10"/>
        <v>8</v>
      </c>
      <c r="N60" s="221" t="s">
        <v>61</v>
      </c>
      <c r="O60" s="221">
        <v>100</v>
      </c>
    </row>
    <row r="61" spans="1:15" ht="15" thickBot="1" x14ac:dyDescent="0.25">
      <c r="A61" s="39"/>
      <c r="B61" s="39"/>
      <c r="C61" s="39"/>
      <c r="D61" s="39"/>
      <c r="E61" s="39"/>
      <c r="K61" s="29"/>
      <c r="L61" s="36">
        <f>SUM(L55:L60)</f>
        <v>1.4727999999999999</v>
      </c>
      <c r="M61" s="36">
        <f>SUM(M55:M60)</f>
        <v>15</v>
      </c>
      <c r="N61" s="221"/>
    </row>
    <row r="62" spans="1:15" x14ac:dyDescent="0.2">
      <c r="A62" s="39"/>
      <c r="B62" s="39"/>
      <c r="C62" s="39"/>
      <c r="D62" s="39"/>
      <c r="E62" s="39"/>
      <c r="K62" s="29"/>
      <c r="N62" s="221"/>
    </row>
    <row r="63" spans="1:15" hidden="1" x14ac:dyDescent="0.2">
      <c r="A63" s="39"/>
      <c r="B63" s="39"/>
      <c r="C63" s="39"/>
      <c r="D63" s="39"/>
      <c r="E63" s="39"/>
      <c r="K63" s="29"/>
      <c r="N63" s="221"/>
    </row>
    <row r="64" spans="1:15" hidden="1" x14ac:dyDescent="0.2">
      <c r="A64" s="39" t="s">
        <v>93</v>
      </c>
      <c r="B64" s="39" t="s">
        <v>68</v>
      </c>
      <c r="C64" s="39">
        <f>I28</f>
        <v>0</v>
      </c>
      <c r="D64" s="39" t="s">
        <v>11</v>
      </c>
      <c r="E64" s="39"/>
      <c r="F64" s="39" t="s">
        <v>25</v>
      </c>
      <c r="G64" s="39">
        <f>C64</f>
        <v>0</v>
      </c>
      <c r="H64" s="39">
        <v>25</v>
      </c>
      <c r="I64" s="39">
        <f>IF(N64="Road Rigid &gt; 17t",7.5,15)</f>
        <v>15</v>
      </c>
      <c r="J64" s="157">
        <v>20</v>
      </c>
      <c r="K64" s="165">
        <f>IF(N64="Road Rigid &gt; 17t",0.00122,0.0012)</f>
        <v>1.1999999999999999E-3</v>
      </c>
      <c r="L64" s="39">
        <f>J64*M64*K64*(1+O64/100)</f>
        <v>0</v>
      </c>
      <c r="M64" s="39">
        <f>IF($M$40&lt;&gt;0,ROUNDUP(G64/I64,0),ROUNDUP(G64/H64,0))</f>
        <v>0</v>
      </c>
      <c r="N64" s="39" t="s">
        <v>65</v>
      </c>
      <c r="O64" s="39">
        <v>100</v>
      </c>
    </row>
    <row r="65" spans="1:15" hidden="1" x14ac:dyDescent="0.2">
      <c r="A65" s="39"/>
      <c r="B65" s="39" t="s">
        <v>208</v>
      </c>
      <c r="C65" s="50">
        <v>0</v>
      </c>
      <c r="D65" s="39" t="s">
        <v>70</v>
      </c>
      <c r="E65" s="40"/>
      <c r="F65" s="39"/>
      <c r="G65" s="49">
        <f>C65</f>
        <v>0</v>
      </c>
      <c r="H65" s="39">
        <v>25</v>
      </c>
      <c r="I65" s="39">
        <v>800</v>
      </c>
      <c r="J65" s="157">
        <v>0</v>
      </c>
      <c r="K65" s="165">
        <f t="shared" ref="K65" si="11">IF(N65="Road Rigid &gt; 17t",0.00122,0.0012)</f>
        <v>1.2199999999999999E-3</v>
      </c>
      <c r="L65" s="39">
        <f>J65*M65*K65*(1+O65/100)</f>
        <v>0</v>
      </c>
      <c r="M65" s="39">
        <f>IF($M$40&lt;&gt;0,ROUNDUP(G65/I65,0),ROUNDUP(G65/H65,0))</f>
        <v>0</v>
      </c>
      <c r="N65" s="39" t="s">
        <v>61</v>
      </c>
      <c r="O65" s="39">
        <v>100</v>
      </c>
    </row>
    <row r="66" spans="1:15" ht="15" hidden="1" thickBot="1" x14ac:dyDescent="0.25">
      <c r="A66" s="39"/>
      <c r="B66" s="39"/>
      <c r="C66" s="39"/>
      <c r="D66" s="39"/>
      <c r="E66" s="40"/>
      <c r="F66" s="39"/>
      <c r="G66" s="39"/>
      <c r="H66" s="39"/>
      <c r="I66" s="39"/>
      <c r="J66" s="157"/>
      <c r="K66" s="39"/>
      <c r="L66" s="160">
        <f>SUM(L64:L65)</f>
        <v>0</v>
      </c>
      <c r="M66" s="160">
        <f>SUM(M64:M65)</f>
        <v>0</v>
      </c>
      <c r="N66" s="39"/>
      <c r="O66" s="39"/>
    </row>
    <row r="67" spans="1:15" hidden="1" x14ac:dyDescent="0.2">
      <c r="A67" s="39"/>
      <c r="B67" s="39"/>
      <c r="C67" s="39"/>
      <c r="D67" s="39"/>
      <c r="E67" s="40"/>
      <c r="F67" s="39"/>
      <c r="G67" s="39"/>
      <c r="H67" s="39"/>
      <c r="I67" s="39"/>
      <c r="J67" s="157"/>
      <c r="K67" s="39"/>
      <c r="L67" s="39"/>
      <c r="M67" s="39"/>
      <c r="N67" s="39"/>
      <c r="O67" s="39"/>
    </row>
    <row r="68" spans="1:15" hidden="1" x14ac:dyDescent="0.2">
      <c r="A68" s="39"/>
      <c r="B68" s="39"/>
      <c r="C68" s="39"/>
      <c r="D68" s="39"/>
      <c r="E68" s="40"/>
      <c r="F68" s="39"/>
      <c r="G68" s="39"/>
      <c r="H68" s="39"/>
      <c r="I68" s="39"/>
      <c r="J68" s="157"/>
      <c r="K68" s="39"/>
      <c r="L68" s="39"/>
      <c r="M68" s="39"/>
      <c r="N68" s="39"/>
      <c r="O68" s="39"/>
    </row>
    <row r="69" spans="1:15" hidden="1" x14ac:dyDescent="0.2">
      <c r="A69" s="39" t="s">
        <v>94</v>
      </c>
      <c r="B69" s="39" t="s">
        <v>43</v>
      </c>
      <c r="C69" s="39">
        <f>I32</f>
        <v>0</v>
      </c>
      <c r="D69" s="39" t="s">
        <v>11</v>
      </c>
      <c r="E69" s="39"/>
      <c r="F69" s="39" t="s">
        <v>25</v>
      </c>
      <c r="G69" s="39">
        <f>C69</f>
        <v>0</v>
      </c>
      <c r="H69" s="39">
        <v>31</v>
      </c>
      <c r="I69" s="39">
        <f>IF(N69="Road Rigid &gt; 17t",7.5,15)</f>
        <v>15</v>
      </c>
      <c r="J69" s="157">
        <v>20</v>
      </c>
      <c r="K69" s="165">
        <f>IF(N69="Road Rigid &gt; 17t",0.00122,0.0012)</f>
        <v>1.1999999999999999E-3</v>
      </c>
      <c r="L69" s="39">
        <f>J69*M69*K69*(1+O69/100)</f>
        <v>0</v>
      </c>
      <c r="M69" s="39">
        <f>IF($M$40&lt;&gt;0,ROUNDUP(G69/I69,0),ROUNDUP(G69/H69,0))</f>
        <v>0</v>
      </c>
      <c r="N69" s="39" t="s">
        <v>65</v>
      </c>
      <c r="O69" s="39">
        <v>100</v>
      </c>
    </row>
    <row r="70" spans="1:15" hidden="1" x14ac:dyDescent="0.2">
      <c r="A70" s="39"/>
      <c r="B70" s="39" t="s">
        <v>44</v>
      </c>
      <c r="C70" s="39">
        <f>I33</f>
        <v>0</v>
      </c>
      <c r="D70" s="39" t="s">
        <v>11</v>
      </c>
      <c r="E70" s="39"/>
      <c r="F70" s="39" t="s">
        <v>25</v>
      </c>
      <c r="G70" s="39">
        <f>C70</f>
        <v>0</v>
      </c>
      <c r="H70" s="39">
        <v>32</v>
      </c>
      <c r="I70" s="39">
        <f>IF(N70="Road Rigid &gt; 17t",7.5,15)</f>
        <v>15</v>
      </c>
      <c r="J70" s="157">
        <v>300</v>
      </c>
      <c r="K70" s="165">
        <f>IF(N70="Road Rigid &gt; 17t",0.00122,0.0012)</f>
        <v>1.1999999999999999E-3</v>
      </c>
      <c r="L70" s="39">
        <f>J70*M70*K70*(1+O70/100)</f>
        <v>0</v>
      </c>
      <c r="M70" s="39">
        <f>IF($M$40&lt;&gt;0,ROUNDUP(G70/I70,0),ROUNDUP(G70/H70,0))</f>
        <v>0</v>
      </c>
      <c r="N70" s="39" t="s">
        <v>65</v>
      </c>
      <c r="O70" s="39">
        <v>100</v>
      </c>
    </row>
    <row r="71" spans="1:15" hidden="1" x14ac:dyDescent="0.2">
      <c r="A71" s="39"/>
      <c r="B71" s="39" t="s">
        <v>45</v>
      </c>
      <c r="C71" s="49">
        <f>I34</f>
        <v>0</v>
      </c>
      <c r="D71" s="39" t="s">
        <v>11</v>
      </c>
      <c r="E71" s="39"/>
      <c r="F71" s="39" t="s">
        <v>25</v>
      </c>
      <c r="G71" s="39">
        <f>C71</f>
        <v>0</v>
      </c>
      <c r="H71" s="39">
        <v>33</v>
      </c>
      <c r="I71" s="39">
        <f>IF(N71="Road Rigid &gt; 17t",7.5,15)</f>
        <v>15</v>
      </c>
      <c r="J71" s="157">
        <v>300</v>
      </c>
      <c r="K71" s="165">
        <f>IF(N71="Road Rigid &gt; 17t",0.00122,0.0012)</f>
        <v>1.1999999999999999E-3</v>
      </c>
      <c r="L71" s="39">
        <f>J71*M71*K71*(1+O71/100)</f>
        <v>0</v>
      </c>
      <c r="M71" s="39">
        <f>IF($M$40&lt;&gt;0,ROUNDUP(G71/I71,0),ROUNDUP(G71/H71,0))</f>
        <v>0</v>
      </c>
      <c r="N71" s="39" t="s">
        <v>65</v>
      </c>
      <c r="O71" s="39">
        <v>100</v>
      </c>
    </row>
    <row r="72" spans="1:15" hidden="1" x14ac:dyDescent="0.2">
      <c r="A72" s="39"/>
      <c r="B72" s="39" t="s">
        <v>208</v>
      </c>
      <c r="C72" s="50">
        <v>0</v>
      </c>
      <c r="D72" s="39" t="s">
        <v>70</v>
      </c>
      <c r="E72" s="40"/>
      <c r="F72" s="39"/>
      <c r="G72" s="49">
        <f>C72</f>
        <v>0</v>
      </c>
      <c r="H72" s="39">
        <v>25</v>
      </c>
      <c r="I72" s="39">
        <v>800</v>
      </c>
      <c r="J72" s="157">
        <v>50</v>
      </c>
      <c r="K72" s="165">
        <f t="shared" ref="K72" si="12">IF(N72="Road Rigid &gt; 17t",0.00122,0.0012)</f>
        <v>1.2199999999999999E-3</v>
      </c>
      <c r="L72" s="39">
        <f>J72*M72*K72*(1+O72/100)</f>
        <v>0</v>
      </c>
      <c r="M72" s="39">
        <f>IF($M$40&lt;&gt;0,ROUNDUP(G72/I72,0),ROUNDUP(G72/H72,0))</f>
        <v>0</v>
      </c>
      <c r="N72" s="39" t="s">
        <v>61</v>
      </c>
      <c r="O72" s="39">
        <v>100</v>
      </c>
    </row>
    <row r="73" spans="1:15" ht="15" hidden="1" thickBot="1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157"/>
      <c r="K73" s="165"/>
      <c r="L73" s="160">
        <f>SUM(L69:L72)</f>
        <v>0</v>
      </c>
      <c r="M73" s="160">
        <f>SUM(M69:M72)</f>
        <v>0</v>
      </c>
      <c r="N73" s="39"/>
      <c r="O73" s="39"/>
    </row>
    <row r="74" spans="1:15" hidden="1" x14ac:dyDescent="0.2">
      <c r="A74" s="39"/>
      <c r="B74" s="39"/>
      <c r="C74" s="39"/>
      <c r="D74" s="39"/>
      <c r="E74" s="39"/>
      <c r="K74" s="29"/>
      <c r="N74" s="221"/>
    </row>
    <row r="75" spans="1:15" hidden="1" x14ac:dyDescent="0.2">
      <c r="B75" s="39" t="s">
        <v>139</v>
      </c>
      <c r="C75" s="39">
        <v>0</v>
      </c>
      <c r="D75" s="39" t="s">
        <v>10</v>
      </c>
      <c r="E75" s="39" t="s">
        <v>138</v>
      </c>
      <c r="F75" s="39" t="s">
        <v>125</v>
      </c>
      <c r="G75" s="39">
        <v>0</v>
      </c>
      <c r="H75" s="39"/>
      <c r="I75" s="39">
        <v>15</v>
      </c>
      <c r="J75" s="157">
        <v>20</v>
      </c>
      <c r="K75" s="29">
        <f>IF(N75="Road Rigid &gt; 17t",0.00122,0.0012)</f>
        <v>1.2199999999999999E-3</v>
      </c>
      <c r="L75" s="221">
        <f>J75*M75*K75*(1+O75/100)</f>
        <v>0</v>
      </c>
      <c r="M75" s="221">
        <f>IF($M$40&lt;&gt;0,ROUNDUP(G75/I75,0),ROUNDUP(G75/H75,0))</f>
        <v>0</v>
      </c>
      <c r="N75" s="221" t="s">
        <v>61</v>
      </c>
      <c r="O75" s="221">
        <v>100</v>
      </c>
    </row>
    <row r="76" spans="1:15" hidden="1" x14ac:dyDescent="0.2">
      <c r="B76" s="39"/>
      <c r="C76" s="39"/>
      <c r="D76" s="39"/>
      <c r="E76" s="39"/>
      <c r="F76" s="39" t="s">
        <v>141</v>
      </c>
      <c r="G76" s="39">
        <v>0</v>
      </c>
      <c r="H76" s="39"/>
      <c r="I76" s="39">
        <v>15</v>
      </c>
      <c r="J76" s="157">
        <v>300</v>
      </c>
      <c r="K76" s="29">
        <f t="shared" ref="K76:K78" si="13">IF(N76="Road Rigid &gt; 17t",0.00122,0.0012)</f>
        <v>1.2199999999999999E-3</v>
      </c>
      <c r="L76" s="221">
        <f>J76*M76*K76*(1+O76/100)</f>
        <v>0</v>
      </c>
      <c r="M76" s="221">
        <f>IF($M$40&lt;&gt;0,ROUNDUP(G76/I76,0),ROUNDUP(G76/H76,0))</f>
        <v>0</v>
      </c>
      <c r="N76" s="221" t="s">
        <v>61</v>
      </c>
      <c r="O76" s="221">
        <v>100</v>
      </c>
    </row>
    <row r="77" spans="1:15" hidden="1" x14ac:dyDescent="0.2">
      <c r="B77" s="39"/>
      <c r="C77" s="39"/>
      <c r="D77" s="39"/>
      <c r="E77" s="39"/>
      <c r="F77" s="39" t="s">
        <v>127</v>
      </c>
      <c r="G77" s="39">
        <v>0</v>
      </c>
      <c r="H77" s="39"/>
      <c r="I77" s="39">
        <v>15</v>
      </c>
      <c r="J77" s="157">
        <v>20</v>
      </c>
      <c r="K77" s="29">
        <f t="shared" si="13"/>
        <v>1.1999999999999999E-3</v>
      </c>
      <c r="L77" s="221">
        <f>J77*M77*K77*(1+O77/100)</f>
        <v>0</v>
      </c>
      <c r="M77" s="221">
        <f>IF($M$40&lt;&gt;0,ROUNDUP(G77/I77,0),ROUNDUP(G77/H77,0))</f>
        <v>0</v>
      </c>
      <c r="N77" s="221" t="s">
        <v>65</v>
      </c>
      <c r="O77" s="221">
        <v>100</v>
      </c>
    </row>
    <row r="78" spans="1:15" hidden="1" x14ac:dyDescent="0.2">
      <c r="B78" s="39"/>
      <c r="C78" s="39"/>
      <c r="D78" s="39"/>
      <c r="E78" s="39"/>
      <c r="F78" s="39" t="s">
        <v>142</v>
      </c>
      <c r="G78" s="39">
        <v>0</v>
      </c>
      <c r="H78" s="39"/>
      <c r="I78" s="39">
        <v>1</v>
      </c>
      <c r="J78" s="157">
        <v>0</v>
      </c>
      <c r="K78" s="29">
        <f t="shared" si="13"/>
        <v>1.1999999999999999E-3</v>
      </c>
      <c r="L78" s="221">
        <f>J78*M78*K78*(1+O78/100)</f>
        <v>0</v>
      </c>
      <c r="M78" s="221">
        <f>IF($M$40&lt;&gt;0,ROUNDUP(G78/I78,0),ROUNDUP(G78/H78,0))</f>
        <v>0</v>
      </c>
      <c r="N78" s="221" t="s">
        <v>65</v>
      </c>
      <c r="O78" s="221">
        <v>100</v>
      </c>
    </row>
    <row r="79" spans="1:15" ht="15" hidden="1" thickBot="1" x14ac:dyDescent="0.25">
      <c r="B79" s="39"/>
      <c r="C79" s="39"/>
      <c r="D79" s="39"/>
      <c r="E79" s="39"/>
      <c r="K79" s="29"/>
      <c r="L79" s="36">
        <f>SUM(L75:L78)</f>
        <v>0</v>
      </c>
      <c r="M79" s="36">
        <f>SUM(M75:M77)</f>
        <v>0</v>
      </c>
      <c r="N79" s="221"/>
    </row>
    <row r="80" spans="1:15" hidden="1" x14ac:dyDescent="0.2">
      <c r="B80" s="39"/>
      <c r="C80" s="39"/>
      <c r="D80" s="39"/>
      <c r="E80" s="39"/>
      <c r="K80" s="29"/>
      <c r="N80" s="221"/>
    </row>
    <row r="81" spans="1:30" hidden="1" x14ac:dyDescent="0.2">
      <c r="A81" s="39"/>
      <c r="B81" s="147" t="s">
        <v>140</v>
      </c>
      <c r="C81" s="147">
        <f>C5</f>
        <v>3444</v>
      </c>
      <c r="D81" s="147" t="s">
        <v>10</v>
      </c>
      <c r="E81" s="147" t="s">
        <v>138</v>
      </c>
      <c r="F81" s="221" t="s">
        <v>125</v>
      </c>
      <c r="G81" s="13">
        <f>(W18*$C$81)/1000</f>
        <v>1102.08</v>
      </c>
      <c r="I81" s="221">
        <v>15</v>
      </c>
      <c r="J81" s="20">
        <v>20</v>
      </c>
      <c r="K81" s="29">
        <f>IF(N81="Road Rigid &gt; 17t",0.00122,0.0012)</f>
        <v>1.2199999999999999E-3</v>
      </c>
      <c r="L81" s="221">
        <f>J81*M81*K81*(1+O81/100)</f>
        <v>3.6111999999999997</v>
      </c>
      <c r="M81" s="221">
        <f>IF($M$40&lt;&gt;0,ROUNDUP(G81/I81,0),ROUNDUP(G81/H81,0))</f>
        <v>74</v>
      </c>
      <c r="N81" s="221" t="s">
        <v>61</v>
      </c>
      <c r="O81" s="221">
        <v>100</v>
      </c>
    </row>
    <row r="82" spans="1:30" hidden="1" x14ac:dyDescent="0.2">
      <c r="A82" s="39"/>
      <c r="B82" s="147"/>
      <c r="C82" s="147"/>
      <c r="D82" s="147"/>
      <c r="E82" s="147"/>
      <c r="F82" s="221" t="s">
        <v>141</v>
      </c>
      <c r="G82" s="13">
        <f>(W19*$C$81)/1000</f>
        <v>275.52</v>
      </c>
      <c r="I82" s="221">
        <v>15</v>
      </c>
      <c r="J82" s="20">
        <v>300</v>
      </c>
      <c r="K82" s="29">
        <f t="shared" ref="K82:K84" si="14">IF(N82="Road Rigid &gt; 17t",0.00122,0.0012)</f>
        <v>1.2199999999999999E-3</v>
      </c>
      <c r="L82" s="221">
        <f>J82*M82*K82*(1+O82/100)</f>
        <v>13.907999999999999</v>
      </c>
      <c r="M82" s="221">
        <f>IF($M$40&lt;&gt;0,ROUNDUP(G82/I82,0),ROUNDUP(G82/H82,0))</f>
        <v>19</v>
      </c>
      <c r="N82" s="221" t="s">
        <v>61</v>
      </c>
      <c r="O82" s="221">
        <v>100</v>
      </c>
    </row>
    <row r="83" spans="1:30" hidden="1" x14ac:dyDescent="0.2">
      <c r="A83" s="39"/>
      <c r="B83" s="147"/>
      <c r="C83" s="147"/>
      <c r="D83" s="147"/>
      <c r="E83" s="147"/>
      <c r="F83" s="221" t="s">
        <v>127</v>
      </c>
      <c r="G83" s="13">
        <f>(W20*$C$81)/1000</f>
        <v>5854.8</v>
      </c>
      <c r="I83" s="221">
        <v>15</v>
      </c>
      <c r="J83" s="20">
        <v>20</v>
      </c>
      <c r="K83" s="29">
        <f t="shared" si="14"/>
        <v>1.1999999999999999E-3</v>
      </c>
      <c r="L83" s="221">
        <f>J83*M83*K83*(1+O83/100)</f>
        <v>18.767999999999997</v>
      </c>
      <c r="M83" s="221">
        <f>IF($M$40&lt;&gt;0,ROUNDUP(G83/I83,0),ROUNDUP(G83/H83,0))</f>
        <v>391</v>
      </c>
      <c r="N83" s="221" t="s">
        <v>65</v>
      </c>
      <c r="O83" s="221">
        <v>100</v>
      </c>
    </row>
    <row r="84" spans="1:30" hidden="1" x14ac:dyDescent="0.2">
      <c r="A84" s="39"/>
      <c r="B84" s="147"/>
      <c r="C84" s="147"/>
      <c r="D84" s="147"/>
      <c r="E84" s="147"/>
      <c r="F84" s="221" t="s">
        <v>142</v>
      </c>
      <c r="G84" s="13">
        <f>(W21*$C$81)/1000</f>
        <v>688.8</v>
      </c>
      <c r="I84" s="221">
        <v>1</v>
      </c>
      <c r="J84" s="20">
        <v>0</v>
      </c>
      <c r="K84" s="29">
        <f t="shared" si="14"/>
        <v>1.1999999999999999E-3</v>
      </c>
      <c r="L84" s="221">
        <f>J84*M84*K84*(1+O84/100)</f>
        <v>0</v>
      </c>
      <c r="M84" s="221">
        <f>IF($M$40&lt;&gt;0,ROUNDUP(G84/I84,0),ROUNDUP(G84/H84,0))</f>
        <v>689</v>
      </c>
      <c r="N84" s="221" t="s">
        <v>65</v>
      </c>
      <c r="O84" s="221">
        <v>100</v>
      </c>
    </row>
    <row r="85" spans="1:30" ht="15" hidden="1" thickBot="1" x14ac:dyDescent="0.25">
      <c r="A85" s="39"/>
      <c r="B85" s="39"/>
      <c r="C85" s="39"/>
      <c r="D85" s="39"/>
      <c r="E85" s="39"/>
      <c r="K85" s="29"/>
      <c r="L85" s="36">
        <f>SUM(L81:L84)</f>
        <v>36.287199999999999</v>
      </c>
      <c r="M85" s="36">
        <f>SUM(M81:M83)</f>
        <v>484</v>
      </c>
      <c r="N85" s="221"/>
    </row>
    <row r="86" spans="1:30" x14ac:dyDescent="0.2">
      <c r="A86" s="39"/>
      <c r="B86" s="39"/>
      <c r="C86" s="39"/>
      <c r="D86" s="39"/>
      <c r="E86" s="39"/>
      <c r="K86" s="29"/>
      <c r="L86" s="223"/>
      <c r="N86" s="221"/>
    </row>
    <row r="87" spans="1:30" hidden="1" x14ac:dyDescent="0.2">
      <c r="A87" s="39"/>
      <c r="B87" s="39" t="s">
        <v>16</v>
      </c>
      <c r="C87" s="39">
        <v>9500</v>
      </c>
      <c r="D87" s="39" t="s">
        <v>10</v>
      </c>
      <c r="E87" s="39" t="s">
        <v>138</v>
      </c>
      <c r="F87" s="39" t="s">
        <v>125</v>
      </c>
      <c r="G87" s="39">
        <v>0</v>
      </c>
      <c r="H87" s="39"/>
      <c r="I87" s="39">
        <v>15</v>
      </c>
      <c r="J87" s="157">
        <v>20</v>
      </c>
      <c r="K87" s="29">
        <f>IF(N87="Road Rigid &gt; 17t",0.00122,0.0012)</f>
        <v>1.2199999999999999E-3</v>
      </c>
      <c r="L87" s="221">
        <f>J87*M87*K87*(1+O87/100)</f>
        <v>0</v>
      </c>
      <c r="M87" s="221">
        <f>IF($M$40&lt;&gt;0,ROUNDUP(G87/I87,0),ROUNDUP(G87/H87,0))</f>
        <v>0</v>
      </c>
      <c r="N87" s="221" t="s">
        <v>61</v>
      </c>
      <c r="O87" s="221">
        <v>100</v>
      </c>
    </row>
    <row r="88" spans="1:30" hidden="1" x14ac:dyDescent="0.2">
      <c r="A88" s="39"/>
      <c r="B88" s="39"/>
      <c r="C88" s="39"/>
      <c r="D88" s="39"/>
      <c r="E88" s="39"/>
      <c r="F88" s="39" t="s">
        <v>141</v>
      </c>
      <c r="G88" s="39">
        <v>0</v>
      </c>
      <c r="H88" s="39"/>
      <c r="I88" s="39">
        <v>15</v>
      </c>
      <c r="J88" s="157">
        <v>300</v>
      </c>
      <c r="K88" s="29">
        <f t="shared" ref="K88:K90" si="15">IF(N88="Road Rigid &gt; 17t",0.00122,0.0012)</f>
        <v>1.2199999999999999E-3</v>
      </c>
      <c r="L88" s="221">
        <f>J88*M88*K88*(1+O88/100)</f>
        <v>0</v>
      </c>
      <c r="M88" s="221">
        <f>IF($M$40&lt;&gt;0,ROUNDUP(G88/I88,0),ROUNDUP(G88/H88,0))</f>
        <v>0</v>
      </c>
      <c r="N88" s="221" t="s">
        <v>61</v>
      </c>
      <c r="O88" s="221">
        <v>100</v>
      </c>
    </row>
    <row r="89" spans="1:30" hidden="1" x14ac:dyDescent="0.2">
      <c r="A89" s="39"/>
      <c r="B89" s="39"/>
      <c r="C89" s="39"/>
      <c r="D89" s="39"/>
      <c r="E89" s="39"/>
      <c r="F89" s="39" t="s">
        <v>127</v>
      </c>
      <c r="G89" s="39">
        <v>0</v>
      </c>
      <c r="H89" s="39"/>
      <c r="I89" s="39">
        <v>15</v>
      </c>
      <c r="J89" s="157">
        <v>20</v>
      </c>
      <c r="K89" s="29">
        <f t="shared" si="15"/>
        <v>1.1999999999999999E-3</v>
      </c>
      <c r="L89" s="221">
        <f>J89*M89*K89*(1+O89/100)</f>
        <v>0</v>
      </c>
      <c r="M89" s="221">
        <f>IF($M$40&lt;&gt;0,ROUNDUP(G89/I89,0),ROUNDUP(G89/H89,0))</f>
        <v>0</v>
      </c>
      <c r="N89" s="221" t="s">
        <v>65</v>
      </c>
      <c r="O89" s="221">
        <v>100</v>
      </c>
    </row>
    <row r="90" spans="1:30" hidden="1" x14ac:dyDescent="0.2">
      <c r="A90" s="39"/>
      <c r="B90" s="39"/>
      <c r="C90" s="39"/>
      <c r="D90" s="39"/>
      <c r="E90" s="39"/>
      <c r="F90" s="39" t="s">
        <v>142</v>
      </c>
      <c r="G90" s="39">
        <v>0</v>
      </c>
      <c r="H90" s="39"/>
      <c r="I90" s="39">
        <v>1</v>
      </c>
      <c r="J90" s="157">
        <v>0</v>
      </c>
      <c r="K90" s="29">
        <f t="shared" si="15"/>
        <v>1.1999999999999999E-3</v>
      </c>
      <c r="L90" s="221">
        <f>J90*M90*K90*(1+O90/100)</f>
        <v>0</v>
      </c>
      <c r="M90" s="221">
        <f>IF($M$40&lt;&gt;0,ROUNDUP(G90/I90,0),ROUNDUP(G90/H90,0))</f>
        <v>0</v>
      </c>
      <c r="N90" s="221" t="s">
        <v>65</v>
      </c>
      <c r="O90" s="221">
        <v>100</v>
      </c>
      <c r="V90" s="221">
        <f>0.29781*4952+3477</f>
        <v>4951.7551199999998</v>
      </c>
      <c r="W90" s="222">
        <f>SUM(W94:W100)</f>
        <v>991.80302715000028</v>
      </c>
      <c r="X90" s="222">
        <f>SUM(X94:X100)</f>
        <v>94.201649040000021</v>
      </c>
      <c r="Y90" s="222">
        <f>W90-X90</f>
        <v>897.60137811000027</v>
      </c>
      <c r="Z90" s="221">
        <f>1-(X90/W90)</f>
        <v>0.90501980084624911</v>
      </c>
    </row>
    <row r="91" spans="1:30" ht="15" hidden="1" thickBot="1" x14ac:dyDescent="0.25">
      <c r="A91" s="39"/>
      <c r="B91" s="39"/>
      <c r="C91" s="39"/>
      <c r="D91" s="39"/>
      <c r="E91" s="40"/>
      <c r="K91" s="29"/>
      <c r="L91" s="36">
        <f>SUM(L87:L90)</f>
        <v>0</v>
      </c>
      <c r="M91" s="36">
        <f>SUM(M87:M89)</f>
        <v>0</v>
      </c>
      <c r="N91" s="221"/>
    </row>
    <row r="92" spans="1:30" ht="18.75" customHeight="1" thickBot="1" x14ac:dyDescent="0.25">
      <c r="A92" s="39"/>
      <c r="B92" s="41"/>
      <c r="C92" s="41"/>
      <c r="D92" s="41"/>
      <c r="E92" s="41"/>
      <c r="F92" s="349" t="s">
        <v>110</v>
      </c>
      <c r="G92" s="349"/>
      <c r="H92" s="349"/>
      <c r="I92" s="349"/>
      <c r="J92" s="350"/>
      <c r="K92" s="217" t="s">
        <v>40</v>
      </c>
      <c r="L92" s="217"/>
      <c r="M92" s="217"/>
      <c r="N92" s="217"/>
      <c r="V92" s="344"/>
      <c r="W92" s="345"/>
      <c r="X92" s="224"/>
    </row>
    <row r="93" spans="1:30" ht="34.5" customHeight="1" thickBot="1" x14ac:dyDescent="0.25">
      <c r="A93" s="166" t="s">
        <v>33</v>
      </c>
      <c r="B93" s="167"/>
      <c r="C93" s="346" t="s">
        <v>54</v>
      </c>
      <c r="D93" s="347"/>
      <c r="E93" s="167" t="s">
        <v>19</v>
      </c>
      <c r="F93" s="22" t="s">
        <v>56</v>
      </c>
      <c r="G93" s="24" t="s">
        <v>57</v>
      </c>
      <c r="H93" s="24" t="s">
        <v>58</v>
      </c>
      <c r="I93" s="2" t="s">
        <v>74</v>
      </c>
      <c r="J93" s="28" t="s">
        <v>73</v>
      </c>
      <c r="K93" s="219" t="s">
        <v>2</v>
      </c>
      <c r="L93" s="2" t="s">
        <v>3</v>
      </c>
      <c r="M93" s="27" t="s">
        <v>72</v>
      </c>
      <c r="N93" s="10" t="s">
        <v>5</v>
      </c>
      <c r="O93" s="2" t="s">
        <v>64</v>
      </c>
      <c r="Q93" s="221" t="s">
        <v>236</v>
      </c>
      <c r="R93" s="221" t="s">
        <v>237</v>
      </c>
      <c r="S93" s="221" t="s">
        <v>238</v>
      </c>
      <c r="T93" s="221" t="s">
        <v>178</v>
      </c>
      <c r="U93" s="224"/>
      <c r="V93" s="104" t="s">
        <v>218</v>
      </c>
      <c r="W93" s="108" t="s">
        <v>219</v>
      </c>
      <c r="X93" s="116" t="s">
        <v>235</v>
      </c>
      <c r="Y93" s="112" t="s">
        <v>222</v>
      </c>
      <c r="AA93" s="12" t="s">
        <v>182</v>
      </c>
      <c r="AB93" s="12" t="s">
        <v>181</v>
      </c>
    </row>
    <row r="94" spans="1:30" ht="16.5" thickBot="1" x14ac:dyDescent="0.25">
      <c r="A94" s="168"/>
      <c r="B94" s="169"/>
      <c r="C94" s="170"/>
      <c r="D94" s="171"/>
      <c r="E94" s="172"/>
      <c r="F94" s="6" t="s">
        <v>23</v>
      </c>
      <c r="G94" s="23" t="s">
        <v>7</v>
      </c>
      <c r="H94" s="6" t="s">
        <v>59</v>
      </c>
      <c r="I94" s="6" t="s">
        <v>59</v>
      </c>
      <c r="J94" s="19" t="s">
        <v>60</v>
      </c>
      <c r="K94" s="18" t="s">
        <v>62</v>
      </c>
      <c r="L94" s="6" t="s">
        <v>7</v>
      </c>
      <c r="M94" s="21" t="s">
        <v>77</v>
      </c>
      <c r="N94" s="8"/>
      <c r="O94" s="182" t="s">
        <v>63</v>
      </c>
      <c r="Q94" s="221" t="s">
        <v>151</v>
      </c>
      <c r="R94" s="222">
        <f>M46+M52+M79+M85+M91</f>
        <v>967</v>
      </c>
      <c r="S94" s="222">
        <f>M98</f>
        <v>597</v>
      </c>
      <c r="U94" s="224"/>
      <c r="V94" s="105" t="s">
        <v>211</v>
      </c>
      <c r="W94" s="109">
        <f>B244</f>
        <v>801.74895200000026</v>
      </c>
      <c r="X94" s="109">
        <f>B245</f>
        <v>79.359000000000009</v>
      </c>
      <c r="Y94" s="113">
        <f>1-(X94/W94)</f>
        <v>0.901017644236347</v>
      </c>
      <c r="Z94" s="222">
        <f>B246</f>
        <v>0</v>
      </c>
      <c r="AA94" s="66">
        <f t="shared" ref="AA94:AA100" si="16">1-(Y94/W94)</f>
        <v>0.99887618481821683</v>
      </c>
      <c r="AB94" s="66">
        <f t="shared" ref="AB94:AB100" si="17">1-(Y94/X94)</f>
        <v>0.98864630798981401</v>
      </c>
    </row>
    <row r="95" spans="1:30" hidden="1" x14ac:dyDescent="0.2">
      <c r="A95" s="147" t="s">
        <v>90</v>
      </c>
      <c r="B95" s="39" t="s">
        <v>53</v>
      </c>
      <c r="C95" s="39">
        <v>0</v>
      </c>
      <c r="D95" s="39" t="s">
        <v>11</v>
      </c>
      <c r="E95" s="40"/>
      <c r="F95" s="221" t="s">
        <v>25</v>
      </c>
      <c r="G95" s="222">
        <f>C95</f>
        <v>0</v>
      </c>
      <c r="H95" s="221">
        <v>24</v>
      </c>
      <c r="I95" s="221">
        <f>IF(N95="Road Rigid &gt; 17t",7.5,15)</f>
        <v>15</v>
      </c>
      <c r="J95" s="20">
        <v>20</v>
      </c>
      <c r="K95" s="29">
        <f>IF(N95="Road Rigid &gt; 17t",0.00122,0.0012)</f>
        <v>1.1999999999999999E-3</v>
      </c>
      <c r="L95" s="221">
        <f>J95*M95*K95*(1+O95/100)</f>
        <v>0</v>
      </c>
      <c r="M95" s="221">
        <f>IF($M$40&lt;&gt;0,ROUNDUP(G95/I95,0),ROUNDUP(G95/H95,0))</f>
        <v>0</v>
      </c>
      <c r="N95" s="221" t="s">
        <v>65</v>
      </c>
      <c r="O95" s="221">
        <v>100</v>
      </c>
      <c r="Q95" s="221" t="s">
        <v>152</v>
      </c>
      <c r="R95" s="222">
        <f>M61+M66</f>
        <v>15</v>
      </c>
      <c r="S95" s="222">
        <f>M103+M107</f>
        <v>0</v>
      </c>
      <c r="U95" s="224"/>
      <c r="V95" s="106" t="s">
        <v>214</v>
      </c>
      <c r="W95" s="110">
        <f>C244</f>
        <v>57.959775000000008</v>
      </c>
      <c r="X95" s="110">
        <f>C245</f>
        <v>3.0577920000000001</v>
      </c>
      <c r="Y95" s="114">
        <f t="shared" ref="Y95:Y100" si="18">1-(X95/W95)</f>
        <v>0.94724285937963015</v>
      </c>
      <c r="Z95" s="222">
        <f>C246</f>
        <v>0</v>
      </c>
      <c r="AA95" s="66">
        <f>1-(Y96/W96)</f>
        <v>0.98623020932352912</v>
      </c>
      <c r="AB95" s="67">
        <f>1-(Y96/X96)</f>
        <v>0.33508216379562938</v>
      </c>
      <c r="AD95" s="221" t="s">
        <v>183</v>
      </c>
    </row>
    <row r="96" spans="1:30" hidden="1" x14ac:dyDescent="0.2">
      <c r="A96" s="39"/>
      <c r="B96" s="39" t="s">
        <v>55</v>
      </c>
      <c r="C96" s="39">
        <v>0</v>
      </c>
      <c r="D96" s="39" t="s">
        <v>11</v>
      </c>
      <c r="E96" s="40"/>
      <c r="F96" s="221" t="s">
        <v>25</v>
      </c>
      <c r="G96" s="222">
        <f>C96</f>
        <v>0</v>
      </c>
      <c r="H96" s="221">
        <v>24</v>
      </c>
      <c r="I96" s="221">
        <f>IF(N96="Road Rigid &gt; 17t",7.5,15)</f>
        <v>15</v>
      </c>
      <c r="J96" s="20">
        <v>20</v>
      </c>
      <c r="K96" s="29">
        <f>IF(N96="Road Rigid &gt; 17t",0.00122,0.0012)</f>
        <v>1.1999999999999999E-3</v>
      </c>
      <c r="L96" s="221">
        <f>J96*M96*K96*(1+O96/100)</f>
        <v>0</v>
      </c>
      <c r="M96" s="221">
        <f>IF($M$40&lt;&gt;0,ROUNDUP(G96/I96,0),ROUNDUP(G96/H96,0))</f>
        <v>0</v>
      </c>
      <c r="N96" s="221" t="s">
        <v>65</v>
      </c>
      <c r="O96" s="221">
        <v>100</v>
      </c>
      <c r="Q96" s="221" t="s">
        <v>153</v>
      </c>
      <c r="R96" s="222">
        <f>M61+M73</f>
        <v>15</v>
      </c>
      <c r="S96" s="222">
        <f>M103+M111</f>
        <v>0</v>
      </c>
      <c r="U96" s="224"/>
      <c r="V96" s="106" t="s">
        <v>212</v>
      </c>
      <c r="W96" s="110">
        <f>E244</f>
        <v>71.118799999999993</v>
      </c>
      <c r="X96" s="110">
        <f>E245</f>
        <v>1.4727999999999999</v>
      </c>
      <c r="Y96" s="114">
        <f t="shared" si="18"/>
        <v>0.97929098916179691</v>
      </c>
      <c r="Z96" s="222">
        <f>E246</f>
        <v>0</v>
      </c>
      <c r="AA96" s="66">
        <f>1-(Y95/W95)</f>
        <v>0.98365689205350382</v>
      </c>
      <c r="AB96" s="66">
        <f>1-(Y95/X95)</f>
        <v>0.69021998246459204</v>
      </c>
    </row>
    <row r="97" spans="1:30" hidden="1" x14ac:dyDescent="0.2">
      <c r="A97" s="39"/>
      <c r="B97" s="147" t="s">
        <v>242</v>
      </c>
      <c r="C97" s="156">
        <f>C5*2.6</f>
        <v>8954.4</v>
      </c>
      <c r="D97" s="147" t="s">
        <v>11</v>
      </c>
      <c r="E97" s="39"/>
      <c r="G97" s="222">
        <f>C97</f>
        <v>8954.4</v>
      </c>
      <c r="H97" s="221">
        <v>24</v>
      </c>
      <c r="I97" s="221">
        <f>IF(N97="Road Rigid &gt; 17t",7.5,15)</f>
        <v>15</v>
      </c>
      <c r="J97" s="20">
        <v>20</v>
      </c>
      <c r="K97" s="29">
        <f>IF(N97="Road Rigid &gt; 17t",0.00122,0.0012)</f>
        <v>1.1999999999999999E-3</v>
      </c>
      <c r="L97" s="13">
        <f>J97*M97*K97*(1+O97/100)</f>
        <v>28.655999999999999</v>
      </c>
      <c r="M97" s="221">
        <f>IF($M$40&lt;&gt;0,ROUNDUP(G97/I97,0),ROUNDUP(G97/H97,0))</f>
        <v>597</v>
      </c>
      <c r="N97" s="221" t="s">
        <v>65</v>
      </c>
      <c r="O97" s="221">
        <v>100</v>
      </c>
      <c r="U97" s="224"/>
      <c r="V97" s="106" t="s">
        <v>220</v>
      </c>
      <c r="W97" s="110">
        <f>F244</f>
        <v>7.7</v>
      </c>
      <c r="X97" s="110">
        <f>F245</f>
        <v>2.9400000000000004</v>
      </c>
      <c r="Y97" s="114">
        <f t="shared" si="18"/>
        <v>0.61818181818181817</v>
      </c>
      <c r="Z97" s="222">
        <f>F246</f>
        <v>0</v>
      </c>
      <c r="AA97" s="66">
        <f>1-(Y99/W99)</f>
        <v>0.96655504846724627</v>
      </c>
      <c r="AB97" s="67">
        <f>1-(Y99/X99)</f>
        <v>0.86387480666351746</v>
      </c>
      <c r="AD97" s="221" t="s">
        <v>184</v>
      </c>
    </row>
    <row r="98" spans="1:30" ht="15" hidden="1" thickBot="1" x14ac:dyDescent="0.25">
      <c r="A98" s="39"/>
      <c r="B98" s="39"/>
      <c r="C98" s="50"/>
      <c r="D98" s="39"/>
      <c r="E98" s="40"/>
      <c r="L98" s="36">
        <f>SUM(L95:L97)</f>
        <v>28.655999999999999</v>
      </c>
      <c r="M98" s="36">
        <f>SUM(M95:M97)</f>
        <v>597</v>
      </c>
      <c r="N98" s="221"/>
      <c r="U98" s="224"/>
      <c r="V98" s="106" t="s">
        <v>217</v>
      </c>
      <c r="W98" s="110">
        <f>G244</f>
        <v>2.0657999999999999</v>
      </c>
      <c r="X98" s="110">
        <f>G245</f>
        <v>1.8307800000000001</v>
      </c>
      <c r="Y98" s="114">
        <f t="shared" si="18"/>
        <v>0.11376706360731914</v>
      </c>
      <c r="Z98" s="222">
        <f>G246</f>
        <v>0</v>
      </c>
      <c r="AA98" s="66">
        <f>1-(Y97/W97)</f>
        <v>0.91971664698937428</v>
      </c>
      <c r="AB98" s="66">
        <f>1-(Y97/X97)</f>
        <v>0.78973407544836116</v>
      </c>
    </row>
    <row r="99" spans="1:30" x14ac:dyDescent="0.2">
      <c r="A99" s="39"/>
      <c r="B99" s="39"/>
      <c r="C99" s="50"/>
      <c r="D99" s="39"/>
      <c r="E99" s="40"/>
      <c r="N99" s="221"/>
      <c r="Q99" s="221" t="s">
        <v>92</v>
      </c>
      <c r="R99" s="222">
        <f>M61</f>
        <v>15</v>
      </c>
      <c r="S99" s="222">
        <f>M103</f>
        <v>0</v>
      </c>
      <c r="U99" s="224"/>
      <c r="V99" s="106" t="s">
        <v>213</v>
      </c>
      <c r="W99" s="110">
        <f>H244</f>
        <v>22.553700150000001</v>
      </c>
      <c r="X99" s="110">
        <f>H245</f>
        <v>5.5412770399999989</v>
      </c>
      <c r="Y99" s="114">
        <f t="shared" si="18"/>
        <v>0.7543074084010114</v>
      </c>
      <c r="Z99" s="222">
        <f>H246</f>
        <v>0</v>
      </c>
      <c r="AA99" s="66">
        <f>1-(Y98/W98)</f>
        <v>0.94492832626231038</v>
      </c>
      <c r="AB99" s="67">
        <f>1-(Y98/X98)</f>
        <v>0.93785869213814921</v>
      </c>
      <c r="AD99" s="221" t="s">
        <v>184</v>
      </c>
    </row>
    <row r="100" spans="1:30" ht="15" thickBot="1" x14ac:dyDescent="0.25">
      <c r="A100" s="147"/>
      <c r="B100" s="147" t="s">
        <v>243</v>
      </c>
      <c r="C100" s="156">
        <v>0</v>
      </c>
      <c r="D100" s="147" t="s">
        <v>11</v>
      </c>
      <c r="E100" s="39"/>
      <c r="F100" s="221" t="s">
        <v>25</v>
      </c>
      <c r="G100" s="222">
        <f t="shared" ref="G100:G101" si="19">C100</f>
        <v>0</v>
      </c>
      <c r="H100" s="221">
        <v>24</v>
      </c>
      <c r="I100" s="221">
        <f>IF(N100="Road Rigid &gt; 17t",7.5,15)</f>
        <v>15</v>
      </c>
      <c r="J100" s="20">
        <v>20</v>
      </c>
      <c r="K100" s="29">
        <f>IF(N100="Road Rigid &gt; 17t",0.00098,0.00094)</f>
        <v>9.3999999999999997E-4</v>
      </c>
      <c r="L100" s="13">
        <f>J100*M100*K100*(1+O100/100)</f>
        <v>0</v>
      </c>
      <c r="M100" s="221">
        <f>IF($M$40&lt;&gt;0,ROUNDUP(G100/I100,0),ROUNDUP(G100/H100,0))</f>
        <v>0</v>
      </c>
      <c r="N100" s="221" t="s">
        <v>65</v>
      </c>
      <c r="O100" s="221">
        <v>100</v>
      </c>
      <c r="Q100" s="221" t="s">
        <v>93</v>
      </c>
      <c r="R100" s="222">
        <f>M66</f>
        <v>0</v>
      </c>
      <c r="S100" s="222">
        <f>M107</f>
        <v>0</v>
      </c>
      <c r="U100" s="224"/>
      <c r="V100" s="107" t="s">
        <v>210</v>
      </c>
      <c r="W100" s="111">
        <f>I244</f>
        <v>28.655999999999999</v>
      </c>
      <c r="X100" s="111">
        <f>I245</f>
        <v>0</v>
      </c>
      <c r="Y100" s="115">
        <f t="shared" si="18"/>
        <v>1</v>
      </c>
      <c r="Z100" s="222">
        <f>I246</f>
        <v>0</v>
      </c>
      <c r="AA100" s="66">
        <f t="shared" si="16"/>
        <v>0.96510329424902286</v>
      </c>
      <c r="AB100" s="66" t="e">
        <f t="shared" si="17"/>
        <v>#DIV/0!</v>
      </c>
    </row>
    <row r="101" spans="1:30" ht="16.5" x14ac:dyDescent="0.2">
      <c r="A101" s="39"/>
      <c r="B101" s="39" t="s">
        <v>55</v>
      </c>
      <c r="C101" s="39">
        <v>0</v>
      </c>
      <c r="D101" s="39" t="s">
        <v>11</v>
      </c>
      <c r="E101" s="39"/>
      <c r="F101" s="221" t="s">
        <v>25</v>
      </c>
      <c r="G101" s="221">
        <f t="shared" si="19"/>
        <v>0</v>
      </c>
      <c r="H101" s="221">
        <v>24</v>
      </c>
      <c r="I101" s="221">
        <f>IF(N101="Road Rigid &gt; 17t",7.5,15)</f>
        <v>15</v>
      </c>
      <c r="J101" s="20">
        <v>20</v>
      </c>
      <c r="K101" s="29">
        <f>IF(N101="Road Rigid &gt; 17t",0.00098,0.00094)</f>
        <v>9.3999999999999997E-4</v>
      </c>
      <c r="L101" s="221">
        <f>J101*M101*K101*(1+O101/100)</f>
        <v>0</v>
      </c>
      <c r="M101" s="221">
        <f>IF($M$40&lt;&gt;0,ROUNDUP(G101/I101,0),ROUNDUP(G101/H101,0))</f>
        <v>0</v>
      </c>
      <c r="N101" s="221" t="s">
        <v>65</v>
      </c>
      <c r="O101" s="221">
        <v>100</v>
      </c>
      <c r="Q101" s="221" t="s">
        <v>94</v>
      </c>
      <c r="R101" s="222">
        <f>M73</f>
        <v>0</v>
      </c>
      <c r="S101" s="221">
        <f>0</f>
        <v>0</v>
      </c>
      <c r="V101" s="100" t="s">
        <v>187</v>
      </c>
      <c r="W101" s="101" t="s">
        <v>223</v>
      </c>
      <c r="X101" s="101" t="s">
        <v>227</v>
      </c>
      <c r="Y101" s="102"/>
      <c r="AA101" s="66" t="e">
        <f>1-(X101/W101)</f>
        <v>#VALUE!</v>
      </c>
      <c r="AB101" s="66">
        <f>1-(SUM(Y94:Y100)/SUM(X94:X100))</f>
        <v>0.94359113840234832</v>
      </c>
    </row>
    <row r="102" spans="1:30" ht="15.75" thickBot="1" x14ac:dyDescent="0.25">
      <c r="A102" s="39"/>
      <c r="B102" s="147" t="s">
        <v>206</v>
      </c>
      <c r="C102" s="147">
        <v>0</v>
      </c>
      <c r="D102" s="147" t="s">
        <v>11</v>
      </c>
      <c r="E102" s="147" t="s">
        <v>207</v>
      </c>
      <c r="F102" s="147"/>
      <c r="G102" s="147">
        <f>C102*2</f>
        <v>0</v>
      </c>
      <c r="H102" s="147">
        <v>24</v>
      </c>
      <c r="I102" s="147">
        <f>IF(N102="Road Rigid &gt; 17t",7.5,15)</f>
        <v>15</v>
      </c>
      <c r="J102" s="155">
        <v>50</v>
      </c>
      <c r="K102" s="29">
        <f>IF(N102="Road Rigid &gt; 17t",0.00098,0.00094)</f>
        <v>9.3999999999999997E-4</v>
      </c>
      <c r="L102" s="221">
        <f>J102*M102*K102*(1+O102/100)</f>
        <v>0</v>
      </c>
      <c r="M102" s="221">
        <f>IF($M$40&lt;&gt;0,ROUNDUP(G102/I102,0),ROUNDUP(G102/H102,0))</f>
        <v>0</v>
      </c>
      <c r="N102" s="221" t="s">
        <v>65</v>
      </c>
      <c r="O102" s="221">
        <v>100</v>
      </c>
      <c r="V102" s="100"/>
      <c r="W102" s="101"/>
      <c r="X102" s="101"/>
      <c r="Y102" s="102"/>
      <c r="AA102" s="66"/>
      <c r="AB102" s="66"/>
    </row>
    <row r="103" spans="1:30" ht="17.25" thickBot="1" x14ac:dyDescent="0.35">
      <c r="A103" s="39"/>
      <c r="B103" s="39"/>
      <c r="C103" s="39"/>
      <c r="D103" s="39"/>
      <c r="E103" s="40"/>
      <c r="L103" s="36">
        <f>SUM(L100:L102)</f>
        <v>0</v>
      </c>
      <c r="M103" s="36">
        <f>SUM(M100:M101)</f>
        <v>0</v>
      </c>
      <c r="N103" s="221"/>
      <c r="V103" s="117" t="s">
        <v>221</v>
      </c>
      <c r="W103" s="348" t="s">
        <v>234</v>
      </c>
      <c r="X103" s="348"/>
      <c r="Y103" s="118">
        <v>0.27</v>
      </c>
    </row>
    <row r="104" spans="1:30" x14ac:dyDescent="0.2">
      <c r="A104" s="39"/>
      <c r="B104" s="39"/>
      <c r="C104" s="39"/>
      <c r="D104" s="39"/>
      <c r="E104" s="40"/>
      <c r="N104" s="221"/>
      <c r="AB104" s="66" t="e">
        <f>1-(X101/#REF!)</f>
        <v>#VALUE!</v>
      </c>
    </row>
    <row r="105" spans="1:30" ht="15" hidden="1" customHeight="1" x14ac:dyDescent="0.2">
      <c r="A105" s="39"/>
      <c r="B105" s="39"/>
      <c r="C105" s="39"/>
      <c r="D105" s="39"/>
      <c r="E105" s="40"/>
      <c r="L105" s="17"/>
      <c r="N105" s="221"/>
    </row>
    <row r="106" spans="1:30" hidden="1" x14ac:dyDescent="0.2">
      <c r="A106" s="39" t="s">
        <v>93</v>
      </c>
      <c r="B106" s="39" t="s">
        <v>69</v>
      </c>
      <c r="C106" s="39">
        <v>0</v>
      </c>
      <c r="D106" s="39" t="s">
        <v>11</v>
      </c>
      <c r="E106" s="39"/>
      <c r="F106" s="39" t="s">
        <v>25</v>
      </c>
      <c r="G106" s="39">
        <f>C106</f>
        <v>0</v>
      </c>
      <c r="H106" s="39">
        <v>24</v>
      </c>
      <c r="I106" s="39">
        <f>IF(N106="Road Rigid &gt; 17t",7.5,15)</f>
        <v>15</v>
      </c>
      <c r="J106" s="157">
        <v>20</v>
      </c>
      <c r="K106" s="165">
        <f>IF(N106="Road Rigid &gt; 17t",0.00122,0.0012)</f>
        <v>1.1999999999999999E-3</v>
      </c>
      <c r="L106" s="39">
        <f>J106*M106*K106*(1+O106/100)</f>
        <v>0</v>
      </c>
      <c r="M106" s="39">
        <f>IF($M$40&lt;&gt;0,ROUNDUP(G106/I106,0),ROUNDUP(G106/H106,0))</f>
        <v>0</v>
      </c>
      <c r="N106" s="39" t="s">
        <v>65</v>
      </c>
      <c r="O106" s="39">
        <v>100</v>
      </c>
      <c r="P106" s="39"/>
    </row>
    <row r="107" spans="1:30" ht="15" hidden="1" thickBot="1" x14ac:dyDescent="0.25">
      <c r="A107" s="39"/>
      <c r="B107" s="39"/>
      <c r="C107" s="39"/>
      <c r="D107" s="39"/>
      <c r="E107" s="40"/>
      <c r="F107" s="39"/>
      <c r="G107" s="39"/>
      <c r="H107" s="39"/>
      <c r="I107" s="39"/>
      <c r="J107" s="157"/>
      <c r="K107" s="39"/>
      <c r="L107" s="160">
        <f>SUM(L106)</f>
        <v>0</v>
      </c>
      <c r="M107" s="160">
        <f>SUM(M106)</f>
        <v>0</v>
      </c>
      <c r="N107" s="39"/>
      <c r="O107" s="39"/>
      <c r="P107" s="39"/>
    </row>
    <row r="108" spans="1:30" ht="15" hidden="1" thickBot="1" x14ac:dyDescent="0.25">
      <c r="A108" s="39"/>
      <c r="B108" s="39"/>
      <c r="C108" s="39"/>
      <c r="D108" s="39"/>
      <c r="E108" s="39"/>
      <c r="F108" s="39"/>
      <c r="G108" s="39"/>
      <c r="H108" s="39"/>
      <c r="I108" s="39"/>
      <c r="J108" s="157"/>
      <c r="K108" s="165"/>
      <c r="L108" s="39"/>
      <c r="M108" s="39"/>
      <c r="N108" s="39"/>
      <c r="O108" s="39"/>
      <c r="P108" s="39"/>
      <c r="V108" s="220"/>
      <c r="W108" s="220"/>
      <c r="X108" s="220"/>
      <c r="Y108" s="220"/>
    </row>
    <row r="109" spans="1:30" ht="48" hidden="1" thickBot="1" x14ac:dyDescent="0.25">
      <c r="A109" s="39"/>
      <c r="B109" s="39"/>
      <c r="C109" s="39"/>
      <c r="D109" s="39"/>
      <c r="E109" s="40"/>
      <c r="F109" s="39"/>
      <c r="G109" s="39"/>
      <c r="H109" s="39"/>
      <c r="I109" s="39"/>
      <c r="J109" s="157"/>
      <c r="K109" s="39"/>
      <c r="L109" s="158"/>
      <c r="M109" s="39"/>
      <c r="N109" s="39"/>
      <c r="O109" s="39"/>
      <c r="P109" s="39"/>
      <c r="U109" s="122"/>
      <c r="V109" s="104" t="s">
        <v>218</v>
      </c>
      <c r="W109" s="108" t="s">
        <v>219</v>
      </c>
      <c r="X109" s="123" t="s">
        <v>230</v>
      </c>
      <c r="Y109" s="124" t="s">
        <v>231</v>
      </c>
    </row>
    <row r="110" spans="1:30" ht="15" hidden="1" customHeight="1" thickBot="1" x14ac:dyDescent="0.25">
      <c r="A110" s="39" t="s">
        <v>94</v>
      </c>
      <c r="B110" s="39" t="s">
        <v>25</v>
      </c>
      <c r="C110" s="39" t="s">
        <v>25</v>
      </c>
      <c r="D110" s="39" t="s">
        <v>25</v>
      </c>
      <c r="E110" s="39" t="s">
        <v>25</v>
      </c>
      <c r="F110" s="39" t="s">
        <v>25</v>
      </c>
      <c r="G110" s="39" t="s">
        <v>25</v>
      </c>
      <c r="H110" s="39" t="s">
        <v>25</v>
      </c>
      <c r="I110" s="39" t="s">
        <v>25</v>
      </c>
      <c r="J110" s="157" t="s">
        <v>25</v>
      </c>
      <c r="K110" s="39" t="s">
        <v>25</v>
      </c>
      <c r="L110" s="39" t="s">
        <v>25</v>
      </c>
      <c r="M110" s="39" t="s">
        <v>25</v>
      </c>
      <c r="N110" s="39" t="s">
        <v>25</v>
      </c>
      <c r="O110" s="39" t="s">
        <v>25</v>
      </c>
      <c r="P110" s="39"/>
      <c r="U110" s="122"/>
      <c r="V110" s="130" t="s">
        <v>211</v>
      </c>
      <c r="W110" s="119">
        <v>4952.2054160000007</v>
      </c>
      <c r="X110" s="125">
        <f t="shared" ref="X110:X116" si="20">1-X94/W94</f>
        <v>0.901017644236347</v>
      </c>
      <c r="Y110" s="126">
        <f>1-Z94/W94</f>
        <v>1</v>
      </c>
    </row>
    <row r="111" spans="1:30" ht="15" hidden="1" customHeight="1" thickBot="1" x14ac:dyDescent="0.25">
      <c r="A111" s="39"/>
      <c r="B111" s="39"/>
      <c r="C111" s="39"/>
      <c r="D111" s="39"/>
      <c r="E111" s="39"/>
      <c r="F111" s="39"/>
      <c r="G111" s="39"/>
      <c r="H111" s="39"/>
      <c r="I111" s="39"/>
      <c r="J111" s="157"/>
      <c r="K111" s="39"/>
      <c r="L111" s="160">
        <f>SUM(L110)</f>
        <v>0</v>
      </c>
      <c r="M111" s="39">
        <v>0</v>
      </c>
      <c r="N111" s="39"/>
      <c r="O111" s="39"/>
      <c r="P111" s="39"/>
      <c r="U111" s="122"/>
      <c r="V111" s="106" t="s">
        <v>214</v>
      </c>
      <c r="W111" s="110">
        <v>282.07732620000002</v>
      </c>
      <c r="X111" s="125">
        <f t="shared" si="20"/>
        <v>0.94724285937963015</v>
      </c>
      <c r="Y111" s="126">
        <f t="shared" ref="Y111:Y116" si="21">1-Z95/W95</f>
        <v>1</v>
      </c>
    </row>
    <row r="112" spans="1:30" ht="15" customHeight="1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157"/>
      <c r="K112" s="39"/>
      <c r="L112" s="39"/>
      <c r="M112" s="39"/>
      <c r="N112" s="39"/>
      <c r="O112" s="39"/>
      <c r="P112" s="39"/>
      <c r="U112" s="122"/>
      <c r="V112" s="106" t="s">
        <v>212</v>
      </c>
      <c r="W112" s="110">
        <v>327.0136</v>
      </c>
      <c r="X112" s="125">
        <f t="shared" si="20"/>
        <v>0.97929098916179691</v>
      </c>
      <c r="Y112" s="126">
        <f t="shared" si="21"/>
        <v>1</v>
      </c>
    </row>
    <row r="113" spans="1:25" ht="15" customHeight="1" x14ac:dyDescent="0.2">
      <c r="A113" s="39"/>
      <c r="B113" s="39"/>
      <c r="C113" s="39"/>
      <c r="D113" s="39"/>
      <c r="E113" s="39"/>
      <c r="N113" s="221"/>
      <c r="U113" s="122"/>
      <c r="V113" s="106" t="s">
        <v>215</v>
      </c>
      <c r="W113" s="110">
        <v>42.5</v>
      </c>
      <c r="X113" s="125">
        <f t="shared" si="20"/>
        <v>0.61818181818181817</v>
      </c>
      <c r="Y113" s="126">
        <f t="shared" si="21"/>
        <v>1</v>
      </c>
    </row>
    <row r="114" spans="1:25" ht="15" customHeight="1" thickBot="1" x14ac:dyDescent="0.25">
      <c r="A114" s="39"/>
      <c r="B114" s="41"/>
      <c r="C114" s="41"/>
      <c r="D114" s="41"/>
      <c r="E114" s="41"/>
      <c r="F114" s="349" t="s">
        <v>78</v>
      </c>
      <c r="G114" s="349"/>
      <c r="H114" s="349"/>
      <c r="I114" s="349"/>
      <c r="J114" s="350"/>
      <c r="N114" s="221"/>
      <c r="U114" s="122"/>
      <c r="V114" s="106" t="s">
        <v>217</v>
      </c>
      <c r="W114" s="110">
        <v>5.6320000000000006</v>
      </c>
      <c r="X114" s="125">
        <f t="shared" si="20"/>
        <v>0.11376706360731914</v>
      </c>
      <c r="Y114" s="126">
        <f t="shared" si="21"/>
        <v>1</v>
      </c>
    </row>
    <row r="115" spans="1:25" ht="15" customHeight="1" x14ac:dyDescent="0.2">
      <c r="A115" s="166" t="s">
        <v>33</v>
      </c>
      <c r="B115" s="167"/>
      <c r="C115" s="346" t="s">
        <v>82</v>
      </c>
      <c r="D115" s="347"/>
      <c r="E115" s="167"/>
      <c r="F115" s="22" t="s">
        <v>103</v>
      </c>
      <c r="G115" s="24" t="s">
        <v>102</v>
      </c>
      <c r="H115" s="24" t="s">
        <v>105</v>
      </c>
      <c r="I115" s="219" t="s">
        <v>2</v>
      </c>
      <c r="J115" s="2" t="s">
        <v>3</v>
      </c>
      <c r="N115" s="221"/>
      <c r="P115" s="61" t="s">
        <v>144</v>
      </c>
      <c r="Q115" s="61" t="s">
        <v>146</v>
      </c>
      <c r="R115" s="61" t="s">
        <v>145</v>
      </c>
      <c r="S115" s="61" t="s">
        <v>154</v>
      </c>
      <c r="T115" s="61" t="s">
        <v>147</v>
      </c>
      <c r="U115" s="122"/>
      <c r="V115" s="106" t="s">
        <v>213</v>
      </c>
      <c r="W115" s="110">
        <v>45.913284666666669</v>
      </c>
      <c r="X115" s="125">
        <f t="shared" si="20"/>
        <v>0.7543074084010114</v>
      </c>
      <c r="Y115" s="126">
        <f t="shared" si="21"/>
        <v>1</v>
      </c>
    </row>
    <row r="116" spans="1:25" ht="15" customHeight="1" thickBot="1" x14ac:dyDescent="0.25">
      <c r="A116" s="168"/>
      <c r="B116" s="169"/>
      <c r="C116" s="170"/>
      <c r="D116" s="171"/>
      <c r="E116" s="172"/>
      <c r="F116" s="6" t="s">
        <v>107</v>
      </c>
      <c r="G116" s="23" t="s">
        <v>104</v>
      </c>
      <c r="H116" s="6" t="s">
        <v>106</v>
      </c>
      <c r="I116" s="18" t="s">
        <v>34</v>
      </c>
      <c r="J116" s="6" t="s">
        <v>7</v>
      </c>
      <c r="N116" s="221"/>
      <c r="P116" s="61" t="s">
        <v>157</v>
      </c>
      <c r="Q116" s="61" t="s">
        <v>149</v>
      </c>
      <c r="R116" s="61" t="s">
        <v>148</v>
      </c>
      <c r="S116" s="61" t="s">
        <v>155</v>
      </c>
      <c r="T116" s="61" t="s">
        <v>150</v>
      </c>
      <c r="U116" s="122"/>
      <c r="V116" s="131" t="s">
        <v>210</v>
      </c>
      <c r="W116" s="120">
        <v>547.87199999999996</v>
      </c>
      <c r="X116" s="128">
        <f t="shared" si="20"/>
        <v>1</v>
      </c>
      <c r="Y116" s="129">
        <f t="shared" si="21"/>
        <v>1</v>
      </c>
    </row>
    <row r="117" spans="1:25" ht="15" hidden="1" customHeight="1" x14ac:dyDescent="0.2">
      <c r="A117" s="147" t="s">
        <v>90</v>
      </c>
      <c r="B117" s="147" t="s">
        <v>264</v>
      </c>
      <c r="C117" s="147">
        <v>200</v>
      </c>
      <c r="D117" s="147" t="s">
        <v>11</v>
      </c>
      <c r="E117" s="147" t="s">
        <v>263</v>
      </c>
      <c r="F117" s="187">
        <f>E124/200</f>
        <v>23.475000000000001</v>
      </c>
      <c r="G117" s="221">
        <v>10</v>
      </c>
      <c r="H117" s="221">
        <v>150</v>
      </c>
      <c r="I117" s="221">
        <v>3.6669999999999998</v>
      </c>
      <c r="J117" s="13">
        <f>C117*(F117/H117)/G117*I117</f>
        <v>11.477709999999998</v>
      </c>
      <c r="N117" s="221"/>
      <c r="P117" s="221" t="s">
        <v>151</v>
      </c>
      <c r="Q117" s="221">
        <f>4952+282+98+43+20+0.5*(315+548)</f>
        <v>5826.5</v>
      </c>
      <c r="R117" s="221">
        <f>4952+282+98+43+20+1*(315+548)</f>
        <v>6258</v>
      </c>
      <c r="S117" s="221">
        <f>4952+282+98+43+20+1.5*(315+548)</f>
        <v>6689.5</v>
      </c>
      <c r="T117" s="221">
        <f>4952+282+98+43+20+2*(315+548)</f>
        <v>7121</v>
      </c>
      <c r="V117" s="100" t="s">
        <v>187</v>
      </c>
      <c r="W117" s="101" t="s">
        <v>223</v>
      </c>
      <c r="X117" s="103">
        <v>0.27</v>
      </c>
      <c r="Y117" s="103">
        <v>0.42</v>
      </c>
    </row>
    <row r="118" spans="1:25" ht="15" hidden="1" customHeight="1" x14ac:dyDescent="0.2">
      <c r="A118" s="147"/>
      <c r="B118" s="147" t="s">
        <v>108</v>
      </c>
      <c r="C118" s="147">
        <v>30</v>
      </c>
      <c r="D118" s="147" t="s">
        <v>11</v>
      </c>
      <c r="E118" s="147" t="s">
        <v>121</v>
      </c>
      <c r="F118" s="187">
        <f>E124/200</f>
        <v>23.475000000000001</v>
      </c>
      <c r="G118" s="221">
        <v>10</v>
      </c>
      <c r="H118" s="221">
        <v>150</v>
      </c>
      <c r="I118" s="221">
        <v>3.6669999999999998</v>
      </c>
      <c r="J118" s="13">
        <f>C118*(F118/H118)/G118*I118</f>
        <v>1.7216564999999999</v>
      </c>
      <c r="N118" s="221"/>
      <c r="P118" s="221" t="s">
        <v>152</v>
      </c>
      <c r="Q118" s="221">
        <f>3450+359+56+36+15+0.5*(35+501)</f>
        <v>4184</v>
      </c>
      <c r="R118" s="221">
        <f>3450+359+56+36+15+1*(35+501)</f>
        <v>4452</v>
      </c>
      <c r="S118" s="221">
        <f>3450+359+56+36+15+1.5*(35+501)</f>
        <v>4720</v>
      </c>
      <c r="T118" s="221">
        <f>3450+359+56+36+15+2*(35+501)</f>
        <v>4988</v>
      </c>
      <c r="V118" s="102"/>
      <c r="W118" s="102"/>
      <c r="X118" s="39"/>
      <c r="Y118" s="39"/>
    </row>
    <row r="119" spans="1:25" ht="15" hidden="1" customHeight="1" x14ac:dyDescent="0.3">
      <c r="A119" s="147"/>
      <c r="B119" s="147" t="s">
        <v>118</v>
      </c>
      <c r="C119" s="147">
        <v>20</v>
      </c>
      <c r="D119" s="147" t="s">
        <v>117</v>
      </c>
      <c r="E119" s="147"/>
      <c r="F119" s="187">
        <f>E124/200</f>
        <v>23.475000000000001</v>
      </c>
      <c r="G119" s="221">
        <v>10</v>
      </c>
      <c r="H119" s="221">
        <v>150</v>
      </c>
      <c r="I119" s="221">
        <v>3.6669999999999998</v>
      </c>
      <c r="J119" s="13">
        <f>C119*(F119/H119)/G119*I119</f>
        <v>1.1477709999999999</v>
      </c>
      <c r="N119" s="221"/>
      <c r="P119" s="221" t="s">
        <v>153</v>
      </c>
      <c r="Q119" s="221">
        <f>2618+319+78+35+20+0.5*(55+430)</f>
        <v>3312.5</v>
      </c>
      <c r="R119" s="221">
        <f>2618+319+78+35+20+1*(55+430)</f>
        <v>3555</v>
      </c>
      <c r="S119" s="221">
        <f>2618+319+78+35+20+1.5*(55+430)</f>
        <v>3797.5</v>
      </c>
      <c r="T119" s="221">
        <f t="shared" ref="T119" si="22">2618+319+78+35+20+0.5*(55+430)</f>
        <v>3312.5</v>
      </c>
      <c r="V119" s="117" t="s">
        <v>221</v>
      </c>
      <c r="W119" s="99"/>
      <c r="X119" s="127" t="s">
        <v>224</v>
      </c>
      <c r="Y119" s="127" t="s">
        <v>225</v>
      </c>
    </row>
    <row r="120" spans="1:25" ht="15" hidden="1" customHeight="1" x14ac:dyDescent="0.25">
      <c r="A120" s="147"/>
      <c r="B120" s="147" t="s">
        <v>158</v>
      </c>
      <c r="C120" s="147">
        <v>22</v>
      </c>
      <c r="D120" s="147" t="s">
        <v>11</v>
      </c>
      <c r="E120" s="147"/>
      <c r="F120" s="187">
        <f>E124/200</f>
        <v>23.475000000000001</v>
      </c>
      <c r="G120" s="221">
        <v>10</v>
      </c>
      <c r="H120" s="221">
        <v>150</v>
      </c>
      <c r="I120" s="221">
        <v>3.6669999999999998</v>
      </c>
      <c r="J120" s="13">
        <f t="shared" ref="J120" si="23">C120*(F120/H120)/G120*I120</f>
        <v>1.2625480999999998</v>
      </c>
      <c r="N120" s="221"/>
      <c r="V120" s="117"/>
      <c r="W120" s="99"/>
      <c r="X120" s="127"/>
      <c r="Y120" s="127"/>
    </row>
    <row r="121" spans="1:25" ht="15" hidden="1" customHeight="1" x14ac:dyDescent="0.25">
      <c r="A121" s="147"/>
      <c r="B121" s="147" t="s">
        <v>81</v>
      </c>
      <c r="C121" s="147">
        <v>43</v>
      </c>
      <c r="D121" s="147" t="s">
        <v>11</v>
      </c>
      <c r="E121" s="147"/>
      <c r="F121" s="187">
        <f>E124/200</f>
        <v>23.475000000000001</v>
      </c>
      <c r="G121" s="221">
        <v>10</v>
      </c>
      <c r="H121" s="221">
        <v>150</v>
      </c>
      <c r="I121" s="221">
        <v>3.6669999999999998</v>
      </c>
      <c r="J121" s="13">
        <f>C121*(F121/H121)/G121*I121</f>
        <v>2.4677076499999995</v>
      </c>
      <c r="N121" s="221"/>
      <c r="V121" s="117"/>
      <c r="W121" s="99"/>
      <c r="X121" s="127"/>
      <c r="Y121" s="127"/>
    </row>
    <row r="122" spans="1:25" hidden="1" x14ac:dyDescent="0.2">
      <c r="A122" s="147"/>
      <c r="B122" s="147" t="s">
        <v>159</v>
      </c>
      <c r="C122" s="147">
        <v>60</v>
      </c>
      <c r="D122" s="147" t="s">
        <v>11</v>
      </c>
      <c r="E122" s="147"/>
      <c r="F122" s="187">
        <f>E124/200</f>
        <v>23.475000000000001</v>
      </c>
      <c r="G122" s="221">
        <v>10</v>
      </c>
      <c r="H122" s="221">
        <v>150</v>
      </c>
      <c r="I122" s="221">
        <v>3.6669999999999998</v>
      </c>
      <c r="J122" s="13">
        <f>C122*(F122/H122)/G122*I122</f>
        <v>3.4433129999999998</v>
      </c>
      <c r="N122" s="221"/>
    </row>
    <row r="123" spans="1:25" hidden="1" x14ac:dyDescent="0.2">
      <c r="A123" s="147"/>
      <c r="B123" s="147" t="s">
        <v>195</v>
      </c>
      <c r="C123" s="147">
        <v>18</v>
      </c>
      <c r="D123" s="147" t="s">
        <v>11</v>
      </c>
      <c r="E123" s="147"/>
      <c r="F123" s="187">
        <f>E124/200</f>
        <v>23.475000000000001</v>
      </c>
      <c r="G123" s="147">
        <v>10</v>
      </c>
      <c r="H123" s="147">
        <v>150</v>
      </c>
      <c r="I123" s="147">
        <v>3.6669999999999998</v>
      </c>
      <c r="J123" s="154">
        <f>C123*(F123/H123)/G123*I123</f>
        <v>1.0329938999999999</v>
      </c>
      <c r="N123" s="221"/>
    </row>
    <row r="124" spans="1:25" ht="15" hidden="1" thickBot="1" x14ac:dyDescent="0.25">
      <c r="A124" s="39"/>
      <c r="B124" s="39"/>
      <c r="C124" s="39"/>
      <c r="D124" s="39" t="s">
        <v>266</v>
      </c>
      <c r="E124" s="39">
        <f>1076 + 1366 + 2253</f>
        <v>4695</v>
      </c>
      <c r="F124" s="222"/>
      <c r="J124" s="36">
        <f>SUM(J117:J123)</f>
        <v>22.553700150000001</v>
      </c>
      <c r="N124" s="221"/>
    </row>
    <row r="125" spans="1:25" x14ac:dyDescent="0.2">
      <c r="A125" s="39"/>
      <c r="B125" s="39"/>
      <c r="C125" s="39"/>
      <c r="D125" s="39"/>
      <c r="E125" s="39"/>
      <c r="F125" s="222"/>
      <c r="J125" s="221"/>
      <c r="N125" s="221"/>
    </row>
    <row r="126" spans="1:25" ht="14.25" hidden="1" customHeight="1" thickBot="1" x14ac:dyDescent="0.25">
      <c r="A126" s="39" t="s">
        <v>91</v>
      </c>
      <c r="B126" s="39" t="s">
        <v>79</v>
      </c>
      <c r="C126" s="39">
        <v>9</v>
      </c>
      <c r="D126" s="39" t="s">
        <v>11</v>
      </c>
      <c r="E126" s="39" t="s">
        <v>122</v>
      </c>
      <c r="F126" s="50">
        <f>ROUNDUP($C$13/(10*90),0)</f>
        <v>0</v>
      </c>
      <c r="G126" s="39">
        <v>10</v>
      </c>
      <c r="H126" s="39">
        <v>150</v>
      </c>
      <c r="I126" s="39">
        <v>3.6669999999999998</v>
      </c>
      <c r="J126" s="49">
        <f>C126*(F126/H126)/G126*I126</f>
        <v>0</v>
      </c>
      <c r="N126" s="221"/>
    </row>
    <row r="127" spans="1:25" ht="34.5" hidden="1" customHeight="1" thickBot="1" x14ac:dyDescent="0.25">
      <c r="A127" s="39"/>
      <c r="B127" s="39" t="s">
        <v>80</v>
      </c>
      <c r="C127" s="39">
        <v>45</v>
      </c>
      <c r="D127" s="39" t="s">
        <v>11</v>
      </c>
      <c r="E127" s="39"/>
      <c r="F127" s="50">
        <f t="shared" ref="F127:F129" si="24">ROUNDUP($C$13/(10*90),0)</f>
        <v>0</v>
      </c>
      <c r="G127" s="39">
        <v>10</v>
      </c>
      <c r="H127" s="39">
        <v>150</v>
      </c>
      <c r="I127" s="39">
        <v>3.6669999999999998</v>
      </c>
      <c r="J127" s="49">
        <f t="shared" ref="J127:J135" si="25">C127*(F127/H127)/G127*I127</f>
        <v>0</v>
      </c>
      <c r="N127" s="221"/>
      <c r="V127" s="104" t="s">
        <v>218</v>
      </c>
      <c r="W127" s="108" t="s">
        <v>232</v>
      </c>
      <c r="X127" s="116" t="s">
        <v>233</v>
      </c>
      <c r="Y127" s="112" t="s">
        <v>222</v>
      </c>
    </row>
    <row r="128" spans="1:25" hidden="1" x14ac:dyDescent="0.2">
      <c r="A128" s="39"/>
      <c r="B128" s="39" t="s">
        <v>81</v>
      </c>
      <c r="C128" s="39">
        <v>43</v>
      </c>
      <c r="D128" s="39" t="s">
        <v>11</v>
      </c>
      <c r="E128" s="39"/>
      <c r="F128" s="50">
        <f t="shared" si="24"/>
        <v>0</v>
      </c>
      <c r="G128" s="39">
        <v>10</v>
      </c>
      <c r="H128" s="39">
        <v>150</v>
      </c>
      <c r="I128" s="39">
        <v>3.6669999999999998</v>
      </c>
      <c r="J128" s="49">
        <f t="shared" si="25"/>
        <v>0</v>
      </c>
      <c r="N128" s="221"/>
      <c r="V128" s="105" t="s">
        <v>211</v>
      </c>
      <c r="W128" s="109">
        <f>B240</f>
        <v>0</v>
      </c>
      <c r="X128" s="109">
        <f>B241</f>
        <v>0</v>
      </c>
      <c r="Y128" s="113" t="e">
        <f>1-(X128/W128)</f>
        <v>#DIV/0!</v>
      </c>
    </row>
    <row r="129" spans="1:26" hidden="1" x14ac:dyDescent="0.2">
      <c r="A129" s="39"/>
      <c r="B129" s="39" t="s">
        <v>108</v>
      </c>
      <c r="C129" s="39">
        <v>30</v>
      </c>
      <c r="D129" s="39" t="s">
        <v>11</v>
      </c>
      <c r="E129" s="39" t="s">
        <v>121</v>
      </c>
      <c r="F129" s="50">
        <f t="shared" si="24"/>
        <v>0</v>
      </c>
      <c r="G129" s="39">
        <v>10</v>
      </c>
      <c r="H129" s="39">
        <v>150</v>
      </c>
      <c r="I129" s="39">
        <v>3.6669999999999998</v>
      </c>
      <c r="J129" s="49">
        <f t="shared" si="25"/>
        <v>0</v>
      </c>
      <c r="N129" s="221"/>
      <c r="V129" s="106" t="s">
        <v>214</v>
      </c>
      <c r="W129" s="110">
        <f>C240</f>
        <v>0</v>
      </c>
      <c r="X129" s="110">
        <f>C241</f>
        <v>0</v>
      </c>
      <c r="Y129" s="114" t="e">
        <f t="shared" ref="Y129:Y134" si="26">1-(X129/W129)</f>
        <v>#DIV/0!</v>
      </c>
    </row>
    <row r="130" spans="1:26" ht="15" hidden="1" thickBot="1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160">
        <f>SUM(J126:J129)</f>
        <v>0</v>
      </c>
      <c r="N130" s="221"/>
      <c r="V130" s="106" t="s">
        <v>212</v>
      </c>
      <c r="W130" s="110">
        <f>E240</f>
        <v>0</v>
      </c>
      <c r="X130" s="110">
        <f>E241</f>
        <v>0</v>
      </c>
      <c r="Y130" s="114" t="e">
        <f t="shared" si="26"/>
        <v>#DIV/0!</v>
      </c>
    </row>
    <row r="131" spans="1:26" x14ac:dyDescent="0.2">
      <c r="A131" s="39"/>
      <c r="B131" s="39"/>
      <c r="C131" s="39"/>
      <c r="D131" s="39"/>
      <c r="E131" s="39" t="s">
        <v>354</v>
      </c>
      <c r="J131" s="13"/>
      <c r="N131" s="221"/>
      <c r="V131" s="106" t="s">
        <v>220</v>
      </c>
      <c r="W131" s="110">
        <f>F240</f>
        <v>0</v>
      </c>
      <c r="X131" s="110">
        <f>F241</f>
        <v>0</v>
      </c>
      <c r="Y131" s="114" t="e">
        <f t="shared" si="26"/>
        <v>#DIV/0!</v>
      </c>
    </row>
    <row r="132" spans="1:26" x14ac:dyDescent="0.2">
      <c r="A132" s="147"/>
      <c r="B132" s="147"/>
      <c r="C132" s="147"/>
      <c r="D132" s="147"/>
      <c r="E132" s="147"/>
      <c r="F132" s="187">
        <f>Anker!B3/Anker!B9</f>
        <v>29.06</v>
      </c>
      <c r="G132" s="221">
        <v>10</v>
      </c>
      <c r="H132" s="221">
        <v>150</v>
      </c>
      <c r="I132" s="221">
        <v>3.6669999999999998</v>
      </c>
      <c r="J132" s="13">
        <f t="shared" si="25"/>
        <v>0</v>
      </c>
      <c r="N132" s="221"/>
      <c r="V132" s="106" t="s">
        <v>217</v>
      </c>
      <c r="W132" s="110">
        <f>G240</f>
        <v>0</v>
      </c>
      <c r="X132" s="110">
        <f>G241</f>
        <v>0</v>
      </c>
      <c r="Y132" s="114" t="e">
        <f t="shared" si="26"/>
        <v>#DIV/0!</v>
      </c>
    </row>
    <row r="133" spans="1:26" x14ac:dyDescent="0.2">
      <c r="A133" s="147"/>
      <c r="B133" s="147" t="s">
        <v>108</v>
      </c>
      <c r="C133" s="147">
        <v>30</v>
      </c>
      <c r="D133" s="147" t="s">
        <v>11</v>
      </c>
      <c r="E133" s="147" t="s">
        <v>121</v>
      </c>
      <c r="F133" s="187">
        <f>$F$132</f>
        <v>29.06</v>
      </c>
      <c r="G133" s="221">
        <v>10</v>
      </c>
      <c r="H133" s="221">
        <v>150</v>
      </c>
      <c r="I133" s="221">
        <v>3.6669999999999998</v>
      </c>
      <c r="J133" s="13">
        <f t="shared" si="25"/>
        <v>2.1312603999999995</v>
      </c>
      <c r="N133" s="221"/>
      <c r="V133" s="106" t="s">
        <v>213</v>
      </c>
      <c r="W133" s="110">
        <f>H240</f>
        <v>0</v>
      </c>
      <c r="X133" s="110">
        <f>H241</f>
        <v>0</v>
      </c>
      <c r="Y133" s="114" t="e">
        <f t="shared" si="26"/>
        <v>#DIV/0!</v>
      </c>
    </row>
    <row r="134" spans="1:26" ht="15" thickBot="1" x14ac:dyDescent="0.25">
      <c r="A134" s="147"/>
      <c r="B134" s="147" t="s">
        <v>119</v>
      </c>
      <c r="C134" s="147">
        <v>20</v>
      </c>
      <c r="D134" s="147" t="s">
        <v>11</v>
      </c>
      <c r="E134" s="147"/>
      <c r="F134" s="187">
        <f>$F$132</f>
        <v>29.06</v>
      </c>
      <c r="G134" s="221">
        <v>10</v>
      </c>
      <c r="H134" s="221">
        <v>150</v>
      </c>
      <c r="I134" s="221">
        <v>3.6669999999999998</v>
      </c>
      <c r="J134" s="13">
        <f t="shared" si="25"/>
        <v>1.4208402666666664</v>
      </c>
      <c r="N134" s="221"/>
      <c r="R134" s="222"/>
      <c r="V134" s="107" t="s">
        <v>210</v>
      </c>
      <c r="W134" s="111">
        <f>I240</f>
        <v>0</v>
      </c>
      <c r="X134" s="111">
        <f>I241</f>
        <v>0</v>
      </c>
      <c r="Y134" s="115" t="e">
        <f t="shared" si="26"/>
        <v>#DIV/0!</v>
      </c>
    </row>
    <row r="135" spans="1:26" ht="16.5" x14ac:dyDescent="0.2">
      <c r="A135" s="147"/>
      <c r="B135" s="147" t="s">
        <v>353</v>
      </c>
      <c r="C135" s="147">
        <v>10</v>
      </c>
      <c r="D135" s="147" t="s">
        <v>11</v>
      </c>
      <c r="E135" s="147"/>
      <c r="F135" s="187">
        <f t="shared" ref="F135:F136" si="27">$F$132</f>
        <v>29.06</v>
      </c>
      <c r="G135" s="221">
        <v>10</v>
      </c>
      <c r="H135" s="221">
        <v>150</v>
      </c>
      <c r="I135" s="221">
        <v>3.6669999999999998</v>
      </c>
      <c r="J135" s="13">
        <f t="shared" si="25"/>
        <v>0.7104201333333332</v>
      </c>
      <c r="N135" s="221"/>
      <c r="R135" s="222"/>
      <c r="V135" s="100" t="s">
        <v>187</v>
      </c>
      <c r="W135" s="101" t="s">
        <v>228</v>
      </c>
      <c r="X135" s="101" t="s">
        <v>229</v>
      </c>
      <c r="Y135" s="102"/>
    </row>
    <row r="136" spans="1:26" ht="15" x14ac:dyDescent="0.2">
      <c r="A136" s="147"/>
      <c r="B136" s="147" t="s">
        <v>195</v>
      </c>
      <c r="C136" s="147">
        <v>18</v>
      </c>
      <c r="D136" s="147" t="s">
        <v>11</v>
      </c>
      <c r="E136" s="147"/>
      <c r="F136" s="187">
        <f t="shared" si="27"/>
        <v>29.06</v>
      </c>
      <c r="G136" s="221">
        <v>10</v>
      </c>
      <c r="H136" s="221">
        <v>150</v>
      </c>
      <c r="I136" s="221">
        <v>3.6669999999999998</v>
      </c>
      <c r="J136" s="13">
        <f>C136*(F136/H136)/G136*I136</f>
        <v>1.2787562399999999</v>
      </c>
      <c r="N136" s="221"/>
      <c r="R136" s="222"/>
      <c r="V136" s="100"/>
      <c r="W136" s="101"/>
      <c r="X136" s="101"/>
      <c r="Y136" s="102"/>
    </row>
    <row r="137" spans="1:26" ht="16.5" x14ac:dyDescent="0.3">
      <c r="A137" s="147"/>
      <c r="B137" s="147"/>
      <c r="C137" s="147"/>
      <c r="D137" s="147"/>
      <c r="E137" s="147"/>
      <c r="F137" s="187"/>
      <c r="G137" s="221">
        <v>10</v>
      </c>
      <c r="H137" s="221">
        <v>150</v>
      </c>
      <c r="I137" s="221">
        <v>3.6669999999999998</v>
      </c>
      <c r="J137" s="13">
        <f>C137*(F137/H137)/G137*I137</f>
        <v>0</v>
      </c>
      <c r="N137" s="221"/>
      <c r="R137" s="222"/>
      <c r="V137" s="117" t="s">
        <v>221</v>
      </c>
      <c r="W137" s="348" t="s">
        <v>226</v>
      </c>
      <c r="X137" s="348"/>
      <c r="Y137" s="118">
        <v>0.46</v>
      </c>
    </row>
    <row r="138" spans="1:26" ht="15" thickBot="1" x14ac:dyDescent="0.25">
      <c r="A138" s="147"/>
      <c r="C138" s="147"/>
      <c r="D138" s="147"/>
      <c r="E138" s="147"/>
      <c r="F138" s="187"/>
      <c r="G138" s="221">
        <v>10</v>
      </c>
      <c r="H138" s="221">
        <v>150</v>
      </c>
      <c r="I138" s="221">
        <v>3.6669999999999998</v>
      </c>
      <c r="J138" s="13">
        <f>C138*(F138/H138)/G138*I138</f>
        <v>0</v>
      </c>
      <c r="N138" s="221"/>
      <c r="R138" s="222"/>
      <c r="V138" s="13"/>
    </row>
    <row r="139" spans="1:26" ht="15" thickBot="1" x14ac:dyDescent="0.25">
      <c r="A139" s="39"/>
      <c r="B139" s="39"/>
      <c r="C139" s="39"/>
      <c r="D139" s="39"/>
      <c r="E139" s="221"/>
      <c r="F139" s="222"/>
      <c r="J139" s="36">
        <f>SUM(J132:J138)</f>
        <v>5.5412770399999989</v>
      </c>
      <c r="N139" s="221"/>
      <c r="R139" s="222"/>
      <c r="V139" s="13"/>
      <c r="W139" s="222">
        <f>SUM(W128:W134)</f>
        <v>0</v>
      </c>
      <c r="X139" s="222">
        <f>SUM(X128:X134)</f>
        <v>0</v>
      </c>
      <c r="Y139" s="222">
        <f>W139-X139</f>
        <v>0</v>
      </c>
      <c r="Z139" s="221" t="e">
        <f>1-(X139/W139)</f>
        <v>#DIV/0!</v>
      </c>
    </row>
    <row r="140" spans="1:26" hidden="1" x14ac:dyDescent="0.2">
      <c r="A140" s="39"/>
      <c r="B140" s="39"/>
      <c r="C140" s="39"/>
      <c r="D140" s="39"/>
      <c r="E140" s="39"/>
      <c r="F140" s="222"/>
      <c r="J140" s="13"/>
      <c r="N140" s="221"/>
    </row>
    <row r="141" spans="1:26" hidden="1" x14ac:dyDescent="0.2">
      <c r="A141" s="39" t="s">
        <v>93</v>
      </c>
      <c r="B141" s="39" t="s">
        <v>88</v>
      </c>
      <c r="C141" s="39">
        <v>0</v>
      </c>
      <c r="D141" s="39" t="s">
        <v>11</v>
      </c>
      <c r="E141" s="39"/>
      <c r="F141" s="50">
        <f>ROUNDUP($C$176/40,0)</f>
        <v>0</v>
      </c>
      <c r="G141" s="39">
        <v>10</v>
      </c>
      <c r="H141" s="39">
        <v>150</v>
      </c>
      <c r="I141" s="39">
        <v>3.6669999999999998</v>
      </c>
      <c r="J141" s="49">
        <f>C141*(F141/H141)/G141*I141</f>
        <v>0</v>
      </c>
      <c r="N141" s="221"/>
    </row>
    <row r="142" spans="1:26" hidden="1" x14ac:dyDescent="0.2">
      <c r="A142" s="39"/>
      <c r="B142" s="39" t="s">
        <v>89</v>
      </c>
      <c r="C142" s="39">
        <v>0</v>
      </c>
      <c r="D142" s="39" t="s">
        <v>11</v>
      </c>
      <c r="E142" s="39"/>
      <c r="F142" s="50">
        <f>ROUND($C$176/40,0)</f>
        <v>0</v>
      </c>
      <c r="G142" s="39">
        <v>10</v>
      </c>
      <c r="H142" s="39">
        <v>150</v>
      </c>
      <c r="I142" s="39">
        <v>3.6669999999999998</v>
      </c>
      <c r="J142" s="49">
        <f>C142*(F142/H142)/G142*I142</f>
        <v>0</v>
      </c>
      <c r="N142" s="221"/>
    </row>
    <row r="143" spans="1:26" hidden="1" x14ac:dyDescent="0.2">
      <c r="A143" s="39"/>
      <c r="B143" s="39" t="s">
        <v>108</v>
      </c>
      <c r="C143" s="39">
        <v>0</v>
      </c>
      <c r="D143" s="39" t="s">
        <v>11</v>
      </c>
      <c r="E143" s="39" t="s">
        <v>121</v>
      </c>
      <c r="F143" s="50">
        <f>ROUND($C$176/40,0)</f>
        <v>0</v>
      </c>
      <c r="G143" s="39">
        <v>10</v>
      </c>
      <c r="H143" s="39">
        <v>150</v>
      </c>
      <c r="I143" s="39">
        <v>3.6669999999999998</v>
      </c>
      <c r="J143" s="49">
        <f t="shared" ref="J143:J144" si="28">C143*(F143/H143)/G143*I143</f>
        <v>0</v>
      </c>
      <c r="N143" s="221"/>
    </row>
    <row r="144" spans="1:26" hidden="1" x14ac:dyDescent="0.2">
      <c r="A144" s="39"/>
      <c r="B144" s="39" t="s">
        <v>119</v>
      </c>
      <c r="C144" s="39">
        <v>0</v>
      </c>
      <c r="D144" s="39" t="s">
        <v>11</v>
      </c>
      <c r="E144" s="39"/>
      <c r="F144" s="50">
        <f>ROUND($C$176/40,0)</f>
        <v>0</v>
      </c>
      <c r="G144" s="39">
        <v>10</v>
      </c>
      <c r="H144" s="39">
        <v>150</v>
      </c>
      <c r="I144" s="39">
        <v>3.6669999999999998</v>
      </c>
      <c r="J144" s="49">
        <f t="shared" si="28"/>
        <v>0</v>
      </c>
      <c r="N144" s="221"/>
    </row>
    <row r="145" spans="1:14" ht="15" hidden="1" thickBot="1" x14ac:dyDescent="0.25">
      <c r="A145" s="39"/>
      <c r="B145" s="39"/>
      <c r="C145" s="39"/>
      <c r="D145" s="39"/>
      <c r="E145" s="39"/>
      <c r="F145" s="50"/>
      <c r="G145" s="39"/>
      <c r="H145" s="39"/>
      <c r="I145" s="39"/>
      <c r="J145" s="160">
        <f>J141+J142+J143+J144</f>
        <v>0</v>
      </c>
      <c r="N145" s="221"/>
    </row>
    <row r="146" spans="1:14" hidden="1" x14ac:dyDescent="0.2">
      <c r="A146" s="39"/>
      <c r="B146" s="39"/>
      <c r="C146" s="39"/>
      <c r="D146" s="39"/>
      <c r="E146" s="40"/>
      <c r="F146" s="39"/>
      <c r="G146" s="39"/>
      <c r="H146" s="39"/>
      <c r="I146" s="39"/>
      <c r="J146" s="39"/>
      <c r="N146" s="221"/>
    </row>
    <row r="147" spans="1:14" hidden="1" x14ac:dyDescent="0.2">
      <c r="A147" s="39" t="s">
        <v>94</v>
      </c>
      <c r="B147" s="39" t="s">
        <v>120</v>
      </c>
      <c r="C147" s="39">
        <v>0</v>
      </c>
      <c r="D147" s="39" t="s">
        <v>11</v>
      </c>
      <c r="E147" s="39"/>
      <c r="F147" s="39">
        <f>ROUNDUP($C$181/40,0)</f>
        <v>0</v>
      </c>
      <c r="G147" s="39">
        <v>10</v>
      </c>
      <c r="H147" s="39">
        <v>150</v>
      </c>
      <c r="I147" s="39">
        <v>3.6669999999999998</v>
      </c>
      <c r="J147" s="49">
        <f>C147*(F147/H147)/G147*I147</f>
        <v>0</v>
      </c>
      <c r="N147" s="221"/>
    </row>
    <row r="148" spans="1:14" hidden="1" x14ac:dyDescent="0.2">
      <c r="A148" s="39"/>
      <c r="B148" s="39" t="s">
        <v>108</v>
      </c>
      <c r="C148" s="39">
        <v>0</v>
      </c>
      <c r="D148" s="39" t="s">
        <v>11</v>
      </c>
      <c r="E148" s="39" t="s">
        <v>121</v>
      </c>
      <c r="F148" s="39">
        <f>ROUNDUP($C$181/40,0)</f>
        <v>0</v>
      </c>
      <c r="G148" s="39">
        <v>10</v>
      </c>
      <c r="H148" s="39">
        <v>150</v>
      </c>
      <c r="I148" s="39">
        <v>3.6669999999999998</v>
      </c>
      <c r="J148" s="49">
        <f t="shared" ref="J148:J149" si="29">C148*(F148/H148)/G148*I148</f>
        <v>0</v>
      </c>
      <c r="N148" s="221"/>
    </row>
    <row r="149" spans="1:14" hidden="1" x14ac:dyDescent="0.2">
      <c r="A149" s="39"/>
      <c r="B149" s="39" t="s">
        <v>119</v>
      </c>
      <c r="C149" s="39">
        <v>0</v>
      </c>
      <c r="D149" s="39" t="s">
        <v>11</v>
      </c>
      <c r="E149" s="39"/>
      <c r="F149" s="39">
        <f>ROUNDUP($C$181/40,0)</f>
        <v>0</v>
      </c>
      <c r="G149" s="39">
        <v>10</v>
      </c>
      <c r="H149" s="39">
        <v>150</v>
      </c>
      <c r="I149" s="39">
        <v>3.6669999999999998</v>
      </c>
      <c r="J149" s="49">
        <f t="shared" si="29"/>
        <v>0</v>
      </c>
      <c r="N149" s="221"/>
    </row>
    <row r="150" spans="1:14" ht="15" hidden="1" thickBot="1" x14ac:dyDescent="0.25">
      <c r="A150" s="39"/>
      <c r="B150" s="39"/>
      <c r="C150" s="39">
        <v>0</v>
      </c>
      <c r="D150" s="39"/>
      <c r="E150" s="39"/>
      <c r="F150" s="39"/>
      <c r="G150" s="39"/>
      <c r="H150" s="39"/>
      <c r="I150" s="39"/>
      <c r="J150" s="160">
        <f>J147+J148+J149</f>
        <v>0</v>
      </c>
      <c r="N150" s="221"/>
    </row>
    <row r="151" spans="1:14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N151" s="221"/>
    </row>
    <row r="152" spans="1:14" x14ac:dyDescent="0.2">
      <c r="A152" s="39"/>
      <c r="B152" s="39"/>
      <c r="C152" s="39"/>
      <c r="D152" s="39"/>
      <c r="E152" s="40"/>
      <c r="J152" s="221"/>
      <c r="N152" s="221"/>
    </row>
    <row r="153" spans="1:14" ht="18.75" thickBot="1" x14ac:dyDescent="0.25">
      <c r="A153" s="39"/>
      <c r="B153" s="41"/>
      <c r="C153" s="41"/>
      <c r="D153" s="41"/>
      <c r="E153" s="41"/>
      <c r="F153" s="349" t="s">
        <v>162</v>
      </c>
      <c r="G153" s="349"/>
      <c r="H153" s="349"/>
      <c r="I153" s="349"/>
      <c r="J153" s="350"/>
      <c r="N153" s="221"/>
    </row>
    <row r="154" spans="1:14" ht="42.75" x14ac:dyDescent="0.2">
      <c r="A154" s="166" t="s">
        <v>33</v>
      </c>
      <c r="B154" s="167"/>
      <c r="C154" s="346"/>
      <c r="D154" s="347"/>
      <c r="E154" s="167" t="s">
        <v>196</v>
      </c>
      <c r="F154" s="167" t="s">
        <v>95</v>
      </c>
      <c r="G154" s="24" t="s">
        <v>97</v>
      </c>
      <c r="H154" s="24" t="s">
        <v>99</v>
      </c>
      <c r="I154" s="2" t="s">
        <v>101</v>
      </c>
      <c r="J154" s="28" t="s">
        <v>100</v>
      </c>
      <c r="K154" s="219" t="s">
        <v>2</v>
      </c>
      <c r="L154" s="2" t="s">
        <v>3</v>
      </c>
      <c r="N154" s="221"/>
    </row>
    <row r="155" spans="1:14" ht="16.5" thickBot="1" x14ac:dyDescent="0.25">
      <c r="A155" s="168"/>
      <c r="B155" s="169"/>
      <c r="C155" s="170"/>
      <c r="D155" s="171"/>
      <c r="E155" s="172"/>
      <c r="F155" s="169"/>
      <c r="G155" s="6"/>
      <c r="H155" s="6"/>
      <c r="I155" s="6"/>
      <c r="J155" s="19"/>
      <c r="K155" s="18" t="s">
        <v>109</v>
      </c>
      <c r="L155" s="6" t="s">
        <v>7</v>
      </c>
      <c r="N155" s="221"/>
    </row>
    <row r="156" spans="1:14" hidden="1" x14ac:dyDescent="0.2">
      <c r="A156" s="147" t="s">
        <v>90</v>
      </c>
      <c r="B156" s="147" t="s">
        <v>86</v>
      </c>
      <c r="C156" s="147"/>
      <c r="D156" s="147" t="s">
        <v>87</v>
      </c>
      <c r="E156" s="147"/>
      <c r="F156" s="147"/>
      <c r="G156" s="222">
        <f>F117</f>
        <v>23.475000000000001</v>
      </c>
      <c r="J156" s="221"/>
      <c r="N156" s="221"/>
    </row>
    <row r="157" spans="1:14" hidden="1" x14ac:dyDescent="0.2">
      <c r="A157" s="147"/>
      <c r="B157" s="147" t="s">
        <v>267</v>
      </c>
      <c r="C157" s="156">
        <f>G156*430</f>
        <v>10094.25</v>
      </c>
      <c r="D157" s="147" t="s">
        <v>70</v>
      </c>
      <c r="E157" s="147" t="s">
        <v>274</v>
      </c>
      <c r="F157" s="147"/>
      <c r="J157" s="221"/>
      <c r="K157" s="221">
        <v>3.2</v>
      </c>
      <c r="L157" s="13">
        <f>C157*K157/1000</f>
        <v>32.301600000000001</v>
      </c>
      <c r="N157" s="221"/>
    </row>
    <row r="158" spans="1:14" hidden="1" x14ac:dyDescent="0.2">
      <c r="A158" s="147"/>
      <c r="B158" s="147" t="s">
        <v>271</v>
      </c>
      <c r="C158" s="156">
        <f>G156*50</f>
        <v>1173.75</v>
      </c>
      <c r="D158" s="147"/>
      <c r="E158" s="147" t="s">
        <v>273</v>
      </c>
      <c r="F158" s="147"/>
      <c r="J158" s="221"/>
      <c r="K158" s="221">
        <v>3.2</v>
      </c>
      <c r="L158" s="13">
        <f>C158*K158/1000</f>
        <v>3.7559999999999998</v>
      </c>
      <c r="N158" s="221"/>
    </row>
    <row r="159" spans="1:14" hidden="1" x14ac:dyDescent="0.2">
      <c r="A159" s="147"/>
      <c r="B159" s="147" t="s">
        <v>272</v>
      </c>
      <c r="C159" s="156">
        <f>G156*135</f>
        <v>3169.125</v>
      </c>
      <c r="D159" s="147"/>
      <c r="E159" s="147" t="s">
        <v>275</v>
      </c>
      <c r="F159" s="147"/>
      <c r="J159" s="221"/>
      <c r="K159" s="221">
        <v>3.2</v>
      </c>
      <c r="L159" s="13">
        <f t="shared" ref="L159" si="30">C159*K159/1000</f>
        <v>10.141200000000001</v>
      </c>
      <c r="N159" s="221"/>
    </row>
    <row r="160" spans="1:14" hidden="1" x14ac:dyDescent="0.2">
      <c r="A160" s="147"/>
      <c r="B160" s="147" t="s">
        <v>160</v>
      </c>
      <c r="C160" s="147">
        <f>G156*10*F160</f>
        <v>23475</v>
      </c>
      <c r="D160" s="147" t="s">
        <v>143</v>
      </c>
      <c r="E160" s="147"/>
      <c r="F160" s="147">
        <v>100</v>
      </c>
      <c r="G160" s="221" t="s">
        <v>161</v>
      </c>
      <c r="J160" s="221"/>
      <c r="K160" s="221">
        <v>0.501</v>
      </c>
      <c r="L160" s="13">
        <f>C160*K160/1000</f>
        <v>11.760975</v>
      </c>
      <c r="N160" s="221"/>
    </row>
    <row r="161" spans="1:17" ht="15" hidden="1" thickBot="1" x14ac:dyDescent="0.25">
      <c r="A161" s="39"/>
      <c r="C161" s="39"/>
      <c r="D161" s="39"/>
      <c r="E161" s="39"/>
      <c r="J161" s="221"/>
      <c r="L161" s="36">
        <f>SUM(L157:L160)</f>
        <v>57.959775000000008</v>
      </c>
      <c r="N161" s="221"/>
    </row>
    <row r="162" spans="1:17" hidden="1" x14ac:dyDescent="0.2">
      <c r="A162" s="39"/>
      <c r="B162" s="39"/>
      <c r="C162" s="39"/>
      <c r="D162" s="39"/>
      <c r="E162" s="39"/>
      <c r="J162" s="221"/>
      <c r="L162" s="13"/>
      <c r="N162" s="221"/>
    </row>
    <row r="163" spans="1:17" hidden="1" x14ac:dyDescent="0.2">
      <c r="A163" s="39" t="s">
        <v>91</v>
      </c>
      <c r="B163" s="39" t="s">
        <v>86</v>
      </c>
      <c r="C163" s="39">
        <v>0</v>
      </c>
      <c r="D163" s="39" t="s">
        <v>87</v>
      </c>
      <c r="E163" s="39"/>
      <c r="G163" s="222">
        <f>ROUNDUP(C13/(10*90),0)</f>
        <v>0</v>
      </c>
      <c r="J163" s="221"/>
      <c r="N163" s="221"/>
    </row>
    <row r="164" spans="1:17" hidden="1" x14ac:dyDescent="0.2">
      <c r="A164" s="39"/>
      <c r="B164" s="39" t="s">
        <v>85</v>
      </c>
      <c r="C164" s="50">
        <v>0</v>
      </c>
      <c r="D164" s="39" t="s">
        <v>70</v>
      </c>
      <c r="E164" s="39"/>
      <c r="J164" s="221"/>
      <c r="K164" s="221">
        <v>3.25</v>
      </c>
      <c r="L164" s="13">
        <f>C164*K164/1000</f>
        <v>0</v>
      </c>
      <c r="N164" s="221"/>
    </row>
    <row r="165" spans="1:17" hidden="1" x14ac:dyDescent="0.2">
      <c r="A165" s="39"/>
      <c r="B165" s="39"/>
      <c r="C165" s="50">
        <v>0</v>
      </c>
      <c r="D165" s="39"/>
      <c r="E165" s="39" t="s">
        <v>123</v>
      </c>
      <c r="H165" s="221">
        <v>150</v>
      </c>
      <c r="J165" s="221">
        <f>0.18*150*(G163*10)</f>
        <v>0</v>
      </c>
      <c r="K165" s="221">
        <v>0.501</v>
      </c>
      <c r="L165" s="13">
        <f>C165*K165/1000</f>
        <v>0</v>
      </c>
      <c r="N165" s="221"/>
    </row>
    <row r="166" spans="1:17" ht="15" hidden="1" thickBot="1" x14ac:dyDescent="0.25">
      <c r="A166" s="39"/>
      <c r="B166" s="39"/>
      <c r="C166" s="50"/>
      <c r="D166" s="39"/>
      <c r="E166" s="39"/>
      <c r="J166" s="221"/>
      <c r="L166" s="36">
        <f>L164+L165</f>
        <v>0</v>
      </c>
      <c r="N166" s="221"/>
    </row>
    <row r="167" spans="1:17" hidden="1" x14ac:dyDescent="0.2">
      <c r="A167" s="39"/>
      <c r="B167" s="39"/>
      <c r="C167" s="39"/>
      <c r="D167" s="39"/>
      <c r="E167" s="39"/>
      <c r="J167" s="221"/>
      <c r="N167" s="221"/>
    </row>
    <row r="168" spans="1:17" x14ac:dyDescent="0.2">
      <c r="A168" s="147"/>
      <c r="B168" s="147" t="s">
        <v>86</v>
      </c>
      <c r="C168" s="147"/>
      <c r="D168" s="147" t="s">
        <v>87</v>
      </c>
      <c r="F168" s="147"/>
      <c r="G168" s="156">
        <f>F132</f>
        <v>29.06</v>
      </c>
      <c r="J168" s="221"/>
      <c r="N168" s="221"/>
    </row>
    <row r="169" spans="1:17" x14ac:dyDescent="0.2">
      <c r="A169" s="147"/>
      <c r="B169" s="147" t="s">
        <v>351</v>
      </c>
      <c r="C169" s="147">
        <f>F169*G168</f>
        <v>5812</v>
      </c>
      <c r="D169" s="147" t="s">
        <v>70</v>
      </c>
      <c r="E169" s="147" t="s">
        <v>355</v>
      </c>
      <c r="F169" s="156">
        <f>Anker!B14</f>
        <v>200</v>
      </c>
      <c r="G169" s="147"/>
      <c r="J169" s="221"/>
      <c r="K169" s="221">
        <v>3.2</v>
      </c>
      <c r="L169" s="13">
        <f>F169*K169/1000</f>
        <v>0.64</v>
      </c>
      <c r="N169" s="221"/>
    </row>
    <row r="170" spans="1:17" x14ac:dyDescent="0.2">
      <c r="A170" s="147"/>
      <c r="B170" s="147"/>
      <c r="C170" s="156"/>
      <c r="D170" s="147"/>
      <c r="E170" s="147"/>
      <c r="F170" s="147"/>
      <c r="G170" s="147"/>
      <c r="J170" s="221"/>
      <c r="K170" s="221">
        <v>3.2</v>
      </c>
      <c r="L170" s="13"/>
      <c r="N170" s="221"/>
    </row>
    <row r="171" spans="1:17" x14ac:dyDescent="0.2">
      <c r="A171" s="147"/>
      <c r="B171" s="147"/>
      <c r="C171" s="156"/>
      <c r="D171" s="147"/>
      <c r="E171" s="147"/>
      <c r="F171" s="147"/>
      <c r="G171" s="147"/>
      <c r="J171" s="221"/>
      <c r="K171" s="221">
        <v>3.2</v>
      </c>
      <c r="L171" s="13"/>
      <c r="N171" s="221"/>
    </row>
    <row r="172" spans="1:17" ht="15" thickBot="1" x14ac:dyDescent="0.25">
      <c r="A172" s="147"/>
      <c r="B172" s="147" t="s">
        <v>160</v>
      </c>
      <c r="C172" s="156">
        <f>G168*10*F172</f>
        <v>4649.5999999999995</v>
      </c>
      <c r="D172" s="147" t="s">
        <v>143</v>
      </c>
      <c r="E172" s="147"/>
      <c r="F172" s="156">
        <f>Anker!B16</f>
        <v>16</v>
      </c>
      <c r="G172" s="147" t="s">
        <v>161</v>
      </c>
      <c r="J172" s="221"/>
      <c r="K172" s="221">
        <v>0.52</v>
      </c>
      <c r="L172" s="13">
        <f>C172*K172/1000</f>
        <v>2.4177919999999999</v>
      </c>
      <c r="N172" s="221"/>
    </row>
    <row r="173" spans="1:17" ht="15" thickBot="1" x14ac:dyDescent="0.25">
      <c r="A173" s="39"/>
      <c r="B173" s="39"/>
      <c r="D173" s="39"/>
      <c r="E173" s="39"/>
      <c r="J173" s="221"/>
      <c r="L173" s="36">
        <f>SUM(L169:L172)</f>
        <v>3.0577920000000001</v>
      </c>
      <c r="N173" s="221"/>
      <c r="Q173" s="221" t="s">
        <v>186</v>
      </c>
    </row>
    <row r="174" spans="1:17" x14ac:dyDescent="0.2">
      <c r="A174" s="39"/>
      <c r="B174" s="39"/>
      <c r="C174" s="39"/>
      <c r="D174" s="39"/>
      <c r="E174" s="39"/>
      <c r="J174" s="221"/>
      <c r="L174" s="13"/>
      <c r="N174" s="221"/>
    </row>
    <row r="175" spans="1:17" hidden="1" x14ac:dyDescent="0.2">
      <c r="A175" s="39"/>
      <c r="B175" s="39"/>
      <c r="C175" s="39"/>
      <c r="D175" s="39"/>
      <c r="E175" s="39"/>
      <c r="J175" s="221"/>
      <c r="L175" s="13"/>
      <c r="N175" s="221"/>
    </row>
    <row r="176" spans="1:17" hidden="1" x14ac:dyDescent="0.2">
      <c r="A176" s="39" t="s">
        <v>93</v>
      </c>
      <c r="B176" s="39" t="s">
        <v>86</v>
      </c>
      <c r="C176" s="50">
        <v>0</v>
      </c>
      <c r="D176" s="39" t="s">
        <v>87</v>
      </c>
      <c r="E176" s="39" t="s">
        <v>96</v>
      </c>
      <c r="F176" s="30">
        <f>2/3</f>
        <v>0.66666666666666663</v>
      </c>
      <c r="G176" s="222">
        <f>ROUNDUP($C$176/40,0)</f>
        <v>0</v>
      </c>
      <c r="J176" s="221"/>
      <c r="N176" s="221"/>
    </row>
    <row r="177" spans="1:14" hidden="1" x14ac:dyDescent="0.2">
      <c r="A177" s="39"/>
      <c r="B177" s="39" t="s">
        <v>85</v>
      </c>
      <c r="C177" s="50">
        <v>0</v>
      </c>
      <c r="D177" s="39" t="s">
        <v>70</v>
      </c>
      <c r="E177" s="39"/>
      <c r="J177" s="221"/>
      <c r="K177" s="221">
        <v>3.25</v>
      </c>
      <c r="L177" s="13">
        <f>C177*K177/1000</f>
        <v>0</v>
      </c>
      <c r="N177" s="221"/>
    </row>
    <row r="178" spans="1:14" hidden="1" x14ac:dyDescent="0.2">
      <c r="A178" s="39"/>
      <c r="B178" s="39"/>
      <c r="C178" s="39">
        <v>0</v>
      </c>
      <c r="D178" s="39" t="s">
        <v>143</v>
      </c>
      <c r="E178" s="39" t="s">
        <v>98</v>
      </c>
      <c r="F178" s="221">
        <v>47</v>
      </c>
      <c r="G178" s="221" t="s">
        <v>185</v>
      </c>
      <c r="H178" s="221">
        <v>500</v>
      </c>
      <c r="I178" s="31">
        <v>0.2</v>
      </c>
      <c r="J178" s="222">
        <f>0.18*H178*I178*10*$G$176</f>
        <v>0</v>
      </c>
      <c r="K178" s="221">
        <v>0.501</v>
      </c>
      <c r="L178" s="13">
        <f>C178*K178/1000</f>
        <v>0</v>
      </c>
      <c r="N178" s="221"/>
    </row>
    <row r="179" spans="1:14" ht="15" hidden="1" thickBot="1" x14ac:dyDescent="0.25">
      <c r="A179" s="39"/>
      <c r="B179" s="39"/>
      <c r="C179" s="39"/>
      <c r="D179" s="39"/>
      <c r="E179" s="40" t="s">
        <v>89</v>
      </c>
      <c r="H179" s="221">
        <v>100</v>
      </c>
      <c r="I179" s="31">
        <v>0.7</v>
      </c>
      <c r="J179" s="222">
        <f>0.18*H179*I179*10*$G$176</f>
        <v>0</v>
      </c>
      <c r="L179" s="36">
        <f>L177+L178</f>
        <v>0</v>
      </c>
      <c r="N179" s="221"/>
    </row>
    <row r="180" spans="1:14" hidden="1" x14ac:dyDescent="0.2">
      <c r="A180" s="39"/>
      <c r="B180" s="39"/>
      <c r="C180" s="39"/>
      <c r="D180" s="39"/>
      <c r="E180" s="40"/>
      <c r="J180" s="221"/>
      <c r="N180" s="221"/>
    </row>
    <row r="181" spans="1:14" hidden="1" x14ac:dyDescent="0.2">
      <c r="A181" s="39" t="s">
        <v>94</v>
      </c>
      <c r="B181" s="39" t="s">
        <v>86</v>
      </c>
      <c r="C181" s="39">
        <v>0</v>
      </c>
      <c r="D181" s="39" t="s">
        <v>87</v>
      </c>
      <c r="E181" s="39"/>
      <c r="G181" s="222">
        <f>ROUNDUP($C$181/40,0)</f>
        <v>0</v>
      </c>
      <c r="J181" s="221"/>
      <c r="N181" s="221"/>
    </row>
    <row r="182" spans="1:14" hidden="1" x14ac:dyDescent="0.2">
      <c r="A182" s="39"/>
      <c r="B182" s="39" t="s">
        <v>85</v>
      </c>
      <c r="C182" s="39">
        <v>0</v>
      </c>
      <c r="D182" s="39" t="s">
        <v>70</v>
      </c>
      <c r="E182" s="39"/>
      <c r="J182" s="221"/>
      <c r="K182" s="221">
        <v>3.25</v>
      </c>
      <c r="L182" s="13">
        <f>C182*K182/1000</f>
        <v>0</v>
      </c>
      <c r="N182" s="221"/>
    </row>
    <row r="183" spans="1:14" hidden="1" x14ac:dyDescent="0.2">
      <c r="A183" s="39"/>
      <c r="B183" s="39"/>
      <c r="C183" s="39">
        <v>0</v>
      </c>
      <c r="D183" s="39" t="s">
        <v>143</v>
      </c>
      <c r="E183" s="39"/>
      <c r="J183" s="221"/>
      <c r="K183" s="221">
        <v>0.501</v>
      </c>
      <c r="L183" s="13">
        <f>C183*K183/1000</f>
        <v>0</v>
      </c>
      <c r="N183" s="221"/>
    </row>
    <row r="184" spans="1:14" ht="15" hidden="1" thickBot="1" x14ac:dyDescent="0.25">
      <c r="A184" s="39"/>
      <c r="B184" s="39"/>
      <c r="C184" s="39"/>
      <c r="D184" s="39"/>
      <c r="E184" s="39"/>
      <c r="J184" s="221"/>
      <c r="L184" s="36">
        <f>L182+L183</f>
        <v>0</v>
      </c>
      <c r="N184" s="221"/>
    </row>
    <row r="185" spans="1:14" x14ac:dyDescent="0.2">
      <c r="A185" s="39"/>
      <c r="B185" s="39"/>
      <c r="C185" s="39"/>
      <c r="D185" s="39"/>
      <c r="E185" s="39"/>
      <c r="J185" s="221"/>
      <c r="L185" s="13"/>
      <c r="N185" s="221"/>
    </row>
    <row r="186" spans="1:14" ht="18.75" thickBot="1" x14ac:dyDescent="0.25">
      <c r="A186" s="39"/>
      <c r="B186" s="41"/>
      <c r="C186" s="41"/>
      <c r="D186" s="41"/>
      <c r="E186" s="41"/>
      <c r="F186" s="349" t="s">
        <v>163</v>
      </c>
      <c r="G186" s="349"/>
      <c r="H186" s="349"/>
      <c r="I186" s="349"/>
      <c r="J186" s="350"/>
      <c r="N186" s="221"/>
    </row>
    <row r="187" spans="1:14" ht="33" x14ac:dyDescent="0.2">
      <c r="A187" s="166" t="s">
        <v>33</v>
      </c>
      <c r="B187" s="167"/>
      <c r="C187" s="346" t="s">
        <v>54</v>
      </c>
      <c r="D187" s="347"/>
      <c r="E187" s="167" t="s">
        <v>19</v>
      </c>
      <c r="F187" s="22" t="s">
        <v>164</v>
      </c>
      <c r="G187" s="24" t="s">
        <v>165</v>
      </c>
      <c r="H187" s="24"/>
      <c r="I187" s="2" t="s">
        <v>167</v>
      </c>
      <c r="J187" s="28" t="s">
        <v>166</v>
      </c>
      <c r="K187" s="219" t="s">
        <v>2</v>
      </c>
      <c r="L187" s="2" t="s">
        <v>3</v>
      </c>
      <c r="N187" s="221"/>
    </row>
    <row r="188" spans="1:14" ht="16.5" thickBot="1" x14ac:dyDescent="0.25">
      <c r="A188" s="168"/>
      <c r="B188" s="169"/>
      <c r="C188" s="170"/>
      <c r="D188" s="171"/>
      <c r="E188" s="172"/>
      <c r="F188" s="6" t="s">
        <v>170</v>
      </c>
      <c r="G188" s="23"/>
      <c r="H188" s="6"/>
      <c r="I188" s="6" t="s">
        <v>60</v>
      </c>
      <c r="J188" s="19" t="s">
        <v>60</v>
      </c>
      <c r="K188" s="18" t="s">
        <v>62</v>
      </c>
      <c r="L188" s="6" t="s">
        <v>7</v>
      </c>
      <c r="N188" s="221"/>
    </row>
    <row r="189" spans="1:14" hidden="1" x14ac:dyDescent="0.2">
      <c r="A189" s="221" t="s">
        <v>90</v>
      </c>
      <c r="B189" s="221" t="s">
        <v>84</v>
      </c>
      <c r="C189" s="221">
        <v>200</v>
      </c>
      <c r="D189" s="221" t="s">
        <v>11</v>
      </c>
      <c r="E189" s="221" t="s">
        <v>168</v>
      </c>
      <c r="F189" s="221">
        <v>2</v>
      </c>
      <c r="G189" s="221">
        <v>2</v>
      </c>
      <c r="I189" s="221">
        <v>100</v>
      </c>
      <c r="J189" s="221">
        <f>F189*G189*I189</f>
        <v>400</v>
      </c>
      <c r="K189" s="221">
        <f>2/1000</f>
        <v>2E-3</v>
      </c>
      <c r="L189" s="221">
        <f>J189*K189</f>
        <v>0.8</v>
      </c>
      <c r="N189" s="221"/>
    </row>
    <row r="190" spans="1:14" hidden="1" x14ac:dyDescent="0.2">
      <c r="B190" s="221" t="s">
        <v>159</v>
      </c>
      <c r="C190" s="221">
        <v>60</v>
      </c>
      <c r="D190" s="221" t="s">
        <v>11</v>
      </c>
      <c r="E190" s="221" t="s">
        <v>169</v>
      </c>
      <c r="F190" s="221">
        <v>2</v>
      </c>
      <c r="G190" s="221">
        <v>2</v>
      </c>
      <c r="I190" s="221">
        <v>100</v>
      </c>
      <c r="J190" s="221">
        <f>F190*G190*I190</f>
        <v>400</v>
      </c>
      <c r="K190" s="221">
        <f>2/1000</f>
        <v>2E-3</v>
      </c>
      <c r="L190" s="221">
        <f t="shared" ref="L190:L193" si="31">J190*K190</f>
        <v>0.8</v>
      </c>
      <c r="N190" s="221"/>
    </row>
    <row r="191" spans="1:14" hidden="1" x14ac:dyDescent="0.2">
      <c r="B191" s="221" t="s">
        <v>174</v>
      </c>
      <c r="C191" s="221">
        <v>30</v>
      </c>
      <c r="D191" s="221" t="s">
        <v>11</v>
      </c>
      <c r="E191" s="221" t="s">
        <v>65</v>
      </c>
      <c r="F191" s="221">
        <v>6</v>
      </c>
      <c r="G191" s="221">
        <v>4</v>
      </c>
      <c r="I191" s="221">
        <v>100</v>
      </c>
      <c r="J191" s="221">
        <f>F191*G191*I191</f>
        <v>2400</v>
      </c>
      <c r="K191" s="221">
        <v>1.2199999999999999E-3</v>
      </c>
      <c r="L191" s="221">
        <f t="shared" si="31"/>
        <v>2.9279999999999999</v>
      </c>
      <c r="N191" s="221"/>
    </row>
    <row r="192" spans="1:14" hidden="1" x14ac:dyDescent="0.2">
      <c r="B192" s="221" t="s">
        <v>118</v>
      </c>
      <c r="C192" s="221">
        <v>20</v>
      </c>
      <c r="D192" s="221" t="s">
        <v>11</v>
      </c>
      <c r="E192" s="221" t="s">
        <v>65</v>
      </c>
      <c r="F192" s="221">
        <v>6</v>
      </c>
      <c r="G192" s="221">
        <v>4</v>
      </c>
      <c r="I192" s="221">
        <v>100</v>
      </c>
      <c r="J192" s="221">
        <f>F192*G192*I192</f>
        <v>2400</v>
      </c>
      <c r="K192" s="221">
        <v>1.2199999999999999E-3</v>
      </c>
      <c r="L192" s="221">
        <f t="shared" si="31"/>
        <v>2.9279999999999999</v>
      </c>
      <c r="N192" s="221"/>
    </row>
    <row r="193" spans="1:12" s="221" customFormat="1" hidden="1" x14ac:dyDescent="0.2">
      <c r="B193" s="147" t="s">
        <v>195</v>
      </c>
      <c r="C193" s="147">
        <v>18</v>
      </c>
      <c r="D193" s="147" t="s">
        <v>11</v>
      </c>
      <c r="E193" s="147" t="s">
        <v>169</v>
      </c>
      <c r="F193" s="147">
        <v>1</v>
      </c>
      <c r="G193" s="147">
        <v>2</v>
      </c>
      <c r="H193" s="147"/>
      <c r="I193" s="147">
        <v>100</v>
      </c>
      <c r="J193" s="147">
        <f>F193*G193*I193</f>
        <v>200</v>
      </c>
      <c r="K193" s="147">
        <v>1.2199999999999999E-3</v>
      </c>
      <c r="L193" s="147">
        <f t="shared" si="31"/>
        <v>0.24399999999999999</v>
      </c>
    </row>
    <row r="194" spans="1:12" s="221" customFormat="1" ht="15" hidden="1" thickBot="1" x14ac:dyDescent="0.25">
      <c r="L194" s="200">
        <f>SUM(L189:L193)</f>
        <v>7.7</v>
      </c>
    </row>
    <row r="195" spans="1:12" s="221" customFormat="1" hidden="1" x14ac:dyDescent="0.2"/>
    <row r="196" spans="1:12" s="221" customFormat="1" hidden="1" x14ac:dyDescent="0.2">
      <c r="A196" s="39" t="s">
        <v>91</v>
      </c>
      <c r="B196" s="39" t="s">
        <v>171</v>
      </c>
      <c r="C196" s="39">
        <v>45</v>
      </c>
      <c r="D196" s="39" t="s">
        <v>11</v>
      </c>
      <c r="E196" s="39" t="s">
        <v>169</v>
      </c>
      <c r="F196" s="39">
        <v>1</v>
      </c>
      <c r="G196" s="39">
        <v>2</v>
      </c>
      <c r="H196" s="39"/>
      <c r="I196" s="39">
        <v>0</v>
      </c>
      <c r="J196" s="39">
        <f>F196*G196*I196</f>
        <v>0</v>
      </c>
      <c r="K196" s="39">
        <f>2/1000</f>
        <v>2E-3</v>
      </c>
      <c r="L196" s="39">
        <f>J196*K196</f>
        <v>0</v>
      </c>
    </row>
    <row r="197" spans="1:12" s="221" customFormat="1" hidden="1" x14ac:dyDescent="0.2">
      <c r="A197" s="39"/>
      <c r="B197" s="39" t="s">
        <v>172</v>
      </c>
      <c r="C197" s="39">
        <v>43</v>
      </c>
      <c r="D197" s="39" t="s">
        <v>11</v>
      </c>
      <c r="E197" s="39" t="s">
        <v>169</v>
      </c>
      <c r="F197" s="39">
        <v>1</v>
      </c>
      <c r="G197" s="39">
        <v>2</v>
      </c>
      <c r="H197" s="39"/>
      <c r="I197" s="39">
        <v>0</v>
      </c>
      <c r="J197" s="39">
        <f>F197*G197*I197</f>
        <v>0</v>
      </c>
      <c r="K197" s="39">
        <f>2/1000</f>
        <v>2E-3</v>
      </c>
      <c r="L197" s="39">
        <f t="shared" ref="L197" si="32">J197*K197</f>
        <v>0</v>
      </c>
    </row>
    <row r="198" spans="1:12" s="221" customFormat="1" hidden="1" x14ac:dyDescent="0.2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>
        <f>SUM(L196:L197)</f>
        <v>0</v>
      </c>
    </row>
    <row r="199" spans="1:12" s="221" customFormat="1" hidden="1" x14ac:dyDescent="0.2"/>
    <row r="200" spans="1:12" s="221" customFormat="1" x14ac:dyDescent="0.2"/>
    <row r="201" spans="1:12" s="221" customFormat="1" x14ac:dyDescent="0.2">
      <c r="D201" s="221" t="s">
        <v>11</v>
      </c>
      <c r="G201" s="221">
        <v>2</v>
      </c>
      <c r="I201" s="238">
        <f>Anker!B18</f>
        <v>250</v>
      </c>
      <c r="J201" s="221">
        <f t="shared" ref="J201:J206" si="33">F201*G201*I201</f>
        <v>0</v>
      </c>
      <c r="K201" s="221">
        <f>2/1000</f>
        <v>2E-3</v>
      </c>
      <c r="L201" s="221">
        <f t="shared" ref="L201:L206" si="34">J201*K201</f>
        <v>0</v>
      </c>
    </row>
    <row r="202" spans="1:12" s="221" customFormat="1" x14ac:dyDescent="0.2">
      <c r="B202" s="221" t="s">
        <v>119</v>
      </c>
      <c r="C202" s="221">
        <v>20</v>
      </c>
      <c r="D202" s="221" t="s">
        <v>11</v>
      </c>
      <c r="E202" s="221" t="s">
        <v>65</v>
      </c>
      <c r="F202" s="221">
        <v>1</v>
      </c>
      <c r="G202" s="221">
        <v>2</v>
      </c>
      <c r="I202" s="238">
        <f>I201</f>
        <v>250</v>
      </c>
      <c r="J202" s="221">
        <f t="shared" si="33"/>
        <v>500</v>
      </c>
      <c r="K202" s="250">
        <v>9.7999999999999997E-4</v>
      </c>
      <c r="L202" s="221">
        <f t="shared" si="34"/>
        <v>0.49</v>
      </c>
    </row>
    <row r="203" spans="1:12" s="221" customFormat="1" x14ac:dyDescent="0.2">
      <c r="B203" s="221" t="s">
        <v>174</v>
      </c>
      <c r="C203" s="221">
        <v>30</v>
      </c>
      <c r="D203" s="221" t="s">
        <v>11</v>
      </c>
      <c r="E203" s="221" t="s">
        <v>65</v>
      </c>
      <c r="F203" s="221">
        <v>2</v>
      </c>
      <c r="G203" s="221">
        <v>4</v>
      </c>
      <c r="I203" s="238">
        <f>I201</f>
        <v>250</v>
      </c>
      <c r="J203" s="221">
        <f t="shared" si="33"/>
        <v>2000</v>
      </c>
      <c r="K203" s="221">
        <v>9.7999999999999997E-4</v>
      </c>
      <c r="L203" s="221">
        <f t="shared" si="34"/>
        <v>1.96</v>
      </c>
    </row>
    <row r="204" spans="1:12" s="221" customFormat="1" x14ac:dyDescent="0.2">
      <c r="B204" s="221" t="s">
        <v>195</v>
      </c>
      <c r="C204" s="221">
        <v>18</v>
      </c>
      <c r="D204" s="221" t="s">
        <v>11</v>
      </c>
      <c r="E204" s="221" t="s">
        <v>169</v>
      </c>
      <c r="F204" s="221">
        <v>1</v>
      </c>
      <c r="G204" s="221">
        <v>2</v>
      </c>
      <c r="I204" s="238">
        <f>I201</f>
        <v>250</v>
      </c>
      <c r="J204" s="221">
        <f t="shared" si="33"/>
        <v>500</v>
      </c>
      <c r="K204" s="221">
        <v>9.7999999999999997E-4</v>
      </c>
      <c r="L204" s="221">
        <f t="shared" si="34"/>
        <v>0.49</v>
      </c>
    </row>
    <row r="205" spans="1:12" s="221" customFormat="1" x14ac:dyDescent="0.2">
      <c r="D205" s="221" t="s">
        <v>11</v>
      </c>
      <c r="E205" s="221" t="s">
        <v>169</v>
      </c>
      <c r="G205" s="221">
        <v>2</v>
      </c>
      <c r="I205" s="238">
        <f>I201</f>
        <v>250</v>
      </c>
      <c r="J205" s="221">
        <f t="shared" si="33"/>
        <v>0</v>
      </c>
      <c r="K205" s="221">
        <v>9.7999999999999997E-4</v>
      </c>
      <c r="L205" s="221">
        <f t="shared" si="34"/>
        <v>0</v>
      </c>
    </row>
    <row r="206" spans="1:12" s="221" customFormat="1" ht="15" thickBot="1" x14ac:dyDescent="0.25">
      <c r="D206" s="221" t="s">
        <v>11</v>
      </c>
      <c r="E206" s="221" t="s">
        <v>169</v>
      </c>
      <c r="G206" s="221">
        <v>2</v>
      </c>
      <c r="I206" s="238">
        <f>I201</f>
        <v>250</v>
      </c>
      <c r="J206" s="221">
        <f t="shared" si="33"/>
        <v>0</v>
      </c>
      <c r="K206" s="221">
        <v>9.7999999999999997E-4</v>
      </c>
      <c r="L206" s="221">
        <f t="shared" si="34"/>
        <v>0</v>
      </c>
    </row>
    <row r="207" spans="1:12" s="221" customFormat="1" ht="15" thickBot="1" x14ac:dyDescent="0.25">
      <c r="L207" s="202">
        <f>SUM(L201:L206)</f>
        <v>2.9400000000000004</v>
      </c>
    </row>
    <row r="208" spans="1:12" s="221" customFormat="1" hidden="1" x14ac:dyDescent="0.2"/>
    <row r="209" spans="1:14" hidden="1" x14ac:dyDescent="0.2">
      <c r="A209" s="39" t="s">
        <v>93</v>
      </c>
      <c r="B209" s="39" t="s">
        <v>175</v>
      </c>
      <c r="C209" s="39">
        <v>40</v>
      </c>
      <c r="D209" s="39" t="s">
        <v>11</v>
      </c>
      <c r="E209" s="39" t="s">
        <v>169</v>
      </c>
      <c r="F209" s="39">
        <v>1</v>
      </c>
      <c r="G209" s="39">
        <v>2</v>
      </c>
      <c r="H209" s="39"/>
      <c r="I209" s="39">
        <v>0</v>
      </c>
      <c r="J209" s="39">
        <f>F209*G209*I209</f>
        <v>0</v>
      </c>
      <c r="K209" s="39">
        <f>2/1000</f>
        <v>2E-3</v>
      </c>
      <c r="L209" s="39">
        <f t="shared" ref="L209:L210" si="35">J209*K209</f>
        <v>0</v>
      </c>
    </row>
    <row r="210" spans="1:14" hidden="1" x14ac:dyDescent="0.2">
      <c r="A210" s="39"/>
      <c r="B210" s="39" t="s">
        <v>176</v>
      </c>
      <c r="C210" s="39">
        <v>15</v>
      </c>
      <c r="D210" s="39" t="s">
        <v>11</v>
      </c>
      <c r="E210" s="39" t="s">
        <v>65</v>
      </c>
      <c r="F210" s="39">
        <v>1</v>
      </c>
      <c r="G210" s="39">
        <v>2</v>
      </c>
      <c r="H210" s="39"/>
      <c r="I210" s="39">
        <v>0</v>
      </c>
      <c r="J210" s="39">
        <f>F210*G210*I210</f>
        <v>0</v>
      </c>
      <c r="K210" s="39">
        <v>1.2199999999999999E-3</v>
      </c>
      <c r="L210" s="39">
        <f t="shared" si="35"/>
        <v>0</v>
      </c>
      <c r="N210" s="224"/>
    </row>
    <row r="211" spans="1:14" hidden="1" x14ac:dyDescent="0.2">
      <c r="A211" s="39"/>
      <c r="B211" s="39"/>
      <c r="C211" s="39"/>
      <c r="D211" s="39"/>
      <c r="E211" s="40"/>
      <c r="F211" s="39"/>
      <c r="G211" s="39"/>
      <c r="H211" s="39"/>
      <c r="I211" s="39"/>
      <c r="J211" s="39"/>
      <c r="K211" s="39"/>
      <c r="L211" s="39">
        <f>SUM(L209:L210)</f>
        <v>0</v>
      </c>
      <c r="N211" s="224"/>
    </row>
    <row r="212" spans="1:14" hidden="1" x14ac:dyDescent="0.2">
      <c r="A212" s="39"/>
      <c r="B212" s="39"/>
      <c r="C212" s="39"/>
      <c r="D212" s="39"/>
      <c r="E212" s="40"/>
      <c r="F212" s="39"/>
      <c r="G212" s="39"/>
      <c r="H212" s="39"/>
      <c r="I212" s="39"/>
      <c r="J212" s="39"/>
      <c r="K212" s="39"/>
      <c r="L212" s="39"/>
      <c r="N212" s="224"/>
    </row>
    <row r="213" spans="1:14" hidden="1" x14ac:dyDescent="0.2">
      <c r="A213" s="39" t="s">
        <v>94</v>
      </c>
      <c r="B213" s="39" t="s">
        <v>120</v>
      </c>
      <c r="C213" s="39">
        <v>69</v>
      </c>
      <c r="D213" s="39" t="s">
        <v>11</v>
      </c>
      <c r="E213" s="39" t="s">
        <v>169</v>
      </c>
      <c r="F213" s="39">
        <v>1</v>
      </c>
      <c r="G213" s="39">
        <v>2</v>
      </c>
      <c r="H213" s="39"/>
      <c r="I213" s="39">
        <v>0</v>
      </c>
      <c r="J213" s="39">
        <f>F213*G213*I213</f>
        <v>0</v>
      </c>
      <c r="K213" s="39">
        <f>2/1000</f>
        <v>2E-3</v>
      </c>
      <c r="L213" s="39">
        <f t="shared" ref="L213" si="36">J213*K213</f>
        <v>0</v>
      </c>
      <c r="N213" s="224"/>
    </row>
    <row r="214" spans="1:14" hidden="1" x14ac:dyDescent="0.2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N214" s="224"/>
    </row>
    <row r="215" spans="1:14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N215" s="224"/>
    </row>
    <row r="216" spans="1:14" x14ac:dyDescent="0.2">
      <c r="E216" s="221"/>
      <c r="J216" s="221"/>
      <c r="N216" s="224"/>
    </row>
    <row r="217" spans="1:14" ht="18.75" thickBot="1" x14ac:dyDescent="0.25">
      <c r="A217" s="39"/>
      <c r="B217" s="41"/>
      <c r="C217" s="41"/>
      <c r="D217" s="41"/>
      <c r="E217" s="41"/>
      <c r="F217" s="349" t="s">
        <v>177</v>
      </c>
      <c r="G217" s="349"/>
      <c r="H217" s="349"/>
      <c r="I217" s="349"/>
      <c r="J217" s="350"/>
      <c r="N217" s="224"/>
    </row>
    <row r="218" spans="1:14" ht="33" x14ac:dyDescent="0.2">
      <c r="A218" s="166" t="s">
        <v>33</v>
      </c>
      <c r="B218" s="167"/>
      <c r="C218" s="346"/>
      <c r="D218" s="347"/>
      <c r="E218" s="167" t="s">
        <v>19</v>
      </c>
      <c r="F218" s="22" t="s">
        <v>178</v>
      </c>
      <c r="G218" s="24" t="s">
        <v>179</v>
      </c>
      <c r="H218" s="24" t="s">
        <v>180</v>
      </c>
      <c r="I218" s="2" t="s">
        <v>167</v>
      </c>
      <c r="J218" s="28" t="s">
        <v>166</v>
      </c>
      <c r="K218" s="219" t="s">
        <v>2</v>
      </c>
      <c r="L218" s="2" t="s">
        <v>3</v>
      </c>
      <c r="N218" s="224"/>
    </row>
    <row r="219" spans="1:14" ht="16.5" thickBot="1" x14ac:dyDescent="0.25">
      <c r="A219" s="44"/>
      <c r="B219" s="45"/>
      <c r="C219" s="46"/>
      <c r="D219" s="47"/>
      <c r="E219" s="48"/>
      <c r="F219" s="6"/>
      <c r="G219" s="23"/>
      <c r="H219" s="6"/>
      <c r="I219" s="6" t="s">
        <v>60</v>
      </c>
      <c r="J219" s="19" t="s">
        <v>60</v>
      </c>
      <c r="K219" s="18" t="s">
        <v>62</v>
      </c>
      <c r="L219" s="6" t="s">
        <v>7</v>
      </c>
      <c r="N219" s="224"/>
    </row>
    <row r="220" spans="1:14" ht="15" hidden="1" thickBot="1" x14ac:dyDescent="0.25">
      <c r="A220" s="221" t="s">
        <v>90</v>
      </c>
      <c r="B220" s="147" t="s">
        <v>197</v>
      </c>
      <c r="E220" s="221"/>
      <c r="F220" s="222">
        <f>G156</f>
        <v>23.475000000000001</v>
      </c>
      <c r="G220" s="221">
        <v>4</v>
      </c>
      <c r="H220" s="221">
        <v>1</v>
      </c>
      <c r="I220" s="221">
        <v>50</v>
      </c>
      <c r="J220" s="221">
        <f>2*I220*F220*G220/H220</f>
        <v>9390</v>
      </c>
      <c r="K220" s="221">
        <f>0.22/1000</f>
        <v>2.2000000000000001E-4</v>
      </c>
      <c r="L220" s="201">
        <f>K220*J220</f>
        <v>2.0657999999999999</v>
      </c>
      <c r="N220" s="224"/>
    </row>
    <row r="221" spans="1:14" hidden="1" x14ac:dyDescent="0.2">
      <c r="B221" s="147"/>
      <c r="E221" s="221"/>
      <c r="J221" s="221"/>
      <c r="N221" s="224"/>
    </row>
    <row r="222" spans="1:14" hidden="1" x14ac:dyDescent="0.2">
      <c r="B222" s="147"/>
      <c r="E222" s="221"/>
      <c r="J222" s="221"/>
      <c r="N222" s="224"/>
    </row>
    <row r="223" spans="1:14" hidden="1" x14ac:dyDescent="0.2">
      <c r="A223" s="39" t="s">
        <v>91</v>
      </c>
      <c r="B223" s="147" t="s">
        <v>197</v>
      </c>
      <c r="C223" s="39"/>
      <c r="D223" s="39"/>
      <c r="E223" s="39"/>
      <c r="F223" s="50">
        <f>G163</f>
        <v>0</v>
      </c>
      <c r="G223" s="39">
        <v>4</v>
      </c>
      <c r="H223" s="39">
        <v>1</v>
      </c>
      <c r="I223" s="39">
        <v>0</v>
      </c>
      <c r="J223" s="39">
        <f>2*I223*F223*G223/H223</f>
        <v>0</v>
      </c>
      <c r="K223" s="39">
        <f>0.22/1000</f>
        <v>2.2000000000000001E-4</v>
      </c>
      <c r="L223" s="39">
        <f>K223*J223</f>
        <v>0</v>
      </c>
      <c r="N223" s="224"/>
    </row>
    <row r="224" spans="1:14" hidden="1" x14ac:dyDescent="0.2">
      <c r="B224" s="147"/>
      <c r="E224" s="221"/>
      <c r="J224" s="221"/>
      <c r="N224" s="224"/>
    </row>
    <row r="225" spans="1:14" ht="15" thickBot="1" x14ac:dyDescent="0.25">
      <c r="B225" s="147"/>
      <c r="E225" s="221"/>
      <c r="J225" s="221"/>
      <c r="N225" s="224"/>
    </row>
    <row r="226" spans="1:14" ht="15" thickBot="1" x14ac:dyDescent="0.25">
      <c r="B226" s="147" t="s">
        <v>197</v>
      </c>
      <c r="D226" s="39"/>
      <c r="E226" s="221"/>
      <c r="F226" s="222">
        <f>G168</f>
        <v>29.06</v>
      </c>
      <c r="G226" s="221">
        <v>3</v>
      </c>
      <c r="H226" s="221">
        <v>1</v>
      </c>
      <c r="I226" s="221">
        <v>50</v>
      </c>
      <c r="J226" s="221">
        <f>2*I226*F226*G226/H226</f>
        <v>8718</v>
      </c>
      <c r="K226" s="221">
        <v>2.1000000000000001E-4</v>
      </c>
      <c r="L226" s="203">
        <f>K226*J226</f>
        <v>1.8307800000000001</v>
      </c>
      <c r="N226" s="224"/>
    </row>
    <row r="227" spans="1:14" x14ac:dyDescent="0.2">
      <c r="B227" s="147"/>
      <c r="D227" s="39"/>
      <c r="E227" s="221"/>
      <c r="J227" s="221"/>
      <c r="N227" s="224"/>
    </row>
    <row r="228" spans="1:14" hidden="1" x14ac:dyDescent="0.2">
      <c r="D228" s="39"/>
      <c r="E228" s="221"/>
      <c r="J228" s="221"/>
      <c r="N228" s="224"/>
    </row>
    <row r="229" spans="1:14" hidden="1" x14ac:dyDescent="0.2">
      <c r="A229" s="39" t="s">
        <v>93</v>
      </c>
      <c r="B229" s="39" t="s">
        <v>197</v>
      </c>
      <c r="C229" s="39"/>
      <c r="D229" s="39"/>
      <c r="E229" s="39"/>
      <c r="F229" s="50">
        <f>G176</f>
        <v>0</v>
      </c>
      <c r="G229" s="39">
        <v>4</v>
      </c>
      <c r="H229" s="39">
        <v>1</v>
      </c>
      <c r="I229" s="39">
        <v>0</v>
      </c>
      <c r="J229" s="50">
        <f>2*I229*F229*G229/H229</f>
        <v>0</v>
      </c>
      <c r="K229" s="39">
        <f>0.22/1000</f>
        <v>2.2000000000000001E-4</v>
      </c>
      <c r="L229" s="39">
        <f>K229*J229</f>
        <v>0</v>
      </c>
      <c r="N229" s="224"/>
    </row>
    <row r="230" spans="1:14" hidden="1" x14ac:dyDescent="0.2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N230" s="224"/>
    </row>
    <row r="231" spans="1:14" hidden="1" x14ac:dyDescent="0.2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N231" s="224"/>
    </row>
    <row r="232" spans="1:14" hidden="1" x14ac:dyDescent="0.2">
      <c r="A232" s="39" t="s">
        <v>94</v>
      </c>
      <c r="B232" s="39" t="s">
        <v>197</v>
      </c>
      <c r="C232" s="39"/>
      <c r="D232" s="39"/>
      <c r="E232" s="39"/>
      <c r="F232" s="50">
        <f>G181</f>
        <v>0</v>
      </c>
      <c r="G232" s="39">
        <v>4</v>
      </c>
      <c r="H232" s="39">
        <v>1</v>
      </c>
      <c r="I232" s="39">
        <v>0</v>
      </c>
      <c r="J232" s="39">
        <f>2*I232*F232*G232/H232</f>
        <v>0</v>
      </c>
      <c r="K232" s="39">
        <f>0.22/1000</f>
        <v>2.2000000000000001E-4</v>
      </c>
      <c r="L232" s="39">
        <f>K232*J232</f>
        <v>0</v>
      </c>
      <c r="N232" s="224"/>
    </row>
    <row r="233" spans="1:14" x14ac:dyDescent="0.2">
      <c r="A233" s="39"/>
      <c r="B233" s="39"/>
      <c r="C233" s="39"/>
      <c r="D233" s="39"/>
      <c r="E233" s="39"/>
      <c r="F233" s="50"/>
      <c r="G233" s="39"/>
      <c r="H233" s="39"/>
      <c r="I233" s="39"/>
      <c r="J233" s="39"/>
      <c r="K233" s="39"/>
      <c r="L233" s="39"/>
      <c r="N233" s="224"/>
    </row>
    <row r="234" spans="1:14" x14ac:dyDescent="0.2">
      <c r="A234" s="39"/>
      <c r="B234" s="39"/>
      <c r="C234" s="39"/>
      <c r="D234" s="39"/>
      <c r="E234" s="39"/>
      <c r="F234" s="50"/>
      <c r="G234" s="39"/>
      <c r="H234" s="39"/>
      <c r="I234" s="39"/>
      <c r="J234" s="39"/>
      <c r="K234" s="39"/>
      <c r="L234" s="39"/>
      <c r="N234" s="224"/>
    </row>
    <row r="235" spans="1:14" ht="15.75" hidden="1" thickBot="1" x14ac:dyDescent="0.25">
      <c r="B235" s="351" t="s">
        <v>116</v>
      </c>
      <c r="C235" s="351"/>
      <c r="D235" s="351"/>
      <c r="E235" s="351"/>
      <c r="F235" s="351"/>
      <c r="G235" s="351"/>
      <c r="H235" s="351"/>
      <c r="I235" s="351"/>
      <c r="J235" s="221"/>
      <c r="N235" s="221"/>
    </row>
    <row r="236" spans="1:14" ht="28.5" hidden="1" customHeight="1" thickBot="1" x14ac:dyDescent="0.25">
      <c r="B236" s="216" t="s">
        <v>211</v>
      </c>
      <c r="C236" s="340" t="s">
        <v>214</v>
      </c>
      <c r="D236" s="341"/>
      <c r="E236" s="89" t="s">
        <v>212</v>
      </c>
      <c r="F236" s="33" t="s">
        <v>215</v>
      </c>
      <c r="G236" s="33" t="s">
        <v>216</v>
      </c>
      <c r="H236" s="89" t="s">
        <v>213</v>
      </c>
      <c r="I236" s="33" t="s">
        <v>210</v>
      </c>
      <c r="L236" s="33" t="s">
        <v>97</v>
      </c>
      <c r="N236" s="221"/>
    </row>
    <row r="237" spans="1:14" hidden="1" x14ac:dyDescent="0.2">
      <c r="A237" s="221" t="s">
        <v>90</v>
      </c>
      <c r="B237" s="222">
        <f>L10</f>
        <v>801.74895200000026</v>
      </c>
      <c r="C237" s="352">
        <f>L161</f>
        <v>57.959775000000008</v>
      </c>
      <c r="D237" s="352"/>
      <c r="E237" s="90">
        <f>L46+L79+L85</f>
        <v>71.118799999999993</v>
      </c>
      <c r="F237" s="221">
        <f>L194</f>
        <v>7.7</v>
      </c>
      <c r="G237" s="13">
        <f>L220</f>
        <v>2.0657999999999999</v>
      </c>
      <c r="H237" s="94">
        <f>J124</f>
        <v>22.553700150000001</v>
      </c>
      <c r="I237" s="222">
        <f>L98</f>
        <v>28.655999999999999</v>
      </c>
      <c r="J237" s="173">
        <f>E237+B237+I237</f>
        <v>901.52375200000017</v>
      </c>
      <c r="L237" s="221">
        <f>G156</f>
        <v>23.475000000000001</v>
      </c>
      <c r="N237" s="221"/>
    </row>
    <row r="238" spans="1:14" hidden="1" x14ac:dyDescent="0.2">
      <c r="A238" s="221" t="s">
        <v>91</v>
      </c>
      <c r="B238" s="222">
        <f>L17</f>
        <v>0</v>
      </c>
      <c r="C238" s="339">
        <f>L166</f>
        <v>0</v>
      </c>
      <c r="D238" s="339"/>
      <c r="E238" s="90">
        <f>L52+L91</f>
        <v>0</v>
      </c>
      <c r="F238" s="221">
        <f>L198</f>
        <v>0</v>
      </c>
      <c r="G238" s="13">
        <f>L223</f>
        <v>0</v>
      </c>
      <c r="H238" s="95">
        <f>J130</f>
        <v>0</v>
      </c>
      <c r="I238" s="222">
        <v>0</v>
      </c>
      <c r="J238" s="173">
        <f t="shared" ref="J238:J240" si="37">E238+B238</f>
        <v>0</v>
      </c>
      <c r="L238" s="222">
        <f>G163</f>
        <v>0</v>
      </c>
      <c r="N238" s="221"/>
    </row>
    <row r="239" spans="1:14" hidden="1" x14ac:dyDescent="0.2">
      <c r="A239" s="224" t="s">
        <v>92</v>
      </c>
      <c r="B239" s="222">
        <f>L25</f>
        <v>79.359000000000009</v>
      </c>
      <c r="C239" s="339">
        <f>L173</f>
        <v>3.0577920000000001</v>
      </c>
      <c r="D239" s="339"/>
      <c r="E239" s="90">
        <f>L61</f>
        <v>1.4727999999999999</v>
      </c>
      <c r="F239" s="13">
        <f>L207</f>
        <v>2.9400000000000004</v>
      </c>
      <c r="G239" s="13">
        <f>L226</f>
        <v>1.8307800000000001</v>
      </c>
      <c r="H239" s="95">
        <f>J139</f>
        <v>5.5412770399999989</v>
      </c>
      <c r="I239" s="222">
        <f>L103</f>
        <v>0</v>
      </c>
      <c r="J239" s="173">
        <f>E239+B239+I239</f>
        <v>80.831800000000015</v>
      </c>
      <c r="L239" s="222">
        <f>G168</f>
        <v>29.06</v>
      </c>
      <c r="N239" s="221"/>
    </row>
    <row r="240" spans="1:14" hidden="1" x14ac:dyDescent="0.2">
      <c r="A240" s="221" t="s">
        <v>93</v>
      </c>
      <c r="B240" s="222">
        <f>L29</f>
        <v>0</v>
      </c>
      <c r="C240" s="339">
        <f>L179</f>
        <v>0</v>
      </c>
      <c r="D240" s="339"/>
      <c r="E240" s="90">
        <f>L66</f>
        <v>0</v>
      </c>
      <c r="F240" s="221">
        <f>L211</f>
        <v>0</v>
      </c>
      <c r="G240" s="13">
        <f>L229</f>
        <v>0</v>
      </c>
      <c r="H240" s="95">
        <f>J145</f>
        <v>0</v>
      </c>
      <c r="I240" s="38">
        <f>L107</f>
        <v>0</v>
      </c>
      <c r="J240" s="173">
        <f t="shared" si="37"/>
        <v>0</v>
      </c>
      <c r="L240" s="222">
        <f>G176</f>
        <v>0</v>
      </c>
      <c r="N240" s="221"/>
    </row>
    <row r="241" spans="1:14" hidden="1" x14ac:dyDescent="0.2">
      <c r="A241" s="221" t="s">
        <v>94</v>
      </c>
      <c r="B241" s="222">
        <f>L35</f>
        <v>0</v>
      </c>
      <c r="C241" s="339">
        <f>L184</f>
        <v>0</v>
      </c>
      <c r="D241" s="339"/>
      <c r="E241" s="90">
        <f>L73</f>
        <v>0</v>
      </c>
      <c r="F241" s="221">
        <f>L213</f>
        <v>0</v>
      </c>
      <c r="G241" s="13">
        <f>L232</f>
        <v>0</v>
      </c>
      <c r="H241" s="95">
        <f>J150</f>
        <v>0</v>
      </c>
      <c r="I241" s="38">
        <f>L111</f>
        <v>0</v>
      </c>
      <c r="L241" s="222">
        <f>G181</f>
        <v>0</v>
      </c>
      <c r="N241" s="221"/>
    </row>
    <row r="242" spans="1:14" ht="15" hidden="1" thickBot="1" x14ac:dyDescent="0.25">
      <c r="C242" s="337"/>
      <c r="D242" s="337"/>
      <c r="E242" s="91"/>
      <c r="H242" s="96"/>
      <c r="I242" s="12"/>
      <c r="L242" s="32"/>
      <c r="N242" s="221"/>
    </row>
    <row r="243" spans="1:14" ht="29.25" hidden="1" customHeight="1" thickBot="1" x14ac:dyDescent="0.25">
      <c r="B243" s="216" t="s">
        <v>211</v>
      </c>
      <c r="C243" s="340" t="s">
        <v>214</v>
      </c>
      <c r="D243" s="341"/>
      <c r="E243" s="89" t="s">
        <v>212</v>
      </c>
      <c r="F243" s="33" t="s">
        <v>215</v>
      </c>
      <c r="G243" s="33" t="s">
        <v>216</v>
      </c>
      <c r="H243" s="89" t="s">
        <v>213</v>
      </c>
      <c r="I243" s="33" t="s">
        <v>210</v>
      </c>
      <c r="L243" s="33" t="s">
        <v>97</v>
      </c>
      <c r="N243" s="221"/>
    </row>
    <row r="244" spans="1:14" hidden="1" x14ac:dyDescent="0.2">
      <c r="A244" s="221" t="s">
        <v>239</v>
      </c>
      <c r="B244" s="222">
        <f>B237+B238</f>
        <v>801.74895200000026</v>
      </c>
      <c r="C244" s="339">
        <f>C237+C238</f>
        <v>57.959775000000008</v>
      </c>
      <c r="D244" s="337"/>
      <c r="E244" s="90">
        <f>E237+E238</f>
        <v>71.118799999999993</v>
      </c>
      <c r="F244" s="222">
        <f>F237+F238</f>
        <v>7.7</v>
      </c>
      <c r="G244" s="222">
        <f>G237+G238</f>
        <v>2.0657999999999999</v>
      </c>
      <c r="H244" s="94">
        <f>H237+H238</f>
        <v>22.553700150000001</v>
      </c>
      <c r="I244" s="222">
        <f>I237+I238</f>
        <v>28.655999999999999</v>
      </c>
      <c r="L244" s="222">
        <f>L237+L238</f>
        <v>23.475000000000001</v>
      </c>
      <c r="M244" s="222">
        <f>SUM(B244:I244)</f>
        <v>991.80302715000028</v>
      </c>
      <c r="N244" s="221"/>
    </row>
    <row r="245" spans="1:14" hidden="1" x14ac:dyDescent="0.2">
      <c r="A245" s="221" t="s">
        <v>240</v>
      </c>
      <c r="B245" s="222">
        <f>B239+B240</f>
        <v>79.359000000000009</v>
      </c>
      <c r="C245" s="342">
        <f>C239+C240</f>
        <v>3.0577920000000001</v>
      </c>
      <c r="D245" s="343"/>
      <c r="E245" s="90">
        <f>E239+E240</f>
        <v>1.4727999999999999</v>
      </c>
      <c r="F245" s="222">
        <f>F239+F240</f>
        <v>2.9400000000000004</v>
      </c>
      <c r="G245" s="222">
        <f>G239+G240</f>
        <v>1.8307800000000001</v>
      </c>
      <c r="H245" s="97">
        <f>H239+H240</f>
        <v>5.5412770399999989</v>
      </c>
      <c r="I245" s="222">
        <f>I239+I240</f>
        <v>0</v>
      </c>
      <c r="L245" s="222">
        <f>L239+L240</f>
        <v>29.06</v>
      </c>
      <c r="M245" s="222">
        <f>SUM(B245:I245)</f>
        <v>94.201649040000021</v>
      </c>
      <c r="N245" s="221"/>
    </row>
    <row r="246" spans="1:14" hidden="1" x14ac:dyDescent="0.2">
      <c r="B246" s="222"/>
      <c r="C246" s="342"/>
      <c r="D246" s="343"/>
      <c r="E246" s="90"/>
      <c r="F246" s="222"/>
      <c r="G246" s="222"/>
      <c r="H246" s="97"/>
      <c r="I246" s="222"/>
      <c r="L246" s="222">
        <f>L239+L241</f>
        <v>29.06</v>
      </c>
      <c r="M246" s="222">
        <f>SUM(B246:I246)</f>
        <v>0</v>
      </c>
      <c r="N246" s="221"/>
    </row>
    <row r="247" spans="1:14" hidden="1" x14ac:dyDescent="0.2">
      <c r="C247" s="337"/>
      <c r="D247" s="337"/>
      <c r="E247" s="91"/>
      <c r="H247" s="32"/>
      <c r="I247" s="12"/>
      <c r="L247" s="32"/>
      <c r="N247" s="221"/>
    </row>
    <row r="248" spans="1:14" hidden="1" x14ac:dyDescent="0.2">
      <c r="B248" s="225">
        <f>B244/SUM(B244:H244)</f>
        <v>0.832426337204627</v>
      </c>
      <c r="C248" s="338">
        <f>C244/SUM(B244:H244)</f>
        <v>6.0177494573705789E-2</v>
      </c>
      <c r="D248" s="338"/>
      <c r="E248" s="92">
        <f>E244/SUM(B244:H244)</f>
        <v>7.3840024415009656E-2</v>
      </c>
      <c r="F248" s="64">
        <f>F244/SUM(B244:H244)</f>
        <v>7.9946257247812732E-3</v>
      </c>
      <c r="G248" s="64">
        <f>G244/SUM(B244:H244)</f>
        <v>2.1448438730198899E-3</v>
      </c>
      <c r="H248" s="98">
        <f>H244/SUM(B244:H244)</f>
        <v>2.3416674208856268E-2</v>
      </c>
      <c r="I248" s="64">
        <f>I244/SUM(B244:H244)</f>
        <v>2.975246685316002E-2</v>
      </c>
      <c r="N248" s="221"/>
    </row>
    <row r="249" spans="1:14" hidden="1" x14ac:dyDescent="0.2">
      <c r="B249" s="225">
        <f>B245/SUM(B245:H245)</f>
        <v>0.84243748181417177</v>
      </c>
      <c r="C249" s="338">
        <f>C245/SUM(B245:H245)</f>
        <v>3.2460068705395979E-2</v>
      </c>
      <c r="D249" s="338"/>
      <c r="E249" s="92">
        <f>E245/SUM(B245:H245)</f>
        <v>1.5634545838731737E-2</v>
      </c>
      <c r="F249" s="64">
        <f>F245/SUM(B245:H245)</f>
        <v>3.120964473511089E-2</v>
      </c>
      <c r="G249" s="64">
        <f>G245/SUM(B245:H245)</f>
        <v>1.9434691628621194E-2</v>
      </c>
      <c r="H249" s="98">
        <f>H245/SUM(B245:H245)</f>
        <v>5.8823567277968294E-2</v>
      </c>
      <c r="I249" s="64">
        <f>I245/SUM(B245:H245)</f>
        <v>0</v>
      </c>
      <c r="N249" s="221"/>
    </row>
    <row r="250" spans="1:14" hidden="1" x14ac:dyDescent="0.2">
      <c r="B250" s="225" t="e">
        <f>B246/SUM(B246:H246)</f>
        <v>#DIV/0!</v>
      </c>
      <c r="C250" s="338" t="e">
        <f>C246/SUM(B246:H246)</f>
        <v>#DIV/0!</v>
      </c>
      <c r="D250" s="338"/>
      <c r="E250" s="92" t="e">
        <f>E246/SUM(B246:H246)</f>
        <v>#DIV/0!</v>
      </c>
      <c r="F250" s="64" t="e">
        <f>F246/SUM(B246:H246)</f>
        <v>#DIV/0!</v>
      </c>
      <c r="G250" s="64" t="e">
        <f>G246/SUM(B246:H246)</f>
        <v>#DIV/0!</v>
      </c>
      <c r="H250" s="98" t="e">
        <f>H246/SUM(B246:H246)</f>
        <v>#DIV/0!</v>
      </c>
      <c r="I250" s="64" t="e">
        <f>I246/SUM(B246:H246)</f>
        <v>#DIV/0!</v>
      </c>
      <c r="N250" s="221"/>
    </row>
    <row r="251" spans="1:14" hidden="1" x14ac:dyDescent="0.2">
      <c r="C251" s="93"/>
      <c r="D251" s="93"/>
      <c r="F251" s="337"/>
      <c r="G251" s="337"/>
      <c r="H251" s="337"/>
      <c r="I251" s="337"/>
      <c r="J251" s="32"/>
      <c r="N251" s="221"/>
    </row>
    <row r="252" spans="1:14" hidden="1" x14ac:dyDescent="0.2">
      <c r="C252" s="93"/>
      <c r="D252" s="93"/>
      <c r="F252" s="337"/>
      <c r="G252" s="337"/>
      <c r="H252" s="337"/>
      <c r="I252" s="337"/>
      <c r="J252" s="32"/>
      <c r="N252" s="221"/>
    </row>
    <row r="253" spans="1:14" hidden="1" x14ac:dyDescent="0.2">
      <c r="C253" s="93"/>
      <c r="D253" s="93"/>
      <c r="F253" s="337"/>
      <c r="G253" s="337"/>
      <c r="H253" s="337"/>
      <c r="I253" s="337"/>
      <c r="J253" s="32"/>
      <c r="N253" s="221"/>
    </row>
    <row r="254" spans="1:14" hidden="1" x14ac:dyDescent="0.2">
      <c r="C254" s="93"/>
      <c r="D254" s="93"/>
      <c r="F254" s="337"/>
      <c r="G254" s="337"/>
      <c r="H254" s="337"/>
      <c r="I254" s="337"/>
      <c r="J254" s="32"/>
      <c r="N254" s="221"/>
    </row>
    <row r="255" spans="1:14" hidden="1" x14ac:dyDescent="0.2">
      <c r="C255" s="93"/>
      <c r="D255" s="93"/>
      <c r="F255" s="337"/>
      <c r="G255" s="337"/>
      <c r="H255" s="337"/>
      <c r="I255" s="337"/>
      <c r="J255" s="32"/>
      <c r="N255" s="221"/>
    </row>
    <row r="256" spans="1:14" hidden="1" x14ac:dyDescent="0.2">
      <c r="C256" s="93"/>
      <c r="D256" s="93"/>
      <c r="F256" s="337"/>
      <c r="G256" s="337"/>
      <c r="H256" s="337"/>
      <c r="I256" s="337"/>
      <c r="J256" s="32"/>
      <c r="N256" s="221"/>
    </row>
    <row r="257" spans="2:14" hidden="1" x14ac:dyDescent="0.2">
      <c r="C257" s="93"/>
      <c r="D257" s="93"/>
      <c r="F257" s="337"/>
      <c r="G257" s="337"/>
      <c r="H257" s="337"/>
      <c r="I257" s="337"/>
      <c r="J257" s="32"/>
      <c r="N257" s="221"/>
    </row>
    <row r="258" spans="2:14" hidden="1" x14ac:dyDescent="0.2">
      <c r="C258" s="93"/>
      <c r="D258" s="93"/>
      <c r="J258" s="221"/>
      <c r="N258" s="221"/>
    </row>
    <row r="259" spans="2:14" hidden="1" x14ac:dyDescent="0.2">
      <c r="C259" s="93">
        <v>0</v>
      </c>
      <c r="D259" s="93"/>
      <c r="J259" s="221"/>
      <c r="N259" s="221"/>
    </row>
    <row r="260" spans="2:14" hidden="1" x14ac:dyDescent="0.2">
      <c r="C260" s="222">
        <f>SUM(B244:I244)</f>
        <v>991.80302715000028</v>
      </c>
      <c r="D260" s="93"/>
      <c r="J260" s="221"/>
      <c r="N260" s="221"/>
    </row>
    <row r="261" spans="2:14" hidden="1" x14ac:dyDescent="0.2">
      <c r="C261" s="222">
        <f t="shared" ref="C261:C262" si="38">SUM(B245:I245)</f>
        <v>94.201649040000021</v>
      </c>
      <c r="D261" s="93"/>
      <c r="J261" s="221"/>
      <c r="N261" s="221"/>
    </row>
    <row r="262" spans="2:14" hidden="1" x14ac:dyDescent="0.2">
      <c r="C262" s="222">
        <f t="shared" si="38"/>
        <v>0</v>
      </c>
      <c r="D262" s="93"/>
      <c r="J262" s="221"/>
      <c r="N262" s="221"/>
    </row>
    <row r="263" spans="2:14" hidden="1" x14ac:dyDescent="0.2">
      <c r="B263" s="222"/>
      <c r="C263" s="93">
        <v>0</v>
      </c>
      <c r="D263" s="93"/>
      <c r="J263" s="221"/>
      <c r="N263" s="221"/>
    </row>
    <row r="264" spans="2:14" hidden="1" x14ac:dyDescent="0.2">
      <c r="B264" s="222"/>
      <c r="C264" s="93"/>
      <c r="D264" s="93"/>
      <c r="E264" s="221"/>
      <c r="J264" s="221"/>
      <c r="N264" s="221"/>
    </row>
    <row r="265" spans="2:14" hidden="1" x14ac:dyDescent="0.2">
      <c r="C265" s="93"/>
      <c r="D265" s="93"/>
      <c r="E265" s="221"/>
      <c r="J265" s="221"/>
      <c r="N265" s="221"/>
    </row>
    <row r="266" spans="2:14" hidden="1" x14ac:dyDescent="0.2">
      <c r="C266" s="93"/>
      <c r="D266" s="93"/>
      <c r="E266" s="221"/>
      <c r="J266" s="221"/>
      <c r="N266" s="221"/>
    </row>
    <row r="267" spans="2:14" hidden="1" x14ac:dyDescent="0.2">
      <c r="C267" s="93"/>
      <c r="D267" s="93"/>
      <c r="E267" s="221"/>
      <c r="J267" s="221"/>
      <c r="N267" s="221"/>
    </row>
    <row r="268" spans="2:14" hidden="1" x14ac:dyDescent="0.2">
      <c r="C268" s="93"/>
      <c r="D268" s="93"/>
      <c r="E268" s="221"/>
      <c r="J268" s="221"/>
      <c r="N268" s="221"/>
    </row>
    <row r="269" spans="2:14" hidden="1" x14ac:dyDescent="0.2">
      <c r="C269" s="93"/>
      <c r="D269" s="93"/>
      <c r="E269" s="221"/>
      <c r="J269" s="221"/>
      <c r="N269" s="221"/>
    </row>
    <row r="270" spans="2:14" hidden="1" x14ac:dyDescent="0.2">
      <c r="C270" s="93"/>
      <c r="D270" s="93"/>
      <c r="E270" s="221"/>
      <c r="J270" s="221"/>
      <c r="N270" s="221"/>
    </row>
    <row r="271" spans="2:14" hidden="1" x14ac:dyDescent="0.2">
      <c r="C271" s="93"/>
      <c r="D271" s="93"/>
      <c r="E271" s="221"/>
      <c r="J271" s="221"/>
      <c r="N271" s="221"/>
    </row>
    <row r="272" spans="2:14" hidden="1" x14ac:dyDescent="0.2">
      <c r="C272" s="93"/>
      <c r="D272" s="93"/>
      <c r="E272" s="221"/>
      <c r="J272" s="221"/>
      <c r="N272" s="221"/>
    </row>
    <row r="273" spans="5:14" s="221" customFormat="1" hidden="1" x14ac:dyDescent="0.2"/>
    <row r="274" spans="5:14" s="221" customFormat="1" hidden="1" x14ac:dyDescent="0.2"/>
    <row r="275" spans="5:14" s="221" customFormat="1" hidden="1" x14ac:dyDescent="0.2"/>
    <row r="276" spans="5:14" s="221" customFormat="1" hidden="1" x14ac:dyDescent="0.2"/>
    <row r="277" spans="5:14" s="221" customFormat="1" hidden="1" x14ac:dyDescent="0.2"/>
    <row r="278" spans="5:14" s="221" customFormat="1" hidden="1" x14ac:dyDescent="0.2"/>
    <row r="279" spans="5:14" s="221" customFormat="1" hidden="1" x14ac:dyDescent="0.2"/>
    <row r="280" spans="5:14" hidden="1" x14ac:dyDescent="0.2">
      <c r="E280" s="221"/>
      <c r="H280" s="222"/>
      <c r="I280" s="222"/>
      <c r="J280" s="222"/>
      <c r="N280" s="221"/>
    </row>
    <row r="281" spans="5:14" hidden="1" x14ac:dyDescent="0.2">
      <c r="E281" s="221"/>
      <c r="H281" s="222"/>
      <c r="I281" s="222"/>
      <c r="J281" s="222"/>
      <c r="N281" s="221"/>
    </row>
    <row r="282" spans="5:14" s="221" customFormat="1" hidden="1" x14ac:dyDescent="0.2"/>
    <row r="283" spans="5:14" s="221" customFormat="1" hidden="1" x14ac:dyDescent="0.2"/>
    <row r="284" spans="5:14" s="221" customFormat="1" hidden="1" x14ac:dyDescent="0.2"/>
    <row r="285" spans="5:14" s="221" customFormat="1" hidden="1" x14ac:dyDescent="0.2"/>
    <row r="286" spans="5:14" s="221" customFormat="1" hidden="1" x14ac:dyDescent="0.2"/>
    <row r="287" spans="5:14" s="221" customFormat="1" hidden="1" x14ac:dyDescent="0.2"/>
    <row r="288" spans="5:14" s="221" customFormat="1" hidden="1" x14ac:dyDescent="0.2"/>
    <row r="289" spans="5:14" hidden="1" x14ac:dyDescent="0.2">
      <c r="E289" s="221"/>
      <c r="H289" s="32"/>
      <c r="J289" s="221"/>
      <c r="N289" s="221"/>
    </row>
    <row r="290" spans="5:14" hidden="1" x14ac:dyDescent="0.2">
      <c r="E290" s="221"/>
      <c r="H290" s="32"/>
      <c r="J290" s="221"/>
      <c r="N290" s="221"/>
    </row>
    <row r="291" spans="5:14" hidden="1" x14ac:dyDescent="0.2">
      <c r="E291" s="221"/>
      <c r="H291" s="32"/>
      <c r="J291" s="221"/>
      <c r="N291" s="221"/>
    </row>
    <row r="292" spans="5:14" hidden="1" x14ac:dyDescent="0.2">
      <c r="E292" s="221"/>
      <c r="J292" s="221"/>
      <c r="N292" s="221"/>
    </row>
    <row r="293" spans="5:14" hidden="1" x14ac:dyDescent="0.2">
      <c r="E293" s="221"/>
      <c r="J293" s="221"/>
      <c r="N293" s="221"/>
    </row>
    <row r="294" spans="5:14" hidden="1" x14ac:dyDescent="0.2">
      <c r="E294" s="221"/>
      <c r="J294" s="221"/>
      <c r="N294" s="221"/>
    </row>
    <row r="295" spans="5:14" hidden="1" x14ac:dyDescent="0.2">
      <c r="E295" s="221"/>
      <c r="J295" s="221"/>
      <c r="N295" s="221"/>
    </row>
    <row r="296" spans="5:14" hidden="1" x14ac:dyDescent="0.2">
      <c r="J296" s="221"/>
      <c r="N296" s="221"/>
    </row>
    <row r="297" spans="5:14" x14ac:dyDescent="0.2">
      <c r="J297" s="221"/>
      <c r="N297" s="221"/>
    </row>
    <row r="298" spans="5:14" x14ac:dyDescent="0.2">
      <c r="J298" s="221"/>
      <c r="N298" s="221"/>
    </row>
    <row r="299" spans="5:14" x14ac:dyDescent="0.2">
      <c r="J299" s="221"/>
      <c r="N299" s="221"/>
    </row>
    <row r="300" spans="5:14" x14ac:dyDescent="0.2">
      <c r="J300" s="221"/>
      <c r="N300" s="221"/>
    </row>
    <row r="301" spans="5:14" x14ac:dyDescent="0.2">
      <c r="J301" s="221"/>
      <c r="N301" s="221"/>
    </row>
    <row r="302" spans="5:14" x14ac:dyDescent="0.2">
      <c r="J302" s="221"/>
      <c r="N302" s="221"/>
    </row>
    <row r="303" spans="5:14" x14ac:dyDescent="0.2">
      <c r="J303" s="221"/>
      <c r="N303" s="221"/>
    </row>
    <row r="304" spans="5:14" x14ac:dyDescent="0.2">
      <c r="J304" s="221"/>
      <c r="N304" s="221"/>
    </row>
    <row r="305" spans="10:14" x14ac:dyDescent="0.2">
      <c r="J305" s="221"/>
      <c r="N305" s="221"/>
    </row>
    <row r="306" spans="10:14" x14ac:dyDescent="0.2">
      <c r="J306" s="221"/>
      <c r="N306" s="221"/>
    </row>
    <row r="307" spans="10:14" x14ac:dyDescent="0.2">
      <c r="J307" s="221"/>
      <c r="N307" s="221"/>
    </row>
    <row r="308" spans="10:14" x14ac:dyDescent="0.2">
      <c r="J308" s="221"/>
      <c r="N308" s="221"/>
    </row>
    <row r="309" spans="10:14" x14ac:dyDescent="0.2">
      <c r="J309" s="221"/>
      <c r="N309" s="221"/>
    </row>
    <row r="310" spans="10:14" x14ac:dyDescent="0.2">
      <c r="J310" s="221"/>
      <c r="N310" s="221"/>
    </row>
    <row r="311" spans="10:14" x14ac:dyDescent="0.2">
      <c r="J311" s="221"/>
      <c r="N311" s="221"/>
    </row>
    <row r="312" spans="10:14" x14ac:dyDescent="0.2">
      <c r="J312" s="221"/>
      <c r="N312" s="221"/>
    </row>
    <row r="313" spans="10:14" x14ac:dyDescent="0.2">
      <c r="J313" s="221"/>
      <c r="N313" s="221"/>
    </row>
    <row r="314" spans="10:14" x14ac:dyDescent="0.2">
      <c r="J314" s="221"/>
      <c r="N314" s="221"/>
    </row>
    <row r="315" spans="10:14" x14ac:dyDescent="0.2">
      <c r="J315" s="221"/>
      <c r="N315" s="221"/>
    </row>
    <row r="316" spans="10:14" x14ac:dyDescent="0.2">
      <c r="J316" s="221"/>
      <c r="N316" s="221"/>
    </row>
    <row r="317" spans="10:14" x14ac:dyDescent="0.2">
      <c r="J317" s="221"/>
      <c r="N317" s="221"/>
    </row>
    <row r="318" spans="10:14" x14ac:dyDescent="0.2">
      <c r="J318" s="221"/>
      <c r="N318" s="221"/>
    </row>
    <row r="319" spans="10:14" x14ac:dyDescent="0.2">
      <c r="J319" s="221"/>
      <c r="N319" s="221"/>
    </row>
    <row r="320" spans="10:14" x14ac:dyDescent="0.2">
      <c r="J320" s="221"/>
      <c r="N320" s="221"/>
    </row>
    <row r="321" spans="10:14" x14ac:dyDescent="0.2">
      <c r="J321" s="221"/>
      <c r="N321" s="221"/>
    </row>
    <row r="322" spans="10:14" x14ac:dyDescent="0.2">
      <c r="J322" s="221"/>
      <c r="N322" s="221"/>
    </row>
    <row r="323" spans="10:14" x14ac:dyDescent="0.2">
      <c r="J323" s="221"/>
      <c r="N323" s="221"/>
    </row>
    <row r="324" spans="10:14" x14ac:dyDescent="0.2">
      <c r="J324" s="221"/>
      <c r="N324" s="221"/>
    </row>
    <row r="325" spans="10:14" x14ac:dyDescent="0.2">
      <c r="J325" s="221"/>
      <c r="N325" s="221"/>
    </row>
    <row r="326" spans="10:14" x14ac:dyDescent="0.2">
      <c r="J326" s="221"/>
      <c r="N326" s="221"/>
    </row>
    <row r="327" spans="10:14" x14ac:dyDescent="0.2">
      <c r="J327" s="221"/>
      <c r="N327" s="221"/>
    </row>
    <row r="328" spans="10:14" x14ac:dyDescent="0.2">
      <c r="J328" s="221"/>
      <c r="N328" s="221"/>
    </row>
    <row r="329" spans="10:14" x14ac:dyDescent="0.2">
      <c r="J329" s="221"/>
      <c r="N329" s="221"/>
    </row>
    <row r="330" spans="10:14" x14ac:dyDescent="0.2">
      <c r="J330" s="221"/>
      <c r="N330" s="221"/>
    </row>
    <row r="331" spans="10:14" x14ac:dyDescent="0.2">
      <c r="J331" s="221"/>
      <c r="N331" s="221"/>
    </row>
    <row r="332" spans="10:14" x14ac:dyDescent="0.2">
      <c r="J332" s="221"/>
      <c r="N332" s="221"/>
    </row>
    <row r="333" spans="10:14" x14ac:dyDescent="0.2">
      <c r="J333" s="221"/>
      <c r="N333" s="221"/>
    </row>
    <row r="334" spans="10:14" x14ac:dyDescent="0.2">
      <c r="J334" s="221"/>
      <c r="N334" s="221"/>
    </row>
    <row r="335" spans="10:14" x14ac:dyDescent="0.2">
      <c r="J335" s="221"/>
      <c r="N335" s="221"/>
    </row>
    <row r="336" spans="10:14" x14ac:dyDescent="0.2">
      <c r="J336" s="221"/>
      <c r="N336" s="221"/>
    </row>
    <row r="337" spans="10:14" x14ac:dyDescent="0.2">
      <c r="J337" s="221"/>
      <c r="N337" s="221"/>
    </row>
    <row r="338" spans="10:14" x14ac:dyDescent="0.2">
      <c r="J338" s="221"/>
      <c r="N338" s="221"/>
    </row>
    <row r="339" spans="10:14" x14ac:dyDescent="0.2">
      <c r="J339" s="221"/>
      <c r="N339" s="221"/>
    </row>
    <row r="340" spans="10:14" x14ac:dyDescent="0.2">
      <c r="J340" s="221"/>
      <c r="N340" s="221"/>
    </row>
    <row r="341" spans="10:14" x14ac:dyDescent="0.2">
      <c r="J341" s="221"/>
      <c r="N341" s="221"/>
    </row>
    <row r="342" spans="10:14" x14ac:dyDescent="0.2">
      <c r="J342" s="221"/>
      <c r="N342" s="221"/>
    </row>
    <row r="343" spans="10:14" x14ac:dyDescent="0.2">
      <c r="J343" s="221"/>
      <c r="N343" s="221"/>
    </row>
    <row r="344" spans="10:14" x14ac:dyDescent="0.2">
      <c r="J344" s="221"/>
      <c r="N344" s="221"/>
    </row>
    <row r="345" spans="10:14" x14ac:dyDescent="0.2">
      <c r="J345" s="221"/>
      <c r="N345" s="221"/>
    </row>
    <row r="346" spans="10:14" x14ac:dyDescent="0.2">
      <c r="J346" s="221"/>
      <c r="N346" s="221"/>
    </row>
    <row r="347" spans="10:14" x14ac:dyDescent="0.2">
      <c r="J347" s="221"/>
      <c r="N347" s="221"/>
    </row>
    <row r="348" spans="10:14" x14ac:dyDescent="0.2">
      <c r="J348" s="221"/>
      <c r="N348" s="221"/>
    </row>
    <row r="349" spans="10:14" x14ac:dyDescent="0.2">
      <c r="J349" s="221"/>
      <c r="N349" s="221"/>
    </row>
    <row r="350" spans="10:14" x14ac:dyDescent="0.2">
      <c r="J350" s="221"/>
      <c r="N350" s="221"/>
    </row>
    <row r="351" spans="10:14" x14ac:dyDescent="0.2">
      <c r="J351" s="221"/>
      <c r="N351" s="221"/>
    </row>
    <row r="352" spans="10:14" x14ac:dyDescent="0.2">
      <c r="J352" s="221"/>
      <c r="N352" s="221"/>
    </row>
    <row r="353" spans="10:14" x14ac:dyDescent="0.2">
      <c r="J353" s="221"/>
      <c r="N353" s="221"/>
    </row>
    <row r="354" spans="10:14" x14ac:dyDescent="0.2">
      <c r="J354" s="221"/>
      <c r="N354" s="221"/>
    </row>
    <row r="355" spans="10:14" x14ac:dyDescent="0.2">
      <c r="J355" s="221"/>
      <c r="N355" s="221"/>
    </row>
    <row r="356" spans="10:14" x14ac:dyDescent="0.2">
      <c r="J356" s="221"/>
      <c r="N356" s="221"/>
    </row>
    <row r="357" spans="10:14" x14ac:dyDescent="0.2">
      <c r="J357" s="221"/>
      <c r="N357" s="221"/>
    </row>
    <row r="358" spans="10:14" x14ac:dyDescent="0.2">
      <c r="J358" s="221"/>
      <c r="N358" s="221"/>
    </row>
    <row r="359" spans="10:14" x14ac:dyDescent="0.2">
      <c r="J359" s="221"/>
      <c r="N359" s="221"/>
    </row>
    <row r="360" spans="10:14" x14ac:dyDescent="0.2">
      <c r="J360" s="221"/>
      <c r="N360" s="221"/>
    </row>
    <row r="361" spans="10:14" x14ac:dyDescent="0.2">
      <c r="J361" s="221"/>
      <c r="N361" s="221"/>
    </row>
    <row r="362" spans="10:14" x14ac:dyDescent="0.2">
      <c r="J362" s="221"/>
      <c r="N362" s="221"/>
    </row>
    <row r="363" spans="10:14" x14ac:dyDescent="0.2">
      <c r="J363" s="221"/>
      <c r="N363" s="221"/>
    </row>
    <row r="364" spans="10:14" x14ac:dyDescent="0.2">
      <c r="J364" s="221"/>
      <c r="N364" s="221"/>
    </row>
    <row r="365" spans="10:14" x14ac:dyDescent="0.2">
      <c r="J365" s="221"/>
      <c r="N365" s="221"/>
    </row>
    <row r="366" spans="10:14" x14ac:dyDescent="0.2">
      <c r="J366" s="221"/>
      <c r="N366" s="221"/>
    </row>
    <row r="367" spans="10:14" x14ac:dyDescent="0.2">
      <c r="J367" s="221"/>
      <c r="N367" s="221"/>
    </row>
    <row r="368" spans="10:14" x14ac:dyDescent="0.2">
      <c r="J368" s="221"/>
      <c r="N368" s="221"/>
    </row>
    <row r="369" spans="10:14" x14ac:dyDescent="0.2">
      <c r="J369" s="221"/>
      <c r="N369" s="221"/>
    </row>
    <row r="370" spans="10:14" x14ac:dyDescent="0.2">
      <c r="J370" s="221"/>
      <c r="N370" s="221"/>
    </row>
    <row r="371" spans="10:14" x14ac:dyDescent="0.2">
      <c r="J371" s="221"/>
      <c r="N371" s="221"/>
    </row>
    <row r="372" spans="10:14" x14ac:dyDescent="0.2">
      <c r="J372" s="221"/>
      <c r="N372" s="221"/>
    </row>
    <row r="373" spans="10:14" x14ac:dyDescent="0.2">
      <c r="J373" s="221"/>
      <c r="N373" s="221"/>
    </row>
    <row r="374" spans="10:14" x14ac:dyDescent="0.2">
      <c r="J374" s="221"/>
      <c r="N374" s="221"/>
    </row>
    <row r="375" spans="10:14" x14ac:dyDescent="0.2">
      <c r="J375" s="221"/>
      <c r="N375" s="221"/>
    </row>
    <row r="376" spans="10:14" x14ac:dyDescent="0.2">
      <c r="J376" s="221"/>
      <c r="N376" s="221"/>
    </row>
    <row r="377" spans="10:14" x14ac:dyDescent="0.2">
      <c r="J377" s="221"/>
      <c r="N377" s="221"/>
    </row>
    <row r="378" spans="10:14" x14ac:dyDescent="0.2">
      <c r="J378" s="221"/>
      <c r="N378" s="221"/>
    </row>
    <row r="379" spans="10:14" x14ac:dyDescent="0.2">
      <c r="J379" s="221"/>
      <c r="N379" s="221"/>
    </row>
    <row r="380" spans="10:14" x14ac:dyDescent="0.2">
      <c r="J380" s="221"/>
      <c r="N380" s="221"/>
    </row>
    <row r="381" spans="10:14" x14ac:dyDescent="0.2">
      <c r="J381" s="221"/>
      <c r="N381" s="221"/>
    </row>
    <row r="382" spans="10:14" x14ac:dyDescent="0.2">
      <c r="J382" s="221"/>
      <c r="N382" s="221"/>
    </row>
    <row r="383" spans="10:14" x14ac:dyDescent="0.2">
      <c r="J383" s="221"/>
      <c r="N383" s="221"/>
    </row>
    <row r="384" spans="10:14" x14ac:dyDescent="0.2">
      <c r="J384" s="221"/>
      <c r="N384" s="221"/>
    </row>
    <row r="385" spans="10:14" x14ac:dyDescent="0.2">
      <c r="J385" s="221"/>
      <c r="N385" s="221"/>
    </row>
    <row r="386" spans="10:14" x14ac:dyDescent="0.2">
      <c r="J386" s="221"/>
      <c r="N386" s="221"/>
    </row>
    <row r="387" spans="10:14" x14ac:dyDescent="0.2">
      <c r="J387" s="221"/>
      <c r="N387" s="221"/>
    </row>
    <row r="388" spans="10:14" x14ac:dyDescent="0.2">
      <c r="J388" s="221"/>
      <c r="N388" s="221"/>
    </row>
    <row r="389" spans="10:14" x14ac:dyDescent="0.2">
      <c r="J389" s="221"/>
      <c r="N389" s="221"/>
    </row>
    <row r="390" spans="10:14" x14ac:dyDescent="0.2">
      <c r="J390" s="221"/>
      <c r="N390" s="221"/>
    </row>
    <row r="391" spans="10:14" x14ac:dyDescent="0.2">
      <c r="J391" s="221"/>
      <c r="N391" s="221"/>
    </row>
    <row r="392" spans="10:14" x14ac:dyDescent="0.2">
      <c r="J392" s="221"/>
      <c r="N392" s="221"/>
    </row>
    <row r="393" spans="10:14" x14ac:dyDescent="0.2">
      <c r="J393" s="221"/>
      <c r="N393" s="221"/>
    </row>
    <row r="394" spans="10:14" x14ac:dyDescent="0.2">
      <c r="J394" s="221"/>
      <c r="N394" s="221"/>
    </row>
    <row r="395" spans="10:14" x14ac:dyDescent="0.2">
      <c r="J395" s="221"/>
      <c r="N395" s="221"/>
    </row>
    <row r="396" spans="10:14" x14ac:dyDescent="0.2">
      <c r="J396" s="221"/>
      <c r="N396" s="221"/>
    </row>
    <row r="397" spans="10:14" x14ac:dyDescent="0.2">
      <c r="J397" s="221"/>
      <c r="N397" s="221"/>
    </row>
    <row r="398" spans="10:14" x14ac:dyDescent="0.2">
      <c r="J398" s="221"/>
      <c r="N398" s="221"/>
    </row>
    <row r="399" spans="10:14" x14ac:dyDescent="0.2">
      <c r="J399" s="221"/>
      <c r="N399" s="221"/>
    </row>
    <row r="400" spans="10:14" x14ac:dyDescent="0.2">
      <c r="J400" s="221"/>
      <c r="N400" s="221"/>
    </row>
    <row r="401" spans="10:14" x14ac:dyDescent="0.2">
      <c r="J401" s="221"/>
      <c r="N401" s="221"/>
    </row>
    <row r="402" spans="10:14" x14ac:dyDescent="0.2">
      <c r="J402" s="221"/>
      <c r="N402" s="221"/>
    </row>
    <row r="403" spans="10:14" x14ac:dyDescent="0.2">
      <c r="J403" s="221"/>
      <c r="N403" s="221"/>
    </row>
    <row r="404" spans="10:14" x14ac:dyDescent="0.2">
      <c r="J404" s="221"/>
      <c r="N404" s="221"/>
    </row>
    <row r="405" spans="10:14" x14ac:dyDescent="0.2">
      <c r="J405" s="221"/>
      <c r="N405" s="221"/>
    </row>
    <row r="406" spans="10:14" x14ac:dyDescent="0.2">
      <c r="J406" s="221"/>
      <c r="N406" s="221"/>
    </row>
    <row r="407" spans="10:14" x14ac:dyDescent="0.2">
      <c r="J407" s="221"/>
      <c r="N407" s="221"/>
    </row>
    <row r="408" spans="10:14" x14ac:dyDescent="0.2">
      <c r="J408" s="221"/>
      <c r="N408" s="221"/>
    </row>
    <row r="409" spans="10:14" x14ac:dyDescent="0.2">
      <c r="J409" s="221"/>
      <c r="N409" s="221"/>
    </row>
    <row r="410" spans="10:14" x14ac:dyDescent="0.2">
      <c r="J410" s="221"/>
      <c r="N410" s="221"/>
    </row>
    <row r="411" spans="10:14" x14ac:dyDescent="0.2">
      <c r="J411" s="221"/>
      <c r="N411" s="221"/>
    </row>
    <row r="412" spans="10:14" x14ac:dyDescent="0.2">
      <c r="J412" s="221"/>
      <c r="N412" s="221"/>
    </row>
    <row r="413" spans="10:14" x14ac:dyDescent="0.2">
      <c r="J413" s="221"/>
      <c r="N413" s="221"/>
    </row>
    <row r="414" spans="10:14" x14ac:dyDescent="0.2">
      <c r="J414" s="221"/>
      <c r="N414" s="221"/>
    </row>
    <row r="415" spans="10:14" x14ac:dyDescent="0.2">
      <c r="J415" s="221"/>
      <c r="N415" s="221"/>
    </row>
    <row r="416" spans="10:14" x14ac:dyDescent="0.2">
      <c r="J416" s="221"/>
      <c r="N416" s="221"/>
    </row>
    <row r="417" spans="10:14" x14ac:dyDescent="0.2">
      <c r="J417" s="221"/>
      <c r="N417" s="221"/>
    </row>
    <row r="418" spans="10:14" x14ac:dyDescent="0.2">
      <c r="J418" s="221"/>
      <c r="N418" s="221"/>
    </row>
    <row r="419" spans="10:14" x14ac:dyDescent="0.2">
      <c r="J419" s="221"/>
      <c r="N419" s="221"/>
    </row>
    <row r="420" spans="10:14" x14ac:dyDescent="0.2">
      <c r="J420" s="221"/>
      <c r="N420" s="221"/>
    </row>
    <row r="421" spans="10:14" x14ac:dyDescent="0.2">
      <c r="J421" s="221"/>
      <c r="N421" s="221"/>
    </row>
    <row r="422" spans="10:14" x14ac:dyDescent="0.2">
      <c r="J422" s="221"/>
      <c r="N422" s="221"/>
    </row>
    <row r="423" spans="10:14" x14ac:dyDescent="0.2">
      <c r="J423" s="221"/>
      <c r="N423" s="221"/>
    </row>
    <row r="424" spans="10:14" x14ac:dyDescent="0.2">
      <c r="J424" s="221"/>
      <c r="N424" s="221"/>
    </row>
    <row r="425" spans="10:14" x14ac:dyDescent="0.2">
      <c r="J425" s="221"/>
      <c r="N425" s="221"/>
    </row>
    <row r="426" spans="10:14" x14ac:dyDescent="0.2">
      <c r="J426" s="221"/>
      <c r="N426" s="221"/>
    </row>
    <row r="427" spans="10:14" x14ac:dyDescent="0.2">
      <c r="J427" s="221"/>
      <c r="N427" s="221"/>
    </row>
    <row r="428" spans="10:14" x14ac:dyDescent="0.2">
      <c r="J428" s="221"/>
      <c r="N428" s="221"/>
    </row>
    <row r="429" spans="10:14" x14ac:dyDescent="0.2">
      <c r="J429" s="221"/>
      <c r="N429" s="221"/>
    </row>
    <row r="430" spans="10:14" x14ac:dyDescent="0.2">
      <c r="J430" s="221"/>
      <c r="N430" s="221"/>
    </row>
    <row r="431" spans="10:14" x14ac:dyDescent="0.2">
      <c r="J431" s="221"/>
      <c r="N431" s="221"/>
    </row>
    <row r="432" spans="10:14" x14ac:dyDescent="0.2">
      <c r="J432" s="221"/>
      <c r="N432" s="221"/>
    </row>
    <row r="433" spans="10:14" x14ac:dyDescent="0.2">
      <c r="J433" s="221"/>
      <c r="N433" s="221"/>
    </row>
    <row r="434" spans="10:14" x14ac:dyDescent="0.2">
      <c r="J434" s="221"/>
      <c r="N434" s="221"/>
    </row>
    <row r="435" spans="10:14" x14ac:dyDescent="0.2">
      <c r="J435" s="221"/>
      <c r="N435" s="221"/>
    </row>
    <row r="436" spans="10:14" x14ac:dyDescent="0.2">
      <c r="J436" s="221"/>
      <c r="N436" s="221"/>
    </row>
    <row r="437" spans="10:14" x14ac:dyDescent="0.2">
      <c r="J437" s="221"/>
      <c r="N437" s="221"/>
    </row>
    <row r="438" spans="10:14" x14ac:dyDescent="0.2">
      <c r="J438" s="221"/>
      <c r="N438" s="221"/>
    </row>
    <row r="439" spans="10:14" x14ac:dyDescent="0.2">
      <c r="J439" s="221"/>
      <c r="N439" s="221"/>
    </row>
    <row r="440" spans="10:14" x14ac:dyDescent="0.2">
      <c r="J440" s="221"/>
      <c r="N440" s="221"/>
    </row>
    <row r="441" spans="10:14" x14ac:dyDescent="0.2">
      <c r="J441" s="221"/>
      <c r="N441" s="221"/>
    </row>
    <row r="442" spans="10:14" x14ac:dyDescent="0.2">
      <c r="J442" s="221"/>
      <c r="N442" s="221"/>
    </row>
    <row r="443" spans="10:14" x14ac:dyDescent="0.2">
      <c r="J443" s="221"/>
      <c r="N443" s="221"/>
    </row>
    <row r="444" spans="10:14" x14ac:dyDescent="0.2">
      <c r="J444" s="221"/>
      <c r="N444" s="221"/>
    </row>
    <row r="445" spans="10:14" x14ac:dyDescent="0.2">
      <c r="J445" s="221"/>
      <c r="N445" s="221"/>
    </row>
    <row r="446" spans="10:14" x14ac:dyDescent="0.2">
      <c r="J446" s="221"/>
      <c r="N446" s="221"/>
    </row>
    <row r="447" spans="10:14" x14ac:dyDescent="0.2">
      <c r="J447" s="221"/>
      <c r="N447" s="221"/>
    </row>
    <row r="448" spans="10:14" x14ac:dyDescent="0.2">
      <c r="J448" s="221"/>
      <c r="N448" s="221"/>
    </row>
    <row r="449" spans="10:14" x14ac:dyDescent="0.2">
      <c r="J449" s="221"/>
      <c r="N449" s="221"/>
    </row>
    <row r="450" spans="10:14" x14ac:dyDescent="0.2">
      <c r="J450" s="221"/>
      <c r="N450" s="221"/>
    </row>
    <row r="451" spans="10:14" x14ac:dyDescent="0.2">
      <c r="J451" s="221"/>
      <c r="N451" s="221"/>
    </row>
    <row r="452" spans="10:14" x14ac:dyDescent="0.2">
      <c r="J452" s="221"/>
      <c r="N452" s="221"/>
    </row>
    <row r="453" spans="10:14" x14ac:dyDescent="0.2">
      <c r="J453" s="221"/>
      <c r="N453" s="221"/>
    </row>
    <row r="454" spans="10:14" x14ac:dyDescent="0.2">
      <c r="J454" s="221"/>
      <c r="N454" s="221"/>
    </row>
    <row r="455" spans="10:14" x14ac:dyDescent="0.2">
      <c r="J455" s="221"/>
      <c r="N455" s="221"/>
    </row>
    <row r="456" spans="10:14" x14ac:dyDescent="0.2">
      <c r="J456" s="221"/>
      <c r="N456" s="221"/>
    </row>
    <row r="457" spans="10:14" x14ac:dyDescent="0.2">
      <c r="J457" s="221"/>
      <c r="N457" s="221"/>
    </row>
    <row r="458" spans="10:14" x14ac:dyDescent="0.2">
      <c r="J458" s="221"/>
      <c r="N458" s="221"/>
    </row>
    <row r="459" spans="10:14" x14ac:dyDescent="0.2">
      <c r="J459" s="221"/>
      <c r="N459" s="221"/>
    </row>
    <row r="460" spans="10:14" x14ac:dyDescent="0.2">
      <c r="J460" s="221"/>
      <c r="N460" s="221"/>
    </row>
    <row r="461" spans="10:14" x14ac:dyDescent="0.2">
      <c r="J461" s="221"/>
      <c r="N461" s="221"/>
    </row>
    <row r="462" spans="10:14" x14ac:dyDescent="0.2">
      <c r="J462" s="221"/>
      <c r="N462" s="221"/>
    </row>
    <row r="463" spans="10:14" x14ac:dyDescent="0.2">
      <c r="J463" s="221"/>
      <c r="N463" s="221"/>
    </row>
    <row r="464" spans="10:14" x14ac:dyDescent="0.2">
      <c r="J464" s="221"/>
      <c r="N464" s="221"/>
    </row>
    <row r="465" spans="10:14" x14ac:dyDescent="0.2">
      <c r="J465" s="221"/>
      <c r="N465" s="221"/>
    </row>
    <row r="466" spans="10:14" x14ac:dyDescent="0.2">
      <c r="J466" s="221"/>
      <c r="N466" s="221"/>
    </row>
    <row r="467" spans="10:14" x14ac:dyDescent="0.2">
      <c r="J467" s="221"/>
      <c r="N467" s="221"/>
    </row>
    <row r="468" spans="10:14" x14ac:dyDescent="0.2">
      <c r="J468" s="221"/>
      <c r="N468" s="221"/>
    </row>
    <row r="469" spans="10:14" x14ac:dyDescent="0.2">
      <c r="J469" s="221"/>
      <c r="N469" s="221"/>
    </row>
    <row r="470" spans="10:14" x14ac:dyDescent="0.2">
      <c r="J470" s="221"/>
      <c r="N470" s="221"/>
    </row>
    <row r="471" spans="10:14" x14ac:dyDescent="0.2">
      <c r="J471" s="221"/>
      <c r="N471" s="221"/>
    </row>
    <row r="472" spans="10:14" x14ac:dyDescent="0.2">
      <c r="J472" s="221"/>
      <c r="N472" s="221"/>
    </row>
    <row r="473" spans="10:14" x14ac:dyDescent="0.2">
      <c r="J473" s="221"/>
      <c r="N473" s="221"/>
    </row>
    <row r="474" spans="10:14" x14ac:dyDescent="0.2">
      <c r="J474" s="221"/>
      <c r="N474" s="221"/>
    </row>
    <row r="475" spans="10:14" x14ac:dyDescent="0.2">
      <c r="J475" s="221"/>
      <c r="N475" s="221"/>
    </row>
    <row r="476" spans="10:14" x14ac:dyDescent="0.2">
      <c r="J476" s="221"/>
      <c r="N476" s="221"/>
    </row>
    <row r="477" spans="10:14" x14ac:dyDescent="0.2">
      <c r="J477" s="221"/>
      <c r="N477" s="221"/>
    </row>
    <row r="478" spans="10:14" x14ac:dyDescent="0.2">
      <c r="J478" s="221"/>
      <c r="N478" s="221"/>
    </row>
    <row r="479" spans="10:14" x14ac:dyDescent="0.2">
      <c r="J479" s="221"/>
      <c r="N479" s="221"/>
    </row>
    <row r="480" spans="10:14" x14ac:dyDescent="0.2">
      <c r="J480" s="221"/>
      <c r="N480" s="221"/>
    </row>
    <row r="481" spans="10:14" x14ac:dyDescent="0.2">
      <c r="J481" s="221"/>
      <c r="N481" s="221"/>
    </row>
    <row r="482" spans="10:14" x14ac:dyDescent="0.2">
      <c r="J482" s="221"/>
      <c r="N482" s="221"/>
    </row>
    <row r="483" spans="10:14" x14ac:dyDescent="0.2">
      <c r="J483" s="221"/>
      <c r="N483" s="221"/>
    </row>
    <row r="484" spans="10:14" x14ac:dyDescent="0.2">
      <c r="J484" s="221"/>
      <c r="N484" s="221"/>
    </row>
    <row r="485" spans="10:14" x14ac:dyDescent="0.2">
      <c r="J485" s="221"/>
      <c r="N485" s="221"/>
    </row>
    <row r="486" spans="10:14" x14ac:dyDescent="0.2">
      <c r="J486" s="221"/>
      <c r="N486" s="221"/>
    </row>
    <row r="487" spans="10:14" x14ac:dyDescent="0.2">
      <c r="J487" s="221"/>
      <c r="N487" s="221"/>
    </row>
    <row r="488" spans="10:14" x14ac:dyDescent="0.2">
      <c r="J488" s="221"/>
      <c r="N488" s="221"/>
    </row>
    <row r="489" spans="10:14" x14ac:dyDescent="0.2">
      <c r="J489" s="221"/>
      <c r="N489" s="221"/>
    </row>
    <row r="490" spans="10:14" x14ac:dyDescent="0.2">
      <c r="J490" s="221"/>
      <c r="N490" s="221"/>
    </row>
    <row r="491" spans="10:14" x14ac:dyDescent="0.2">
      <c r="J491" s="221"/>
      <c r="N491" s="221"/>
    </row>
    <row r="492" spans="10:14" x14ac:dyDescent="0.2">
      <c r="J492" s="221"/>
      <c r="N492" s="221"/>
    </row>
    <row r="493" spans="10:14" x14ac:dyDescent="0.2">
      <c r="J493" s="221"/>
      <c r="N493" s="221"/>
    </row>
    <row r="494" spans="10:14" x14ac:dyDescent="0.2">
      <c r="J494" s="221"/>
      <c r="N494" s="221"/>
    </row>
    <row r="495" spans="10:14" x14ac:dyDescent="0.2">
      <c r="J495" s="221"/>
      <c r="N495" s="221"/>
    </row>
    <row r="496" spans="10:14" x14ac:dyDescent="0.2">
      <c r="J496" s="221"/>
      <c r="N496" s="221"/>
    </row>
    <row r="497" spans="10:14" x14ac:dyDescent="0.2">
      <c r="J497" s="221"/>
      <c r="N497" s="221"/>
    </row>
    <row r="498" spans="10:14" x14ac:dyDescent="0.2">
      <c r="J498" s="221"/>
      <c r="N498" s="221"/>
    </row>
    <row r="499" spans="10:14" x14ac:dyDescent="0.2">
      <c r="J499" s="221"/>
      <c r="N499" s="221"/>
    </row>
    <row r="500" spans="10:14" x14ac:dyDescent="0.2">
      <c r="J500" s="221"/>
      <c r="N500" s="221"/>
    </row>
    <row r="501" spans="10:14" x14ac:dyDescent="0.2">
      <c r="J501" s="221"/>
      <c r="N501" s="221"/>
    </row>
    <row r="502" spans="10:14" x14ac:dyDescent="0.2">
      <c r="J502" s="221"/>
      <c r="N502" s="221"/>
    </row>
    <row r="503" spans="10:14" x14ac:dyDescent="0.2">
      <c r="J503" s="221"/>
      <c r="N503" s="221"/>
    </row>
    <row r="504" spans="10:14" x14ac:dyDescent="0.2">
      <c r="J504" s="221"/>
      <c r="N504" s="221"/>
    </row>
    <row r="505" spans="10:14" x14ac:dyDescent="0.2">
      <c r="J505" s="221"/>
      <c r="N505" s="221"/>
    </row>
    <row r="506" spans="10:14" x14ac:dyDescent="0.2">
      <c r="J506" s="221"/>
      <c r="N506" s="221"/>
    </row>
    <row r="507" spans="10:14" x14ac:dyDescent="0.2">
      <c r="J507" s="221"/>
      <c r="N507" s="221"/>
    </row>
    <row r="508" spans="10:14" x14ac:dyDescent="0.2">
      <c r="J508" s="221"/>
      <c r="N508" s="221"/>
    </row>
    <row r="509" spans="10:14" x14ac:dyDescent="0.2">
      <c r="J509" s="221"/>
      <c r="N509" s="221"/>
    </row>
    <row r="510" spans="10:14" x14ac:dyDescent="0.2">
      <c r="J510" s="221"/>
      <c r="N510" s="221"/>
    </row>
    <row r="511" spans="10:14" x14ac:dyDescent="0.2">
      <c r="J511" s="221"/>
      <c r="N511" s="221"/>
    </row>
    <row r="512" spans="10:14" x14ac:dyDescent="0.2">
      <c r="J512" s="221"/>
      <c r="N512" s="221"/>
    </row>
    <row r="513" spans="10:14" x14ac:dyDescent="0.2">
      <c r="J513" s="221"/>
      <c r="N513" s="221"/>
    </row>
    <row r="514" spans="10:14" x14ac:dyDescent="0.2">
      <c r="J514" s="221"/>
      <c r="N514" s="221"/>
    </row>
    <row r="515" spans="10:14" x14ac:dyDescent="0.2">
      <c r="J515" s="221"/>
      <c r="N515" s="221"/>
    </row>
    <row r="516" spans="10:14" x14ac:dyDescent="0.2">
      <c r="J516" s="221"/>
      <c r="N516" s="221"/>
    </row>
    <row r="517" spans="10:14" x14ac:dyDescent="0.2">
      <c r="J517" s="221"/>
      <c r="N517" s="221"/>
    </row>
    <row r="518" spans="10:14" x14ac:dyDescent="0.2">
      <c r="J518" s="221"/>
      <c r="N518" s="221"/>
    </row>
    <row r="519" spans="10:14" x14ac:dyDescent="0.2">
      <c r="J519" s="221"/>
      <c r="N519" s="221"/>
    </row>
    <row r="520" spans="10:14" x14ac:dyDescent="0.2">
      <c r="J520" s="221"/>
      <c r="N520" s="221"/>
    </row>
    <row r="521" spans="10:14" x14ac:dyDescent="0.2">
      <c r="J521" s="221"/>
      <c r="N521" s="221"/>
    </row>
    <row r="522" spans="10:14" x14ac:dyDescent="0.2">
      <c r="J522" s="221"/>
      <c r="N522" s="221"/>
    </row>
    <row r="523" spans="10:14" x14ac:dyDescent="0.2">
      <c r="J523" s="221"/>
      <c r="N523" s="221"/>
    </row>
    <row r="524" spans="10:14" x14ac:dyDescent="0.2">
      <c r="J524" s="221"/>
      <c r="N524" s="221"/>
    </row>
    <row r="525" spans="10:14" x14ac:dyDescent="0.2">
      <c r="J525" s="221"/>
      <c r="N525" s="221"/>
    </row>
    <row r="526" spans="10:14" x14ac:dyDescent="0.2">
      <c r="J526" s="221"/>
      <c r="N526" s="221"/>
    </row>
    <row r="527" spans="10:14" x14ac:dyDescent="0.2">
      <c r="J527" s="221"/>
      <c r="N527" s="221"/>
    </row>
    <row r="528" spans="10:14" x14ac:dyDescent="0.2">
      <c r="J528" s="221"/>
      <c r="N528" s="221"/>
    </row>
    <row r="529" spans="10:14" x14ac:dyDescent="0.2">
      <c r="J529" s="221"/>
      <c r="N529" s="221"/>
    </row>
    <row r="530" spans="10:14" x14ac:dyDescent="0.2">
      <c r="J530" s="221"/>
      <c r="N530" s="221"/>
    </row>
    <row r="531" spans="10:14" x14ac:dyDescent="0.2">
      <c r="J531" s="221"/>
      <c r="N531" s="221"/>
    </row>
    <row r="532" spans="10:14" x14ac:dyDescent="0.2">
      <c r="J532" s="221"/>
      <c r="N532" s="221"/>
    </row>
    <row r="533" spans="10:14" x14ac:dyDescent="0.2">
      <c r="J533" s="221"/>
      <c r="N533" s="221"/>
    </row>
    <row r="534" spans="10:14" x14ac:dyDescent="0.2">
      <c r="J534" s="221"/>
      <c r="N534" s="221"/>
    </row>
    <row r="535" spans="10:14" x14ac:dyDescent="0.2">
      <c r="J535" s="221"/>
      <c r="N535" s="221"/>
    </row>
    <row r="536" spans="10:14" x14ac:dyDescent="0.2">
      <c r="J536" s="221"/>
      <c r="N536" s="221"/>
    </row>
    <row r="537" spans="10:14" x14ac:dyDescent="0.2">
      <c r="J537" s="221"/>
      <c r="N537" s="221"/>
    </row>
    <row r="538" spans="10:14" x14ac:dyDescent="0.2">
      <c r="J538" s="221"/>
      <c r="N538" s="221"/>
    </row>
    <row r="539" spans="10:14" x14ac:dyDescent="0.2">
      <c r="J539" s="221"/>
      <c r="N539" s="221"/>
    </row>
    <row r="540" spans="10:14" x14ac:dyDescent="0.2">
      <c r="J540" s="221"/>
      <c r="N540" s="221"/>
    </row>
    <row r="541" spans="10:14" x14ac:dyDescent="0.2">
      <c r="J541" s="221"/>
      <c r="N541" s="221"/>
    </row>
    <row r="542" spans="10:14" x14ac:dyDescent="0.2">
      <c r="J542" s="221"/>
      <c r="N542" s="221"/>
    </row>
    <row r="543" spans="10:14" x14ac:dyDescent="0.2">
      <c r="J543" s="221"/>
      <c r="N543" s="221"/>
    </row>
    <row r="544" spans="10:14" x14ac:dyDescent="0.2">
      <c r="J544" s="221"/>
      <c r="N544" s="221"/>
    </row>
    <row r="545" spans="10:14" x14ac:dyDescent="0.2">
      <c r="J545" s="221"/>
      <c r="N545" s="221"/>
    </row>
    <row r="546" spans="10:14" x14ac:dyDescent="0.2">
      <c r="J546" s="221"/>
      <c r="N546" s="221"/>
    </row>
    <row r="547" spans="10:14" x14ac:dyDescent="0.2">
      <c r="J547" s="221"/>
      <c r="N547" s="221"/>
    </row>
    <row r="548" spans="10:14" x14ac:dyDescent="0.2">
      <c r="J548" s="221"/>
      <c r="N548" s="221"/>
    </row>
    <row r="549" spans="10:14" x14ac:dyDescent="0.2">
      <c r="J549" s="221"/>
      <c r="N549" s="221"/>
    </row>
    <row r="550" spans="10:14" x14ac:dyDescent="0.2">
      <c r="J550" s="221"/>
      <c r="N550" s="221"/>
    </row>
    <row r="551" spans="10:14" x14ac:dyDescent="0.2">
      <c r="J551" s="221"/>
      <c r="N551" s="221"/>
    </row>
    <row r="552" spans="10:14" x14ac:dyDescent="0.2">
      <c r="J552" s="221"/>
      <c r="N552" s="221"/>
    </row>
    <row r="553" spans="10:14" x14ac:dyDescent="0.2">
      <c r="J553" s="221"/>
      <c r="N553" s="221"/>
    </row>
    <row r="554" spans="10:14" x14ac:dyDescent="0.2">
      <c r="J554" s="221"/>
      <c r="N554" s="221"/>
    </row>
    <row r="555" spans="10:14" x14ac:dyDescent="0.2">
      <c r="J555" s="221"/>
      <c r="N555" s="221"/>
    </row>
    <row r="556" spans="10:14" x14ac:dyDescent="0.2">
      <c r="J556" s="221"/>
      <c r="N556" s="221"/>
    </row>
    <row r="557" spans="10:14" x14ac:dyDescent="0.2">
      <c r="J557" s="221"/>
      <c r="N557" s="221"/>
    </row>
    <row r="558" spans="10:14" x14ac:dyDescent="0.2">
      <c r="J558" s="221"/>
      <c r="N558" s="221"/>
    </row>
    <row r="559" spans="10:14" x14ac:dyDescent="0.2">
      <c r="J559" s="221"/>
      <c r="N559" s="221"/>
    </row>
    <row r="560" spans="10:14" x14ac:dyDescent="0.2">
      <c r="J560" s="221"/>
      <c r="N560" s="221"/>
    </row>
    <row r="561" spans="10:14" x14ac:dyDescent="0.2">
      <c r="J561" s="221"/>
      <c r="N561" s="221"/>
    </row>
    <row r="562" spans="10:14" x14ac:dyDescent="0.2">
      <c r="J562" s="221"/>
      <c r="N562" s="221"/>
    </row>
    <row r="563" spans="10:14" x14ac:dyDescent="0.2">
      <c r="J563" s="221"/>
      <c r="N563" s="221"/>
    </row>
    <row r="564" spans="10:14" x14ac:dyDescent="0.2">
      <c r="J564" s="221"/>
      <c r="N564" s="221"/>
    </row>
    <row r="565" spans="10:14" x14ac:dyDescent="0.2">
      <c r="J565" s="221"/>
      <c r="N565" s="221"/>
    </row>
    <row r="566" spans="10:14" x14ac:dyDescent="0.2">
      <c r="J566" s="221"/>
      <c r="N566" s="221"/>
    </row>
    <row r="567" spans="10:14" x14ac:dyDescent="0.2">
      <c r="J567" s="221"/>
      <c r="N567" s="221"/>
    </row>
    <row r="568" spans="10:14" x14ac:dyDescent="0.2">
      <c r="J568" s="221"/>
      <c r="N568" s="221"/>
    </row>
    <row r="569" spans="10:14" x14ac:dyDescent="0.2">
      <c r="J569" s="221"/>
      <c r="N569" s="221"/>
    </row>
    <row r="570" spans="10:14" x14ac:dyDescent="0.2">
      <c r="J570" s="221"/>
      <c r="N570" s="221"/>
    </row>
    <row r="571" spans="10:14" x14ac:dyDescent="0.2">
      <c r="J571" s="221"/>
      <c r="N571" s="221"/>
    </row>
    <row r="572" spans="10:14" x14ac:dyDescent="0.2">
      <c r="J572" s="221"/>
      <c r="N572" s="221"/>
    </row>
    <row r="573" spans="10:14" x14ac:dyDescent="0.2">
      <c r="J573" s="221"/>
      <c r="N573" s="221"/>
    </row>
    <row r="574" spans="10:14" x14ac:dyDescent="0.2">
      <c r="J574" s="221"/>
      <c r="N574" s="221"/>
    </row>
    <row r="575" spans="10:14" x14ac:dyDescent="0.2">
      <c r="J575" s="221"/>
      <c r="N575" s="221"/>
    </row>
    <row r="576" spans="10:14" x14ac:dyDescent="0.2">
      <c r="J576" s="221"/>
      <c r="N576" s="221"/>
    </row>
    <row r="577" spans="10:14" x14ac:dyDescent="0.2">
      <c r="J577" s="221"/>
      <c r="N577" s="221"/>
    </row>
    <row r="578" spans="10:14" x14ac:dyDescent="0.2">
      <c r="J578" s="221"/>
      <c r="N578" s="221"/>
    </row>
    <row r="579" spans="10:14" x14ac:dyDescent="0.2">
      <c r="J579" s="221"/>
      <c r="N579" s="221"/>
    </row>
    <row r="580" spans="10:14" x14ac:dyDescent="0.2">
      <c r="J580" s="221"/>
      <c r="N580" s="221"/>
    </row>
    <row r="581" spans="10:14" x14ac:dyDescent="0.2">
      <c r="J581" s="221"/>
      <c r="N581" s="221"/>
    </row>
    <row r="582" spans="10:14" x14ac:dyDescent="0.2">
      <c r="J582" s="221"/>
      <c r="N582" s="221"/>
    </row>
    <row r="583" spans="10:14" x14ac:dyDescent="0.2">
      <c r="J583" s="221"/>
      <c r="N583" s="221"/>
    </row>
    <row r="584" spans="10:14" x14ac:dyDescent="0.2">
      <c r="J584" s="221"/>
      <c r="N584" s="221"/>
    </row>
    <row r="585" spans="10:14" x14ac:dyDescent="0.2">
      <c r="J585" s="221"/>
      <c r="N585" s="221"/>
    </row>
    <row r="586" spans="10:14" x14ac:dyDescent="0.2">
      <c r="J586" s="221"/>
      <c r="N586" s="221"/>
    </row>
    <row r="587" spans="10:14" x14ac:dyDescent="0.2">
      <c r="J587" s="221"/>
      <c r="N587" s="221"/>
    </row>
    <row r="588" spans="10:14" x14ac:dyDescent="0.2">
      <c r="J588" s="221"/>
      <c r="N588" s="221"/>
    </row>
    <row r="589" spans="10:14" x14ac:dyDescent="0.2">
      <c r="J589" s="221"/>
      <c r="N589" s="221"/>
    </row>
    <row r="590" spans="10:14" x14ac:dyDescent="0.2">
      <c r="J590" s="221"/>
      <c r="N590" s="221"/>
    </row>
    <row r="591" spans="10:14" x14ac:dyDescent="0.2">
      <c r="J591" s="221"/>
      <c r="N591" s="221"/>
    </row>
    <row r="592" spans="10:14" x14ac:dyDescent="0.2">
      <c r="J592" s="221"/>
      <c r="N592" s="221"/>
    </row>
    <row r="593" spans="10:14" x14ac:dyDescent="0.2">
      <c r="J593" s="221"/>
      <c r="N593" s="221"/>
    </row>
    <row r="594" spans="10:14" x14ac:dyDescent="0.2">
      <c r="J594" s="221"/>
      <c r="N594" s="221"/>
    </row>
    <row r="595" spans="10:14" x14ac:dyDescent="0.2">
      <c r="J595" s="221"/>
      <c r="N595" s="221"/>
    </row>
    <row r="596" spans="10:14" x14ac:dyDescent="0.2">
      <c r="J596" s="221"/>
      <c r="N596" s="221"/>
    </row>
    <row r="597" spans="10:14" x14ac:dyDescent="0.2">
      <c r="J597" s="221"/>
      <c r="N597" s="221"/>
    </row>
    <row r="598" spans="10:14" x14ac:dyDescent="0.2">
      <c r="J598" s="221"/>
      <c r="N598" s="221"/>
    </row>
    <row r="599" spans="10:14" x14ac:dyDescent="0.2">
      <c r="J599" s="221"/>
      <c r="N599" s="221"/>
    </row>
    <row r="600" spans="10:14" x14ac:dyDescent="0.2">
      <c r="J600" s="221"/>
      <c r="N600" s="221"/>
    </row>
    <row r="601" spans="10:14" x14ac:dyDescent="0.2">
      <c r="J601" s="221"/>
      <c r="N601" s="221"/>
    </row>
    <row r="602" spans="10:14" x14ac:dyDescent="0.2">
      <c r="J602" s="221"/>
      <c r="N602" s="221"/>
    </row>
    <row r="603" spans="10:14" x14ac:dyDescent="0.2">
      <c r="J603" s="221"/>
      <c r="N603" s="221"/>
    </row>
    <row r="604" spans="10:14" x14ac:dyDescent="0.2">
      <c r="J604" s="221"/>
      <c r="N604" s="221"/>
    </row>
    <row r="605" spans="10:14" x14ac:dyDescent="0.2">
      <c r="J605" s="221"/>
      <c r="N605" s="221"/>
    </row>
    <row r="606" spans="10:14" x14ac:dyDescent="0.2">
      <c r="J606" s="221"/>
      <c r="N606" s="221"/>
    </row>
    <row r="607" spans="10:14" x14ac:dyDescent="0.2">
      <c r="J607" s="221"/>
      <c r="N607" s="221"/>
    </row>
    <row r="608" spans="10:14" x14ac:dyDescent="0.2">
      <c r="J608" s="221"/>
      <c r="N608" s="221"/>
    </row>
    <row r="609" spans="10:14" x14ac:dyDescent="0.2">
      <c r="J609" s="221"/>
      <c r="N609" s="221"/>
    </row>
    <row r="610" spans="10:14" x14ac:dyDescent="0.2">
      <c r="J610" s="221"/>
      <c r="N610" s="221"/>
    </row>
    <row r="611" spans="10:14" x14ac:dyDescent="0.2">
      <c r="J611" s="221"/>
      <c r="N611" s="221"/>
    </row>
    <row r="612" spans="10:14" x14ac:dyDescent="0.2">
      <c r="J612" s="221"/>
      <c r="N612" s="221"/>
    </row>
    <row r="613" spans="10:14" x14ac:dyDescent="0.2">
      <c r="J613" s="221"/>
      <c r="N613" s="221"/>
    </row>
    <row r="614" spans="10:14" x14ac:dyDescent="0.2">
      <c r="J614" s="221"/>
      <c r="N614" s="221"/>
    </row>
    <row r="615" spans="10:14" x14ac:dyDescent="0.2">
      <c r="J615" s="221"/>
      <c r="N615" s="221"/>
    </row>
    <row r="616" spans="10:14" x14ac:dyDescent="0.2">
      <c r="J616" s="221"/>
      <c r="N616" s="221"/>
    </row>
    <row r="617" spans="10:14" x14ac:dyDescent="0.2">
      <c r="J617" s="221"/>
      <c r="N617" s="221"/>
    </row>
    <row r="618" spans="10:14" x14ac:dyDescent="0.2">
      <c r="J618" s="221"/>
      <c r="N618" s="221"/>
    </row>
    <row r="619" spans="10:14" x14ac:dyDescent="0.2">
      <c r="J619" s="221"/>
      <c r="N619" s="221"/>
    </row>
    <row r="620" spans="10:14" x14ac:dyDescent="0.2">
      <c r="J620" s="221"/>
      <c r="N620" s="221"/>
    </row>
    <row r="621" spans="10:14" x14ac:dyDescent="0.2">
      <c r="J621" s="221"/>
      <c r="N621" s="221"/>
    </row>
    <row r="622" spans="10:14" x14ac:dyDescent="0.2">
      <c r="J622" s="221"/>
      <c r="N622" s="221"/>
    </row>
    <row r="623" spans="10:14" x14ac:dyDescent="0.2">
      <c r="J623" s="221"/>
      <c r="N623" s="221"/>
    </row>
    <row r="624" spans="10:14" x14ac:dyDescent="0.2">
      <c r="J624" s="221"/>
      <c r="N624" s="221"/>
    </row>
    <row r="625" spans="10:14" x14ac:dyDescent="0.2">
      <c r="J625" s="221"/>
      <c r="N625" s="221"/>
    </row>
    <row r="626" spans="10:14" x14ac:dyDescent="0.2">
      <c r="J626" s="221"/>
      <c r="N626" s="221"/>
    </row>
    <row r="627" spans="10:14" x14ac:dyDescent="0.2">
      <c r="J627" s="221"/>
      <c r="N627" s="221"/>
    </row>
    <row r="628" spans="10:14" x14ac:dyDescent="0.2">
      <c r="J628" s="221"/>
      <c r="N628" s="221"/>
    </row>
    <row r="629" spans="10:14" x14ac:dyDescent="0.2">
      <c r="J629" s="221"/>
      <c r="N629" s="221"/>
    </row>
    <row r="630" spans="10:14" x14ac:dyDescent="0.2">
      <c r="J630" s="221"/>
      <c r="N630" s="221"/>
    </row>
    <row r="631" spans="10:14" x14ac:dyDescent="0.2">
      <c r="J631" s="221"/>
      <c r="N631" s="221"/>
    </row>
    <row r="632" spans="10:14" x14ac:dyDescent="0.2">
      <c r="J632" s="221"/>
      <c r="N632" s="221"/>
    </row>
    <row r="633" spans="10:14" x14ac:dyDescent="0.2">
      <c r="J633" s="221"/>
      <c r="N633" s="221"/>
    </row>
    <row r="634" spans="10:14" x14ac:dyDescent="0.2">
      <c r="J634" s="221"/>
      <c r="N634" s="221"/>
    </row>
    <row r="635" spans="10:14" x14ac:dyDescent="0.2">
      <c r="J635" s="221"/>
      <c r="N635" s="221"/>
    </row>
    <row r="636" spans="10:14" x14ac:dyDescent="0.2">
      <c r="J636" s="221"/>
      <c r="N636" s="221"/>
    </row>
    <row r="637" spans="10:14" x14ac:dyDescent="0.2">
      <c r="J637" s="221"/>
      <c r="N637" s="221"/>
    </row>
    <row r="638" spans="10:14" x14ac:dyDescent="0.2">
      <c r="J638" s="221"/>
      <c r="N638" s="221"/>
    </row>
    <row r="639" spans="10:14" x14ac:dyDescent="0.2">
      <c r="J639" s="221"/>
      <c r="N639" s="221"/>
    </row>
    <row r="640" spans="10:14" x14ac:dyDescent="0.2">
      <c r="J640" s="221"/>
      <c r="N640" s="221"/>
    </row>
    <row r="641" spans="10:14" x14ac:dyDescent="0.2">
      <c r="J641" s="221"/>
      <c r="N641" s="221"/>
    </row>
    <row r="642" spans="10:14" x14ac:dyDescent="0.2">
      <c r="J642" s="221"/>
      <c r="N642" s="221"/>
    </row>
    <row r="643" spans="10:14" x14ac:dyDescent="0.2">
      <c r="J643" s="221"/>
      <c r="N643" s="221"/>
    </row>
    <row r="644" spans="10:14" x14ac:dyDescent="0.2">
      <c r="J644" s="221"/>
      <c r="N644" s="221"/>
    </row>
    <row r="645" spans="10:14" x14ac:dyDescent="0.2">
      <c r="J645" s="221"/>
      <c r="N645" s="221"/>
    </row>
    <row r="646" spans="10:14" x14ac:dyDescent="0.2">
      <c r="J646" s="221"/>
      <c r="N646" s="221"/>
    </row>
    <row r="647" spans="10:14" x14ac:dyDescent="0.2">
      <c r="J647" s="221"/>
      <c r="N647" s="221"/>
    </row>
    <row r="648" spans="10:14" x14ac:dyDescent="0.2">
      <c r="J648" s="221"/>
      <c r="N648" s="221"/>
    </row>
    <row r="649" spans="10:14" x14ac:dyDescent="0.2">
      <c r="J649" s="221"/>
      <c r="N649" s="221"/>
    </row>
    <row r="650" spans="10:14" x14ac:dyDescent="0.2">
      <c r="J650" s="221"/>
      <c r="N650" s="221"/>
    </row>
    <row r="651" spans="10:14" x14ac:dyDescent="0.2">
      <c r="J651" s="221"/>
      <c r="N651" s="221"/>
    </row>
    <row r="652" spans="10:14" x14ac:dyDescent="0.2">
      <c r="J652" s="221"/>
      <c r="N652" s="221"/>
    </row>
    <row r="653" spans="10:14" x14ac:dyDescent="0.2">
      <c r="J653" s="221"/>
      <c r="N653" s="221"/>
    </row>
    <row r="654" spans="10:14" x14ac:dyDescent="0.2">
      <c r="J654" s="221"/>
      <c r="N654" s="221"/>
    </row>
    <row r="655" spans="10:14" x14ac:dyDescent="0.2">
      <c r="J655" s="221"/>
      <c r="N655" s="221"/>
    </row>
    <row r="656" spans="10:14" x14ac:dyDescent="0.2">
      <c r="J656" s="221"/>
      <c r="N656" s="221"/>
    </row>
    <row r="657" spans="10:14" x14ac:dyDescent="0.2">
      <c r="J657" s="221"/>
      <c r="N657" s="221"/>
    </row>
    <row r="658" spans="10:14" x14ac:dyDescent="0.2">
      <c r="J658" s="221"/>
      <c r="N658" s="221"/>
    </row>
    <row r="659" spans="10:14" x14ac:dyDescent="0.2">
      <c r="J659" s="221"/>
      <c r="N659" s="221"/>
    </row>
    <row r="660" spans="10:14" x14ac:dyDescent="0.2">
      <c r="J660" s="221"/>
      <c r="N660" s="221"/>
    </row>
    <row r="661" spans="10:14" x14ac:dyDescent="0.2">
      <c r="J661" s="221"/>
      <c r="N661" s="221"/>
    </row>
    <row r="662" spans="10:14" x14ac:dyDescent="0.2">
      <c r="J662" s="221"/>
      <c r="N662" s="221"/>
    </row>
    <row r="663" spans="10:14" x14ac:dyDescent="0.2">
      <c r="J663" s="221"/>
      <c r="N663" s="221"/>
    </row>
    <row r="664" spans="10:14" x14ac:dyDescent="0.2">
      <c r="J664" s="221"/>
      <c r="N664" s="221"/>
    </row>
    <row r="665" spans="10:14" x14ac:dyDescent="0.2">
      <c r="J665" s="221"/>
      <c r="N665" s="221"/>
    </row>
    <row r="666" spans="10:14" x14ac:dyDescent="0.2">
      <c r="J666" s="221"/>
      <c r="N666" s="221"/>
    </row>
    <row r="667" spans="10:14" x14ac:dyDescent="0.2">
      <c r="J667" s="221"/>
      <c r="N667" s="221"/>
    </row>
    <row r="668" spans="10:14" x14ac:dyDescent="0.2">
      <c r="J668" s="221"/>
      <c r="N668" s="221"/>
    </row>
    <row r="669" spans="10:14" x14ac:dyDescent="0.2">
      <c r="J669" s="221"/>
      <c r="N669" s="221"/>
    </row>
    <row r="670" spans="10:14" x14ac:dyDescent="0.2">
      <c r="J670" s="221"/>
      <c r="N670" s="221"/>
    </row>
    <row r="671" spans="10:14" x14ac:dyDescent="0.2">
      <c r="J671" s="221"/>
      <c r="N671" s="221"/>
    </row>
    <row r="672" spans="10:14" x14ac:dyDescent="0.2">
      <c r="J672" s="221"/>
      <c r="N672" s="221"/>
    </row>
    <row r="673" spans="10:14" x14ac:dyDescent="0.2">
      <c r="J673" s="221"/>
      <c r="N673" s="221"/>
    </row>
    <row r="674" spans="10:14" x14ac:dyDescent="0.2">
      <c r="J674" s="221"/>
      <c r="N674" s="221"/>
    </row>
    <row r="675" spans="10:14" x14ac:dyDescent="0.2">
      <c r="J675" s="221"/>
      <c r="N675" s="221"/>
    </row>
    <row r="676" spans="10:14" x14ac:dyDescent="0.2">
      <c r="J676" s="221"/>
      <c r="N676" s="221"/>
    </row>
    <row r="677" spans="10:14" x14ac:dyDescent="0.2">
      <c r="J677" s="221"/>
      <c r="N677" s="221"/>
    </row>
    <row r="678" spans="10:14" x14ac:dyDescent="0.2">
      <c r="J678" s="221"/>
      <c r="N678" s="221"/>
    </row>
    <row r="679" spans="10:14" x14ac:dyDescent="0.2">
      <c r="J679" s="221"/>
      <c r="N679" s="221"/>
    </row>
    <row r="680" spans="10:14" x14ac:dyDescent="0.2">
      <c r="J680" s="221"/>
      <c r="N680" s="221"/>
    </row>
    <row r="681" spans="10:14" x14ac:dyDescent="0.2">
      <c r="J681" s="221"/>
      <c r="N681" s="221"/>
    </row>
    <row r="682" spans="10:14" x14ac:dyDescent="0.2">
      <c r="J682" s="221"/>
      <c r="N682" s="221"/>
    </row>
    <row r="683" spans="10:14" x14ac:dyDescent="0.2">
      <c r="J683" s="221"/>
      <c r="N683" s="221"/>
    </row>
    <row r="684" spans="10:14" x14ac:dyDescent="0.2">
      <c r="J684" s="221"/>
      <c r="N684" s="221"/>
    </row>
    <row r="685" spans="10:14" x14ac:dyDescent="0.2">
      <c r="J685" s="221"/>
      <c r="N685" s="221"/>
    </row>
    <row r="686" spans="10:14" x14ac:dyDescent="0.2">
      <c r="J686" s="221"/>
      <c r="N686" s="221"/>
    </row>
    <row r="687" spans="10:14" x14ac:dyDescent="0.2">
      <c r="J687" s="221"/>
      <c r="N687" s="221"/>
    </row>
    <row r="688" spans="10:14" x14ac:dyDescent="0.2">
      <c r="J688" s="221"/>
      <c r="N688" s="221"/>
    </row>
    <row r="689" spans="10:14" x14ac:dyDescent="0.2">
      <c r="J689" s="221"/>
      <c r="N689" s="221"/>
    </row>
    <row r="690" spans="10:14" x14ac:dyDescent="0.2">
      <c r="J690" s="221"/>
      <c r="N690" s="221"/>
    </row>
    <row r="691" spans="10:14" x14ac:dyDescent="0.2">
      <c r="J691" s="221"/>
      <c r="N691" s="221"/>
    </row>
    <row r="692" spans="10:14" x14ac:dyDescent="0.2">
      <c r="J692" s="221"/>
      <c r="N692" s="221"/>
    </row>
    <row r="693" spans="10:14" x14ac:dyDescent="0.2">
      <c r="J693" s="221"/>
      <c r="N693" s="221"/>
    </row>
    <row r="694" spans="10:14" x14ac:dyDescent="0.2">
      <c r="J694" s="221"/>
      <c r="N694" s="221"/>
    </row>
    <row r="695" spans="10:14" x14ac:dyDescent="0.2">
      <c r="J695" s="221"/>
      <c r="N695" s="221"/>
    </row>
    <row r="696" spans="10:14" x14ac:dyDescent="0.2">
      <c r="J696" s="221"/>
      <c r="N696" s="221"/>
    </row>
    <row r="697" spans="10:14" x14ac:dyDescent="0.2">
      <c r="J697" s="221"/>
      <c r="N697" s="221"/>
    </row>
    <row r="698" spans="10:14" x14ac:dyDescent="0.2">
      <c r="J698" s="221"/>
      <c r="N698" s="221"/>
    </row>
    <row r="699" spans="10:14" x14ac:dyDescent="0.2">
      <c r="J699" s="221"/>
      <c r="N699" s="221"/>
    </row>
    <row r="700" spans="10:14" x14ac:dyDescent="0.2">
      <c r="J700" s="221"/>
      <c r="N700" s="221"/>
    </row>
    <row r="701" spans="10:14" x14ac:dyDescent="0.2">
      <c r="J701" s="221"/>
      <c r="N701" s="221"/>
    </row>
    <row r="702" spans="10:14" x14ac:dyDescent="0.2">
      <c r="J702" s="221"/>
      <c r="N702" s="221"/>
    </row>
    <row r="703" spans="10:14" x14ac:dyDescent="0.2">
      <c r="J703" s="221"/>
      <c r="N703" s="221"/>
    </row>
    <row r="704" spans="10:14" x14ac:dyDescent="0.2">
      <c r="J704" s="221"/>
      <c r="N704" s="221"/>
    </row>
    <row r="705" spans="10:14" x14ac:dyDescent="0.2">
      <c r="J705" s="221"/>
      <c r="N705" s="221"/>
    </row>
    <row r="706" spans="10:14" x14ac:dyDescent="0.2">
      <c r="J706" s="221"/>
      <c r="N706" s="221"/>
    </row>
    <row r="707" spans="10:14" x14ac:dyDescent="0.2">
      <c r="J707" s="221"/>
      <c r="N707" s="221"/>
    </row>
    <row r="708" spans="10:14" x14ac:dyDescent="0.2">
      <c r="J708" s="221"/>
      <c r="N708" s="221"/>
    </row>
    <row r="709" spans="10:14" x14ac:dyDescent="0.2">
      <c r="J709" s="221"/>
      <c r="N709" s="221"/>
    </row>
    <row r="710" spans="10:14" x14ac:dyDescent="0.2">
      <c r="J710" s="221"/>
      <c r="N710" s="221"/>
    </row>
    <row r="711" spans="10:14" x14ac:dyDescent="0.2">
      <c r="J711" s="221"/>
      <c r="N711" s="221"/>
    </row>
    <row r="712" spans="10:14" x14ac:dyDescent="0.2">
      <c r="J712" s="221"/>
      <c r="N712" s="221"/>
    </row>
    <row r="713" spans="10:14" x14ac:dyDescent="0.2">
      <c r="J713" s="221"/>
      <c r="N713" s="221"/>
    </row>
    <row r="714" spans="10:14" x14ac:dyDescent="0.2">
      <c r="J714" s="221"/>
      <c r="N714" s="221"/>
    </row>
    <row r="715" spans="10:14" x14ac:dyDescent="0.2">
      <c r="J715" s="221"/>
      <c r="N715" s="221"/>
    </row>
    <row r="716" spans="10:14" x14ac:dyDescent="0.2">
      <c r="J716" s="221"/>
      <c r="N716" s="221"/>
    </row>
    <row r="717" spans="10:14" x14ac:dyDescent="0.2">
      <c r="J717" s="221"/>
      <c r="N717" s="221"/>
    </row>
    <row r="718" spans="10:14" x14ac:dyDescent="0.2">
      <c r="J718" s="221"/>
      <c r="N718" s="221"/>
    </row>
    <row r="719" spans="10:14" x14ac:dyDescent="0.2">
      <c r="J719" s="221"/>
      <c r="N719" s="221"/>
    </row>
    <row r="720" spans="10:14" x14ac:dyDescent="0.2">
      <c r="J720" s="221"/>
      <c r="N720" s="221"/>
    </row>
    <row r="721" spans="10:14" x14ac:dyDescent="0.2">
      <c r="J721" s="221"/>
      <c r="N721" s="221"/>
    </row>
    <row r="722" spans="10:14" x14ac:dyDescent="0.2">
      <c r="J722" s="221"/>
      <c r="N722" s="221"/>
    </row>
    <row r="723" spans="10:14" x14ac:dyDescent="0.2">
      <c r="J723" s="221"/>
      <c r="N723" s="221"/>
    </row>
    <row r="724" spans="10:14" x14ac:dyDescent="0.2">
      <c r="J724" s="221"/>
      <c r="N724" s="221"/>
    </row>
    <row r="725" spans="10:14" x14ac:dyDescent="0.2">
      <c r="J725" s="221"/>
      <c r="N725" s="221"/>
    </row>
    <row r="726" spans="10:14" x14ac:dyDescent="0.2">
      <c r="J726" s="221"/>
      <c r="N726" s="221"/>
    </row>
    <row r="727" spans="10:14" x14ac:dyDescent="0.2">
      <c r="J727" s="221"/>
      <c r="N727" s="221"/>
    </row>
    <row r="728" spans="10:14" x14ac:dyDescent="0.2">
      <c r="J728" s="221"/>
      <c r="N728" s="221"/>
    </row>
    <row r="729" spans="10:14" x14ac:dyDescent="0.2">
      <c r="J729" s="221"/>
      <c r="N729" s="221"/>
    </row>
    <row r="730" spans="10:14" x14ac:dyDescent="0.2">
      <c r="J730" s="221"/>
      <c r="N730" s="221"/>
    </row>
    <row r="731" spans="10:14" x14ac:dyDescent="0.2">
      <c r="J731" s="221"/>
      <c r="N731" s="221"/>
    </row>
    <row r="732" spans="10:14" x14ac:dyDescent="0.2">
      <c r="J732" s="221"/>
      <c r="N732" s="221"/>
    </row>
    <row r="733" spans="10:14" x14ac:dyDescent="0.2">
      <c r="J733" s="221"/>
      <c r="N733" s="221"/>
    </row>
    <row r="734" spans="10:14" x14ac:dyDescent="0.2">
      <c r="J734" s="221"/>
      <c r="N734" s="221"/>
    </row>
    <row r="735" spans="10:14" x14ac:dyDescent="0.2">
      <c r="J735" s="221"/>
      <c r="N735" s="221"/>
    </row>
    <row r="736" spans="10:14" x14ac:dyDescent="0.2">
      <c r="J736" s="221"/>
      <c r="N736" s="221"/>
    </row>
    <row r="737" spans="10:14" x14ac:dyDescent="0.2">
      <c r="J737" s="221"/>
      <c r="N737" s="221"/>
    </row>
    <row r="738" spans="10:14" x14ac:dyDescent="0.2">
      <c r="J738" s="221"/>
      <c r="N738" s="221"/>
    </row>
    <row r="739" spans="10:14" x14ac:dyDescent="0.2">
      <c r="J739" s="221"/>
      <c r="N739" s="221"/>
    </row>
    <row r="740" spans="10:14" x14ac:dyDescent="0.2">
      <c r="J740" s="221"/>
      <c r="N740" s="221"/>
    </row>
    <row r="741" spans="10:14" x14ac:dyDescent="0.2">
      <c r="J741" s="221"/>
      <c r="N741" s="221"/>
    </row>
    <row r="742" spans="10:14" x14ac:dyDescent="0.2">
      <c r="J742" s="221"/>
      <c r="N742" s="221"/>
    </row>
    <row r="743" spans="10:14" x14ac:dyDescent="0.2">
      <c r="J743" s="221"/>
      <c r="N743" s="221"/>
    </row>
    <row r="744" spans="10:14" x14ac:dyDescent="0.2">
      <c r="J744" s="221"/>
      <c r="N744" s="221"/>
    </row>
    <row r="745" spans="10:14" x14ac:dyDescent="0.2">
      <c r="J745" s="221"/>
      <c r="N745" s="221"/>
    </row>
    <row r="746" spans="10:14" x14ac:dyDescent="0.2">
      <c r="J746" s="221"/>
      <c r="N746" s="221"/>
    </row>
    <row r="747" spans="10:14" x14ac:dyDescent="0.2">
      <c r="J747" s="221"/>
      <c r="N747" s="221"/>
    </row>
    <row r="748" spans="10:14" x14ac:dyDescent="0.2">
      <c r="J748" s="221"/>
      <c r="N748" s="221"/>
    </row>
    <row r="749" spans="10:14" x14ac:dyDescent="0.2">
      <c r="J749" s="221"/>
      <c r="N749" s="221"/>
    </row>
    <row r="750" spans="10:14" x14ac:dyDescent="0.2">
      <c r="J750" s="221"/>
      <c r="N750" s="221"/>
    </row>
    <row r="751" spans="10:14" x14ac:dyDescent="0.2">
      <c r="J751" s="221"/>
      <c r="N751" s="221"/>
    </row>
    <row r="752" spans="10:14" x14ac:dyDescent="0.2">
      <c r="J752" s="221"/>
      <c r="N752" s="221"/>
    </row>
    <row r="753" spans="10:14" x14ac:dyDescent="0.2">
      <c r="J753" s="221"/>
      <c r="N753" s="221"/>
    </row>
    <row r="754" spans="10:14" x14ac:dyDescent="0.2">
      <c r="J754" s="221"/>
      <c r="N754" s="221"/>
    </row>
    <row r="755" spans="10:14" x14ac:dyDescent="0.2">
      <c r="J755" s="221"/>
      <c r="N755" s="221"/>
    </row>
    <row r="756" spans="10:14" x14ac:dyDescent="0.2">
      <c r="J756" s="221"/>
      <c r="N756" s="221"/>
    </row>
    <row r="757" spans="10:14" x14ac:dyDescent="0.2">
      <c r="J757" s="221"/>
      <c r="N757" s="221"/>
    </row>
    <row r="758" spans="10:14" x14ac:dyDescent="0.2">
      <c r="J758" s="221"/>
      <c r="N758" s="221"/>
    </row>
    <row r="759" spans="10:14" x14ac:dyDescent="0.2">
      <c r="J759" s="221"/>
      <c r="N759" s="221"/>
    </row>
    <row r="760" spans="10:14" x14ac:dyDescent="0.2">
      <c r="J760" s="221"/>
      <c r="N760" s="221"/>
    </row>
    <row r="761" spans="10:14" x14ac:dyDescent="0.2">
      <c r="J761" s="221"/>
      <c r="N761" s="221"/>
    </row>
    <row r="762" spans="10:14" x14ac:dyDescent="0.2">
      <c r="J762" s="221"/>
      <c r="N762" s="221"/>
    </row>
    <row r="763" spans="10:14" x14ac:dyDescent="0.2">
      <c r="J763" s="221"/>
      <c r="N763" s="221"/>
    </row>
    <row r="764" spans="10:14" x14ac:dyDescent="0.2">
      <c r="J764" s="221"/>
      <c r="N764" s="221"/>
    </row>
    <row r="765" spans="10:14" x14ac:dyDescent="0.2">
      <c r="J765" s="221"/>
      <c r="N765" s="221"/>
    </row>
    <row r="766" spans="10:14" x14ac:dyDescent="0.2">
      <c r="J766" s="221"/>
      <c r="N766" s="221"/>
    </row>
    <row r="767" spans="10:14" x14ac:dyDescent="0.2">
      <c r="J767" s="221"/>
      <c r="N767" s="221"/>
    </row>
    <row r="768" spans="10:14" x14ac:dyDescent="0.2">
      <c r="J768" s="221"/>
      <c r="N768" s="221"/>
    </row>
    <row r="769" spans="10:14" x14ac:dyDescent="0.2">
      <c r="J769" s="221"/>
      <c r="N769" s="221"/>
    </row>
    <row r="770" spans="10:14" x14ac:dyDescent="0.2">
      <c r="J770" s="221"/>
      <c r="N770" s="221"/>
    </row>
    <row r="771" spans="10:14" x14ac:dyDescent="0.2">
      <c r="J771" s="221"/>
      <c r="N771" s="221"/>
    </row>
    <row r="772" spans="10:14" x14ac:dyDescent="0.2">
      <c r="J772" s="221"/>
      <c r="N772" s="221"/>
    </row>
    <row r="773" spans="10:14" x14ac:dyDescent="0.2">
      <c r="J773" s="221"/>
      <c r="N773" s="221"/>
    </row>
    <row r="774" spans="10:14" x14ac:dyDescent="0.2">
      <c r="J774" s="221"/>
      <c r="N774" s="221"/>
    </row>
    <row r="775" spans="10:14" x14ac:dyDescent="0.2">
      <c r="J775" s="221"/>
      <c r="N775" s="221"/>
    </row>
    <row r="776" spans="10:14" x14ac:dyDescent="0.2">
      <c r="J776" s="221"/>
      <c r="N776" s="221"/>
    </row>
    <row r="777" spans="10:14" x14ac:dyDescent="0.2">
      <c r="J777" s="221"/>
      <c r="N777" s="221"/>
    </row>
    <row r="778" spans="10:14" x14ac:dyDescent="0.2">
      <c r="J778" s="221"/>
      <c r="N778" s="221"/>
    </row>
    <row r="779" spans="10:14" x14ac:dyDescent="0.2">
      <c r="J779" s="221"/>
      <c r="N779" s="221"/>
    </row>
    <row r="780" spans="10:14" x14ac:dyDescent="0.2">
      <c r="J780" s="221"/>
      <c r="N780" s="221"/>
    </row>
    <row r="781" spans="10:14" x14ac:dyDescent="0.2">
      <c r="J781" s="221"/>
      <c r="N781" s="221"/>
    </row>
    <row r="782" spans="10:14" x14ac:dyDescent="0.2">
      <c r="J782" s="221"/>
      <c r="N782" s="221"/>
    </row>
    <row r="783" spans="10:14" x14ac:dyDescent="0.2">
      <c r="J783" s="221"/>
      <c r="N783" s="221"/>
    </row>
    <row r="784" spans="10:14" x14ac:dyDescent="0.2">
      <c r="J784" s="221"/>
      <c r="N784" s="221"/>
    </row>
    <row r="785" spans="10:14" x14ac:dyDescent="0.2">
      <c r="J785" s="221"/>
      <c r="N785" s="221"/>
    </row>
    <row r="786" spans="10:14" x14ac:dyDescent="0.2">
      <c r="J786" s="221"/>
      <c r="N786" s="221"/>
    </row>
    <row r="787" spans="10:14" x14ac:dyDescent="0.2">
      <c r="J787" s="221"/>
      <c r="N787" s="221"/>
    </row>
    <row r="788" spans="10:14" x14ac:dyDescent="0.2">
      <c r="J788" s="221"/>
      <c r="N788" s="221"/>
    </row>
    <row r="789" spans="10:14" x14ac:dyDescent="0.2">
      <c r="J789" s="221"/>
      <c r="N789" s="221"/>
    </row>
    <row r="790" spans="10:14" x14ac:dyDescent="0.2">
      <c r="J790" s="221"/>
      <c r="N790" s="221"/>
    </row>
    <row r="791" spans="10:14" x14ac:dyDescent="0.2">
      <c r="J791" s="221"/>
      <c r="N791" s="221"/>
    </row>
    <row r="792" spans="10:14" x14ac:dyDescent="0.2">
      <c r="J792" s="221"/>
      <c r="N792" s="221"/>
    </row>
    <row r="793" spans="10:14" x14ac:dyDescent="0.2">
      <c r="J793" s="221"/>
      <c r="N793" s="221"/>
    </row>
    <row r="794" spans="10:14" x14ac:dyDescent="0.2">
      <c r="J794" s="221"/>
      <c r="N794" s="221"/>
    </row>
    <row r="795" spans="10:14" x14ac:dyDescent="0.2">
      <c r="J795" s="221"/>
      <c r="N795" s="221"/>
    </row>
    <row r="796" spans="10:14" x14ac:dyDescent="0.2">
      <c r="J796" s="221"/>
      <c r="N796" s="221"/>
    </row>
    <row r="797" spans="10:14" x14ac:dyDescent="0.2">
      <c r="J797" s="221"/>
      <c r="N797" s="221"/>
    </row>
    <row r="798" spans="10:14" x14ac:dyDescent="0.2">
      <c r="J798" s="221"/>
      <c r="N798" s="221"/>
    </row>
    <row r="799" spans="10:14" x14ac:dyDescent="0.2">
      <c r="J799" s="221"/>
      <c r="N799" s="221"/>
    </row>
    <row r="800" spans="10:14" x14ac:dyDescent="0.2">
      <c r="J800" s="221"/>
      <c r="N800" s="221"/>
    </row>
    <row r="801" spans="10:14" x14ac:dyDescent="0.2">
      <c r="J801" s="221"/>
      <c r="N801" s="221"/>
    </row>
    <row r="802" spans="10:14" x14ac:dyDescent="0.2">
      <c r="J802" s="221"/>
      <c r="N802" s="221"/>
    </row>
    <row r="803" spans="10:14" x14ac:dyDescent="0.2">
      <c r="J803" s="221"/>
      <c r="N803" s="221"/>
    </row>
    <row r="804" spans="10:14" x14ac:dyDescent="0.2">
      <c r="J804" s="221"/>
      <c r="N804" s="221"/>
    </row>
    <row r="805" spans="10:14" x14ac:dyDescent="0.2">
      <c r="J805" s="221"/>
      <c r="N805" s="221"/>
    </row>
    <row r="806" spans="10:14" x14ac:dyDescent="0.2">
      <c r="J806" s="221"/>
      <c r="N806" s="221"/>
    </row>
    <row r="807" spans="10:14" x14ac:dyDescent="0.2">
      <c r="J807" s="221"/>
      <c r="N807" s="221"/>
    </row>
    <row r="808" spans="10:14" x14ac:dyDescent="0.2">
      <c r="J808" s="221"/>
      <c r="N808" s="221"/>
    </row>
    <row r="809" spans="10:14" x14ac:dyDescent="0.2">
      <c r="J809" s="221"/>
      <c r="N809" s="221"/>
    </row>
    <row r="810" spans="10:14" x14ac:dyDescent="0.2">
      <c r="J810" s="221"/>
      <c r="N810" s="221"/>
    </row>
    <row r="811" spans="10:14" x14ac:dyDescent="0.2">
      <c r="J811" s="221"/>
      <c r="N811" s="221"/>
    </row>
    <row r="812" spans="10:14" x14ac:dyDescent="0.2">
      <c r="J812" s="221"/>
      <c r="N812" s="221"/>
    </row>
    <row r="813" spans="10:14" x14ac:dyDescent="0.2">
      <c r="J813" s="221"/>
      <c r="N813" s="221"/>
    </row>
    <row r="814" spans="10:14" x14ac:dyDescent="0.2">
      <c r="J814" s="221"/>
      <c r="N814" s="221"/>
    </row>
    <row r="815" spans="10:14" x14ac:dyDescent="0.2">
      <c r="J815" s="221"/>
      <c r="N815" s="221"/>
    </row>
    <row r="816" spans="10:14" x14ac:dyDescent="0.2">
      <c r="J816" s="221"/>
      <c r="N816" s="221"/>
    </row>
    <row r="817" spans="10:14" x14ac:dyDescent="0.2">
      <c r="J817" s="221"/>
      <c r="N817" s="221"/>
    </row>
    <row r="818" spans="10:14" x14ac:dyDescent="0.2">
      <c r="J818" s="221"/>
      <c r="N818" s="221"/>
    </row>
    <row r="819" spans="10:14" x14ac:dyDescent="0.2">
      <c r="J819" s="221"/>
      <c r="N819" s="221"/>
    </row>
    <row r="820" spans="10:14" x14ac:dyDescent="0.2">
      <c r="J820" s="221"/>
      <c r="N820" s="221"/>
    </row>
    <row r="821" spans="10:14" x14ac:dyDescent="0.2">
      <c r="J821" s="221"/>
      <c r="N821" s="221"/>
    </row>
    <row r="822" spans="10:14" x14ac:dyDescent="0.2">
      <c r="J822" s="221"/>
      <c r="N822" s="221"/>
    </row>
    <row r="823" spans="10:14" x14ac:dyDescent="0.2">
      <c r="J823" s="221"/>
      <c r="N823" s="221"/>
    </row>
    <row r="824" spans="10:14" x14ac:dyDescent="0.2">
      <c r="J824" s="221"/>
      <c r="N824" s="221"/>
    </row>
    <row r="825" spans="10:14" x14ac:dyDescent="0.2">
      <c r="J825" s="221"/>
      <c r="N825" s="221"/>
    </row>
    <row r="826" spans="10:14" x14ac:dyDescent="0.2">
      <c r="J826" s="221"/>
      <c r="N826" s="221"/>
    </row>
    <row r="827" spans="10:14" x14ac:dyDescent="0.2">
      <c r="J827" s="221"/>
      <c r="N827" s="221"/>
    </row>
    <row r="828" spans="10:14" x14ac:dyDescent="0.2">
      <c r="J828" s="221"/>
      <c r="N828" s="221"/>
    </row>
    <row r="829" spans="10:14" x14ac:dyDescent="0.2">
      <c r="J829" s="221"/>
      <c r="N829" s="221"/>
    </row>
    <row r="830" spans="10:14" x14ac:dyDescent="0.2">
      <c r="J830" s="221"/>
      <c r="N830" s="221"/>
    </row>
    <row r="831" spans="10:14" x14ac:dyDescent="0.2">
      <c r="J831" s="221"/>
      <c r="N831" s="221"/>
    </row>
    <row r="832" spans="10:14" x14ac:dyDescent="0.2">
      <c r="J832" s="221"/>
      <c r="N832" s="221"/>
    </row>
    <row r="833" spans="10:14" x14ac:dyDescent="0.2">
      <c r="J833" s="221"/>
      <c r="N833" s="221"/>
    </row>
    <row r="834" spans="10:14" x14ac:dyDescent="0.2">
      <c r="J834" s="221"/>
      <c r="N834" s="221"/>
    </row>
    <row r="835" spans="10:14" x14ac:dyDescent="0.2">
      <c r="J835" s="221"/>
      <c r="N835" s="221"/>
    </row>
    <row r="836" spans="10:14" x14ac:dyDescent="0.2">
      <c r="J836" s="221"/>
      <c r="N836" s="221"/>
    </row>
    <row r="837" spans="10:14" x14ac:dyDescent="0.2">
      <c r="J837" s="221"/>
      <c r="N837" s="221"/>
    </row>
    <row r="838" spans="10:14" x14ac:dyDescent="0.2">
      <c r="J838" s="221"/>
      <c r="N838" s="221"/>
    </row>
    <row r="839" spans="10:14" x14ac:dyDescent="0.2">
      <c r="J839" s="221"/>
      <c r="N839" s="221"/>
    </row>
    <row r="840" spans="10:14" x14ac:dyDescent="0.2">
      <c r="J840" s="221"/>
      <c r="N840" s="221"/>
    </row>
    <row r="841" spans="10:14" x14ac:dyDescent="0.2">
      <c r="J841" s="221"/>
      <c r="N841" s="221"/>
    </row>
    <row r="842" spans="10:14" x14ac:dyDescent="0.2">
      <c r="J842" s="221"/>
      <c r="N842" s="221"/>
    </row>
    <row r="843" spans="10:14" x14ac:dyDescent="0.2">
      <c r="J843" s="221"/>
      <c r="N843" s="221"/>
    </row>
    <row r="844" spans="10:14" x14ac:dyDescent="0.2">
      <c r="J844" s="221"/>
      <c r="N844" s="221"/>
    </row>
    <row r="845" spans="10:14" x14ac:dyDescent="0.2">
      <c r="J845" s="221"/>
      <c r="N845" s="221"/>
    </row>
    <row r="846" spans="10:14" x14ac:dyDescent="0.2">
      <c r="J846" s="221"/>
      <c r="N846" s="221"/>
    </row>
    <row r="847" spans="10:14" x14ac:dyDescent="0.2">
      <c r="J847" s="221"/>
      <c r="N847" s="221"/>
    </row>
    <row r="848" spans="10:14" x14ac:dyDescent="0.2">
      <c r="J848" s="221"/>
      <c r="N848" s="221"/>
    </row>
    <row r="849" spans="10:14" x14ac:dyDescent="0.2">
      <c r="J849" s="221"/>
      <c r="N849" s="221"/>
    </row>
    <row r="850" spans="10:14" x14ac:dyDescent="0.2">
      <c r="J850" s="221"/>
      <c r="N850" s="221"/>
    </row>
    <row r="851" spans="10:14" x14ac:dyDescent="0.2">
      <c r="J851" s="221"/>
      <c r="N851" s="221"/>
    </row>
    <row r="852" spans="10:14" x14ac:dyDescent="0.2">
      <c r="J852" s="221"/>
      <c r="N852" s="221"/>
    </row>
    <row r="853" spans="10:14" x14ac:dyDescent="0.2">
      <c r="J853" s="221"/>
      <c r="N853" s="221"/>
    </row>
    <row r="854" spans="10:14" x14ac:dyDescent="0.2">
      <c r="J854" s="221"/>
      <c r="N854" s="221"/>
    </row>
    <row r="855" spans="10:14" x14ac:dyDescent="0.2">
      <c r="J855" s="221"/>
      <c r="N855" s="221"/>
    </row>
    <row r="856" spans="10:14" x14ac:dyDescent="0.2">
      <c r="J856" s="221"/>
      <c r="N856" s="221"/>
    </row>
    <row r="857" spans="10:14" x14ac:dyDescent="0.2">
      <c r="J857" s="221"/>
      <c r="N857" s="221"/>
    </row>
    <row r="858" spans="10:14" x14ac:dyDescent="0.2">
      <c r="J858" s="221"/>
      <c r="N858" s="221"/>
    </row>
    <row r="859" spans="10:14" x14ac:dyDescent="0.2">
      <c r="J859" s="221"/>
      <c r="N859" s="221"/>
    </row>
    <row r="860" spans="10:14" x14ac:dyDescent="0.2">
      <c r="J860" s="221"/>
      <c r="N860" s="221"/>
    </row>
    <row r="861" spans="10:14" x14ac:dyDescent="0.2">
      <c r="J861" s="221"/>
      <c r="N861" s="221"/>
    </row>
    <row r="862" spans="10:14" x14ac:dyDescent="0.2">
      <c r="J862" s="221"/>
      <c r="N862" s="221"/>
    </row>
    <row r="863" spans="10:14" x14ac:dyDescent="0.2">
      <c r="J863" s="221"/>
      <c r="N863" s="221"/>
    </row>
    <row r="864" spans="10:14" x14ac:dyDescent="0.2">
      <c r="J864" s="221"/>
      <c r="N864" s="221"/>
    </row>
    <row r="865" spans="10:14" x14ac:dyDescent="0.2">
      <c r="J865" s="221"/>
      <c r="N865" s="221"/>
    </row>
    <row r="866" spans="10:14" x14ac:dyDescent="0.2">
      <c r="J866" s="221"/>
      <c r="N866" s="221"/>
    </row>
    <row r="867" spans="10:14" x14ac:dyDescent="0.2">
      <c r="J867" s="221"/>
      <c r="N867" s="221"/>
    </row>
    <row r="868" spans="10:14" x14ac:dyDescent="0.2">
      <c r="J868" s="221"/>
      <c r="N868" s="221"/>
    </row>
    <row r="869" spans="10:14" x14ac:dyDescent="0.2">
      <c r="J869" s="221"/>
      <c r="N869" s="221"/>
    </row>
    <row r="870" spans="10:14" x14ac:dyDescent="0.2">
      <c r="J870" s="221"/>
      <c r="N870" s="221"/>
    </row>
    <row r="871" spans="10:14" x14ac:dyDescent="0.2">
      <c r="J871" s="221"/>
      <c r="N871" s="221"/>
    </row>
    <row r="872" spans="10:14" x14ac:dyDescent="0.2">
      <c r="J872" s="221"/>
      <c r="N872" s="221"/>
    </row>
    <row r="873" spans="10:14" x14ac:dyDescent="0.2">
      <c r="J873" s="221"/>
      <c r="N873" s="221"/>
    </row>
    <row r="874" spans="10:14" x14ac:dyDescent="0.2">
      <c r="J874" s="221"/>
      <c r="N874" s="221"/>
    </row>
    <row r="875" spans="10:14" x14ac:dyDescent="0.2">
      <c r="J875" s="221"/>
      <c r="N875" s="221"/>
    </row>
    <row r="876" spans="10:14" x14ac:dyDescent="0.2">
      <c r="J876" s="221"/>
      <c r="N876" s="221"/>
    </row>
    <row r="877" spans="10:14" x14ac:dyDescent="0.2">
      <c r="J877" s="221"/>
      <c r="N877" s="221"/>
    </row>
    <row r="878" spans="10:14" x14ac:dyDescent="0.2">
      <c r="J878" s="221"/>
      <c r="N878" s="221"/>
    </row>
    <row r="879" spans="10:14" x14ac:dyDescent="0.2">
      <c r="J879" s="221"/>
      <c r="N879" s="221"/>
    </row>
    <row r="880" spans="10:14" x14ac:dyDescent="0.2">
      <c r="J880" s="221"/>
      <c r="N880" s="221"/>
    </row>
    <row r="881" spans="10:14" x14ac:dyDescent="0.2">
      <c r="J881" s="221"/>
      <c r="N881" s="221"/>
    </row>
    <row r="882" spans="10:14" x14ac:dyDescent="0.2">
      <c r="J882" s="221"/>
      <c r="N882" s="221"/>
    </row>
    <row r="883" spans="10:14" x14ac:dyDescent="0.2">
      <c r="J883" s="221"/>
      <c r="N883" s="221"/>
    </row>
    <row r="884" spans="10:14" x14ac:dyDescent="0.2">
      <c r="J884" s="221"/>
      <c r="N884" s="221"/>
    </row>
    <row r="885" spans="10:14" x14ac:dyDescent="0.2">
      <c r="J885" s="221"/>
      <c r="N885" s="221"/>
    </row>
    <row r="886" spans="10:14" x14ac:dyDescent="0.2">
      <c r="J886" s="221"/>
      <c r="N886" s="221"/>
    </row>
    <row r="887" spans="10:14" x14ac:dyDescent="0.2">
      <c r="J887" s="221"/>
      <c r="N887" s="221"/>
    </row>
    <row r="888" spans="10:14" x14ac:dyDescent="0.2">
      <c r="J888" s="221"/>
      <c r="N888" s="221"/>
    </row>
    <row r="889" spans="10:14" x14ac:dyDescent="0.2">
      <c r="J889" s="221"/>
      <c r="N889" s="221"/>
    </row>
    <row r="890" spans="10:14" x14ac:dyDescent="0.2">
      <c r="J890" s="221"/>
      <c r="N890" s="221"/>
    </row>
    <row r="891" spans="10:14" x14ac:dyDescent="0.2">
      <c r="J891" s="221"/>
      <c r="N891" s="221"/>
    </row>
    <row r="892" spans="10:14" x14ac:dyDescent="0.2">
      <c r="J892" s="221"/>
      <c r="N892" s="221"/>
    </row>
    <row r="893" spans="10:14" x14ac:dyDescent="0.2">
      <c r="J893" s="221"/>
      <c r="N893" s="221"/>
    </row>
    <row r="894" spans="10:14" x14ac:dyDescent="0.2">
      <c r="J894" s="221"/>
      <c r="N894" s="221"/>
    </row>
    <row r="895" spans="10:14" x14ac:dyDescent="0.2">
      <c r="J895" s="221"/>
      <c r="N895" s="221"/>
    </row>
    <row r="896" spans="10:14" x14ac:dyDescent="0.2">
      <c r="J896" s="221"/>
      <c r="N896" s="221"/>
    </row>
    <row r="897" spans="10:14" x14ac:dyDescent="0.2">
      <c r="J897" s="221"/>
      <c r="N897" s="221"/>
    </row>
    <row r="898" spans="10:14" x14ac:dyDescent="0.2">
      <c r="J898" s="221"/>
      <c r="N898" s="221"/>
    </row>
    <row r="899" spans="10:14" x14ac:dyDescent="0.2">
      <c r="J899" s="221"/>
      <c r="N899" s="221"/>
    </row>
    <row r="900" spans="10:14" x14ac:dyDescent="0.2">
      <c r="J900" s="221"/>
      <c r="N900" s="221"/>
    </row>
    <row r="901" spans="10:14" x14ac:dyDescent="0.2">
      <c r="J901" s="221"/>
      <c r="N901" s="221"/>
    </row>
    <row r="902" spans="10:14" x14ac:dyDescent="0.2">
      <c r="J902" s="221"/>
      <c r="N902" s="221"/>
    </row>
    <row r="903" spans="10:14" x14ac:dyDescent="0.2">
      <c r="J903" s="221"/>
      <c r="N903" s="221"/>
    </row>
    <row r="904" spans="10:14" x14ac:dyDescent="0.2">
      <c r="J904" s="221"/>
      <c r="N904" s="221"/>
    </row>
    <row r="905" spans="10:14" x14ac:dyDescent="0.2">
      <c r="J905" s="221"/>
      <c r="N905" s="221"/>
    </row>
    <row r="906" spans="10:14" x14ac:dyDescent="0.2">
      <c r="J906" s="221"/>
      <c r="N906" s="221"/>
    </row>
    <row r="907" spans="10:14" x14ac:dyDescent="0.2">
      <c r="J907" s="221"/>
      <c r="N907" s="221"/>
    </row>
    <row r="908" spans="10:14" x14ac:dyDescent="0.2">
      <c r="J908" s="221"/>
      <c r="N908" s="221"/>
    </row>
    <row r="909" spans="10:14" x14ac:dyDescent="0.2">
      <c r="J909" s="221"/>
      <c r="N909" s="221"/>
    </row>
    <row r="910" spans="10:14" x14ac:dyDescent="0.2">
      <c r="J910" s="221"/>
      <c r="N910" s="221"/>
    </row>
    <row r="911" spans="10:14" x14ac:dyDescent="0.2">
      <c r="J911" s="221"/>
      <c r="N911" s="221"/>
    </row>
    <row r="912" spans="10:14" x14ac:dyDescent="0.2">
      <c r="J912" s="221"/>
      <c r="N912" s="221"/>
    </row>
    <row r="913" spans="10:14" x14ac:dyDescent="0.2">
      <c r="J913" s="221"/>
      <c r="N913" s="221"/>
    </row>
    <row r="914" spans="10:14" x14ac:dyDescent="0.2">
      <c r="J914" s="221"/>
      <c r="N914" s="221"/>
    </row>
    <row r="915" spans="10:14" x14ac:dyDescent="0.2">
      <c r="J915" s="221"/>
      <c r="N915" s="221"/>
    </row>
    <row r="916" spans="10:14" x14ac:dyDescent="0.2">
      <c r="J916" s="221"/>
      <c r="N916" s="221"/>
    </row>
    <row r="917" spans="10:14" x14ac:dyDescent="0.2">
      <c r="J917" s="221"/>
      <c r="N917" s="221"/>
    </row>
    <row r="918" spans="10:14" x14ac:dyDescent="0.2">
      <c r="J918" s="221"/>
      <c r="N918" s="221"/>
    </row>
    <row r="919" spans="10:14" x14ac:dyDescent="0.2">
      <c r="J919" s="221"/>
      <c r="N919" s="221"/>
    </row>
    <row r="920" spans="10:14" x14ac:dyDescent="0.2">
      <c r="J920" s="221"/>
      <c r="N920" s="221"/>
    </row>
    <row r="921" spans="10:14" x14ac:dyDescent="0.2">
      <c r="J921" s="221"/>
      <c r="N921" s="221"/>
    </row>
    <row r="922" spans="10:14" x14ac:dyDescent="0.2">
      <c r="J922" s="221"/>
      <c r="N922" s="221"/>
    </row>
    <row r="923" spans="10:14" x14ac:dyDescent="0.2">
      <c r="J923" s="221"/>
      <c r="N923" s="221"/>
    </row>
    <row r="924" spans="10:14" x14ac:dyDescent="0.2">
      <c r="J924" s="221"/>
      <c r="N924" s="221"/>
    </row>
    <row r="925" spans="10:14" x14ac:dyDescent="0.2">
      <c r="J925" s="221"/>
      <c r="N925" s="221"/>
    </row>
    <row r="926" spans="10:14" x14ac:dyDescent="0.2">
      <c r="J926" s="221"/>
      <c r="N926" s="221"/>
    </row>
    <row r="927" spans="10:14" x14ac:dyDescent="0.2">
      <c r="J927" s="221"/>
      <c r="N927" s="221"/>
    </row>
    <row r="928" spans="10:14" x14ac:dyDescent="0.2">
      <c r="J928" s="221"/>
      <c r="N928" s="221"/>
    </row>
    <row r="929" spans="10:14" x14ac:dyDescent="0.2">
      <c r="J929" s="221"/>
      <c r="N929" s="221"/>
    </row>
    <row r="930" spans="10:14" x14ac:dyDescent="0.2">
      <c r="J930" s="221"/>
      <c r="N930" s="221"/>
    </row>
    <row r="931" spans="10:14" x14ac:dyDescent="0.2">
      <c r="J931" s="221"/>
      <c r="N931" s="221"/>
    </row>
    <row r="932" spans="10:14" x14ac:dyDescent="0.2">
      <c r="J932" s="221"/>
      <c r="N932" s="221"/>
    </row>
    <row r="933" spans="10:14" x14ac:dyDescent="0.2">
      <c r="J933" s="221"/>
      <c r="N933" s="221"/>
    </row>
    <row r="934" spans="10:14" x14ac:dyDescent="0.2">
      <c r="J934" s="221"/>
      <c r="N934" s="221"/>
    </row>
    <row r="935" spans="10:14" x14ac:dyDescent="0.2">
      <c r="J935" s="221"/>
      <c r="N935" s="221"/>
    </row>
    <row r="936" spans="10:14" x14ac:dyDescent="0.2">
      <c r="J936" s="221"/>
      <c r="N936" s="221"/>
    </row>
    <row r="937" spans="10:14" x14ac:dyDescent="0.2">
      <c r="J937" s="221"/>
      <c r="N937" s="221"/>
    </row>
    <row r="938" spans="10:14" x14ac:dyDescent="0.2">
      <c r="J938" s="221"/>
      <c r="N938" s="221"/>
    </row>
    <row r="939" spans="10:14" x14ac:dyDescent="0.2">
      <c r="J939" s="221"/>
      <c r="N939" s="221"/>
    </row>
    <row r="940" spans="10:14" x14ac:dyDescent="0.2">
      <c r="J940" s="221"/>
      <c r="N940" s="221"/>
    </row>
    <row r="941" spans="10:14" x14ac:dyDescent="0.2">
      <c r="J941" s="221"/>
      <c r="N941" s="221"/>
    </row>
    <row r="942" spans="10:14" x14ac:dyDescent="0.2">
      <c r="J942" s="221"/>
      <c r="N942" s="221"/>
    </row>
    <row r="943" spans="10:14" x14ac:dyDescent="0.2">
      <c r="J943" s="221"/>
      <c r="N943" s="221"/>
    </row>
    <row r="944" spans="10:14" x14ac:dyDescent="0.2">
      <c r="J944" s="221"/>
      <c r="N944" s="221"/>
    </row>
    <row r="945" spans="10:14" x14ac:dyDescent="0.2">
      <c r="J945" s="221"/>
      <c r="N945" s="221"/>
    </row>
    <row r="946" spans="10:14" x14ac:dyDescent="0.2">
      <c r="J946" s="221"/>
      <c r="N946" s="221"/>
    </row>
    <row r="947" spans="10:14" x14ac:dyDescent="0.2">
      <c r="J947" s="221"/>
      <c r="N947" s="221"/>
    </row>
    <row r="948" spans="10:14" x14ac:dyDescent="0.2">
      <c r="J948" s="221"/>
      <c r="N948" s="221"/>
    </row>
    <row r="949" spans="10:14" x14ac:dyDescent="0.2">
      <c r="J949" s="221"/>
      <c r="N949" s="221"/>
    </row>
    <row r="950" spans="10:14" x14ac:dyDescent="0.2">
      <c r="J950" s="221"/>
      <c r="N950" s="221"/>
    </row>
    <row r="951" spans="10:14" x14ac:dyDescent="0.2">
      <c r="J951" s="221"/>
      <c r="N951" s="221"/>
    </row>
    <row r="952" spans="10:14" x14ac:dyDescent="0.2">
      <c r="J952" s="221"/>
      <c r="N952" s="221"/>
    </row>
    <row r="953" spans="10:14" x14ac:dyDescent="0.2">
      <c r="J953" s="221"/>
      <c r="N953" s="221"/>
    </row>
    <row r="954" spans="10:14" x14ac:dyDescent="0.2">
      <c r="J954" s="221"/>
      <c r="N954" s="221"/>
    </row>
    <row r="955" spans="10:14" x14ac:dyDescent="0.2">
      <c r="J955" s="221"/>
      <c r="N955" s="221"/>
    </row>
    <row r="956" spans="10:14" x14ac:dyDescent="0.2">
      <c r="J956" s="221"/>
      <c r="N956" s="221"/>
    </row>
    <row r="957" spans="10:14" x14ac:dyDescent="0.2">
      <c r="J957" s="221"/>
      <c r="N957" s="221"/>
    </row>
    <row r="958" spans="10:14" x14ac:dyDescent="0.2">
      <c r="J958" s="221"/>
      <c r="N958" s="221"/>
    </row>
    <row r="959" spans="10:14" x14ac:dyDescent="0.2">
      <c r="J959" s="221"/>
      <c r="N959" s="221"/>
    </row>
    <row r="960" spans="10:14" x14ac:dyDescent="0.2">
      <c r="J960" s="221"/>
      <c r="N960" s="221"/>
    </row>
    <row r="961" spans="10:14" x14ac:dyDescent="0.2">
      <c r="J961" s="221"/>
      <c r="N961" s="221"/>
    </row>
    <row r="962" spans="10:14" x14ac:dyDescent="0.2">
      <c r="J962" s="221"/>
      <c r="N962" s="221"/>
    </row>
    <row r="963" spans="10:14" x14ac:dyDescent="0.2">
      <c r="J963" s="221"/>
      <c r="N963" s="221"/>
    </row>
    <row r="964" spans="10:14" x14ac:dyDescent="0.2">
      <c r="J964" s="221"/>
      <c r="N964" s="221"/>
    </row>
    <row r="965" spans="10:14" x14ac:dyDescent="0.2">
      <c r="J965" s="221"/>
      <c r="N965" s="221"/>
    </row>
    <row r="966" spans="10:14" x14ac:dyDescent="0.2">
      <c r="J966" s="221"/>
      <c r="N966" s="221"/>
    </row>
    <row r="967" spans="10:14" x14ac:dyDescent="0.2">
      <c r="J967" s="221"/>
      <c r="N967" s="221"/>
    </row>
    <row r="968" spans="10:14" x14ac:dyDescent="0.2">
      <c r="J968" s="221"/>
      <c r="N968" s="221"/>
    </row>
    <row r="969" spans="10:14" x14ac:dyDescent="0.2">
      <c r="J969" s="221"/>
      <c r="N969" s="221"/>
    </row>
    <row r="970" spans="10:14" x14ac:dyDescent="0.2">
      <c r="J970" s="221"/>
      <c r="N970" s="221"/>
    </row>
    <row r="971" spans="10:14" x14ac:dyDescent="0.2">
      <c r="J971" s="221"/>
      <c r="N971" s="221"/>
    </row>
    <row r="972" spans="10:14" x14ac:dyDescent="0.2">
      <c r="J972" s="221"/>
      <c r="N972" s="221"/>
    </row>
    <row r="973" spans="10:14" x14ac:dyDescent="0.2">
      <c r="J973" s="221"/>
      <c r="N973" s="221"/>
    </row>
    <row r="974" spans="10:14" x14ac:dyDescent="0.2">
      <c r="J974" s="221"/>
      <c r="N974" s="221"/>
    </row>
    <row r="975" spans="10:14" x14ac:dyDescent="0.2">
      <c r="J975" s="221"/>
      <c r="N975" s="221"/>
    </row>
    <row r="976" spans="10:14" x14ac:dyDescent="0.2">
      <c r="J976" s="221"/>
      <c r="N976" s="221"/>
    </row>
    <row r="977" spans="10:14" x14ac:dyDescent="0.2">
      <c r="J977" s="221"/>
      <c r="N977" s="221"/>
    </row>
    <row r="978" spans="10:14" x14ac:dyDescent="0.2">
      <c r="J978" s="221"/>
      <c r="N978" s="221"/>
    </row>
    <row r="979" spans="10:14" x14ac:dyDescent="0.2">
      <c r="J979" s="221"/>
      <c r="N979" s="221"/>
    </row>
    <row r="980" spans="10:14" x14ac:dyDescent="0.2">
      <c r="J980" s="221"/>
      <c r="N980" s="221"/>
    </row>
    <row r="981" spans="10:14" x14ac:dyDescent="0.2">
      <c r="J981" s="221"/>
      <c r="N981" s="221"/>
    </row>
    <row r="982" spans="10:14" x14ac:dyDescent="0.2">
      <c r="J982" s="221"/>
      <c r="N982" s="221"/>
    </row>
    <row r="983" spans="10:14" x14ac:dyDescent="0.2">
      <c r="J983" s="221"/>
      <c r="N983" s="221"/>
    </row>
    <row r="984" spans="10:14" x14ac:dyDescent="0.2">
      <c r="J984" s="221"/>
      <c r="N984" s="221"/>
    </row>
    <row r="985" spans="10:14" x14ac:dyDescent="0.2">
      <c r="J985" s="221"/>
      <c r="N985" s="221"/>
    </row>
    <row r="986" spans="10:14" x14ac:dyDescent="0.2">
      <c r="J986" s="221"/>
      <c r="N986" s="221"/>
    </row>
    <row r="987" spans="10:14" x14ac:dyDescent="0.2">
      <c r="J987" s="221"/>
      <c r="N987" s="221"/>
    </row>
    <row r="988" spans="10:14" x14ac:dyDescent="0.2">
      <c r="J988" s="221"/>
      <c r="N988" s="221"/>
    </row>
    <row r="989" spans="10:14" x14ac:dyDescent="0.2">
      <c r="J989" s="221"/>
      <c r="N989" s="221"/>
    </row>
    <row r="990" spans="10:14" x14ac:dyDescent="0.2">
      <c r="J990" s="221"/>
      <c r="N990" s="221"/>
    </row>
    <row r="991" spans="10:14" x14ac:dyDescent="0.2">
      <c r="J991" s="221"/>
      <c r="N991" s="221"/>
    </row>
    <row r="992" spans="10:14" x14ac:dyDescent="0.2">
      <c r="J992" s="221"/>
      <c r="N992" s="221"/>
    </row>
    <row r="993" spans="10:14" x14ac:dyDescent="0.2">
      <c r="J993" s="221"/>
      <c r="N993" s="221"/>
    </row>
    <row r="994" spans="10:14" x14ac:dyDescent="0.2">
      <c r="J994" s="221"/>
      <c r="N994" s="221"/>
    </row>
    <row r="995" spans="10:14" x14ac:dyDescent="0.2">
      <c r="J995" s="221"/>
      <c r="N995" s="221"/>
    </row>
    <row r="996" spans="10:14" x14ac:dyDescent="0.2">
      <c r="J996" s="221"/>
      <c r="N996" s="221"/>
    </row>
    <row r="997" spans="10:14" x14ac:dyDescent="0.2">
      <c r="J997" s="221"/>
      <c r="N997" s="221"/>
    </row>
    <row r="998" spans="10:14" x14ac:dyDescent="0.2">
      <c r="J998" s="221"/>
      <c r="N998" s="221"/>
    </row>
    <row r="999" spans="10:14" x14ac:dyDescent="0.2">
      <c r="J999" s="221"/>
      <c r="N999" s="221"/>
    </row>
    <row r="1000" spans="10:14" x14ac:dyDescent="0.2">
      <c r="J1000" s="221"/>
      <c r="N1000" s="221"/>
    </row>
    <row r="1001" spans="10:14" x14ac:dyDescent="0.2">
      <c r="J1001" s="221"/>
      <c r="N1001" s="221"/>
    </row>
    <row r="1002" spans="10:14" x14ac:dyDescent="0.2">
      <c r="J1002" s="221"/>
      <c r="N1002" s="221"/>
    </row>
    <row r="1003" spans="10:14" x14ac:dyDescent="0.2">
      <c r="J1003" s="221"/>
      <c r="N1003" s="221"/>
    </row>
    <row r="1004" spans="10:14" x14ac:dyDescent="0.2">
      <c r="J1004" s="221"/>
      <c r="N1004" s="221"/>
    </row>
    <row r="1005" spans="10:14" x14ac:dyDescent="0.2">
      <c r="J1005" s="221"/>
      <c r="N1005" s="221"/>
    </row>
    <row r="1006" spans="10:14" x14ac:dyDescent="0.2">
      <c r="J1006" s="221"/>
      <c r="N1006" s="221"/>
    </row>
    <row r="1007" spans="10:14" x14ac:dyDescent="0.2">
      <c r="J1007" s="221"/>
      <c r="N1007" s="221"/>
    </row>
    <row r="1008" spans="10:14" x14ac:dyDescent="0.2">
      <c r="J1008" s="221"/>
      <c r="N1008" s="221"/>
    </row>
    <row r="1009" spans="10:14" x14ac:dyDescent="0.2">
      <c r="J1009" s="221"/>
      <c r="N1009" s="221"/>
    </row>
    <row r="1010" spans="10:14" x14ac:dyDescent="0.2">
      <c r="J1010" s="221"/>
      <c r="N1010" s="221"/>
    </row>
    <row r="1011" spans="10:14" x14ac:dyDescent="0.2">
      <c r="J1011" s="221"/>
      <c r="N1011" s="221"/>
    </row>
    <row r="1012" spans="10:14" x14ac:dyDescent="0.2">
      <c r="J1012" s="221"/>
      <c r="N1012" s="221"/>
    </row>
    <row r="1013" spans="10:14" x14ac:dyDescent="0.2">
      <c r="J1013" s="221"/>
      <c r="N1013" s="221"/>
    </row>
    <row r="1014" spans="10:14" x14ac:dyDescent="0.2">
      <c r="J1014" s="221"/>
      <c r="N1014" s="221"/>
    </row>
    <row r="1015" spans="10:14" x14ac:dyDescent="0.2">
      <c r="J1015" s="221"/>
      <c r="N1015" s="221"/>
    </row>
    <row r="1016" spans="10:14" x14ac:dyDescent="0.2">
      <c r="J1016" s="221"/>
      <c r="N1016" s="221"/>
    </row>
    <row r="1017" spans="10:14" x14ac:dyDescent="0.2">
      <c r="J1017" s="221"/>
      <c r="N1017" s="221"/>
    </row>
    <row r="1018" spans="10:14" x14ac:dyDescent="0.2">
      <c r="J1018" s="221"/>
      <c r="N1018" s="221"/>
    </row>
    <row r="1019" spans="10:14" x14ac:dyDescent="0.2">
      <c r="J1019" s="221"/>
      <c r="N1019" s="221"/>
    </row>
  </sheetData>
  <mergeCells count="50">
    <mergeCell ref="C39:D39"/>
    <mergeCell ref="F92:J92"/>
    <mergeCell ref="F1:J1"/>
    <mergeCell ref="K1:N1"/>
    <mergeCell ref="C2:D2"/>
    <mergeCell ref="I2:J2"/>
    <mergeCell ref="F38:J38"/>
    <mergeCell ref="K38:N38"/>
    <mergeCell ref="V92:W92"/>
    <mergeCell ref="C93:D93"/>
    <mergeCell ref="W103:X103"/>
    <mergeCell ref="C238:D238"/>
    <mergeCell ref="C115:D115"/>
    <mergeCell ref="W137:X137"/>
    <mergeCell ref="F153:J153"/>
    <mergeCell ref="C154:D154"/>
    <mergeCell ref="F186:J186"/>
    <mergeCell ref="C187:D187"/>
    <mergeCell ref="F217:J217"/>
    <mergeCell ref="C218:D218"/>
    <mergeCell ref="B235:I235"/>
    <mergeCell ref="C236:D236"/>
    <mergeCell ref="C237:D237"/>
    <mergeCell ref="F114:J114"/>
    <mergeCell ref="C250:D250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F251:G251"/>
    <mergeCell ref="H251:I251"/>
    <mergeCell ref="F252:G252"/>
    <mergeCell ref="H252:I252"/>
    <mergeCell ref="F253:G253"/>
    <mergeCell ref="H253:I253"/>
    <mergeCell ref="F257:G257"/>
    <mergeCell ref="H257:I257"/>
    <mergeCell ref="F254:G254"/>
    <mergeCell ref="H254:I254"/>
    <mergeCell ref="F255:G255"/>
    <mergeCell ref="H255:I255"/>
    <mergeCell ref="F256:G256"/>
    <mergeCell ref="H256:I256"/>
  </mergeCells>
  <pageMargins left="0.7" right="0.7" top="0.78740157499999996" bottom="0.78740157499999996" header="0.3" footer="0.3"/>
  <pageSetup paperSize="9" scale="3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C0CC-5EBE-44A1-8472-30DD99280FFE}">
  <sheetPr codeName="Tabelle3"/>
  <dimension ref="A1:I33"/>
  <sheetViews>
    <sheetView zoomScale="160" zoomScaleNormal="160" workbookViewId="0">
      <selection activeCell="A17" sqref="A15:C17"/>
    </sheetView>
  </sheetViews>
  <sheetFormatPr baseColWidth="10" defaultRowHeight="14.25" x14ac:dyDescent="0.2"/>
  <cols>
    <col min="1" max="1" width="28.125" style="253" customWidth="1"/>
    <col min="2" max="2" width="12.875" style="253" customWidth="1"/>
    <col min="3" max="3" width="15.75" style="253" customWidth="1"/>
    <col min="4" max="4" width="52.5" style="253" bestFit="1" customWidth="1"/>
    <col min="5" max="16384" width="11" style="253"/>
  </cols>
  <sheetData>
    <row r="1" spans="1:4" ht="16.5" x14ac:dyDescent="0.3">
      <c r="A1" s="331" t="s">
        <v>310</v>
      </c>
      <c r="B1" s="332"/>
      <c r="C1" s="333"/>
      <c r="D1" s="252"/>
    </row>
    <row r="2" spans="1:4" ht="14.25" customHeight="1" thickBot="1" x14ac:dyDescent="0.25">
      <c r="A2" s="334" t="s">
        <v>346</v>
      </c>
      <c r="B2" s="335"/>
      <c r="C2" s="336"/>
      <c r="D2" s="252"/>
    </row>
    <row r="3" spans="1:4" ht="18.75" customHeight="1" x14ac:dyDescent="0.2">
      <c r="A3" s="254" t="s">
        <v>276</v>
      </c>
      <c r="B3" s="205">
        <v>3430</v>
      </c>
      <c r="C3" s="255" t="s">
        <v>282</v>
      </c>
      <c r="D3" s="260" t="s">
        <v>311</v>
      </c>
    </row>
    <row r="4" spans="1:4" ht="4.5" customHeight="1" x14ac:dyDescent="0.2">
      <c r="A4" s="325"/>
      <c r="B4" s="326"/>
      <c r="C4" s="327"/>
      <c r="D4" s="257"/>
    </row>
    <row r="5" spans="1:4" ht="18.75" customHeight="1" x14ac:dyDescent="0.2">
      <c r="A5" s="254" t="s">
        <v>301</v>
      </c>
      <c r="B5" s="205">
        <v>170</v>
      </c>
      <c r="C5" s="255" t="s">
        <v>304</v>
      </c>
      <c r="D5" s="260" t="s">
        <v>315</v>
      </c>
    </row>
    <row r="6" spans="1:4" ht="4.5" customHeight="1" x14ac:dyDescent="0.2">
      <c r="A6" s="325"/>
      <c r="B6" s="326"/>
      <c r="C6" s="327"/>
      <c r="D6" s="279"/>
    </row>
    <row r="7" spans="1:4" ht="22.5" x14ac:dyDescent="0.2">
      <c r="A7" s="254" t="s">
        <v>308</v>
      </c>
      <c r="B7" s="205">
        <v>430</v>
      </c>
      <c r="C7" s="255" t="s">
        <v>281</v>
      </c>
      <c r="D7" s="262" t="s">
        <v>319</v>
      </c>
    </row>
    <row r="8" spans="1:4" ht="18.75" customHeight="1" x14ac:dyDescent="0.2">
      <c r="A8" s="263" t="s">
        <v>312</v>
      </c>
      <c r="B8" s="251">
        <f>'Calculations MIP-VW'!H20</f>
        <v>811.19500000000005</v>
      </c>
      <c r="C8" s="264" t="s">
        <v>200</v>
      </c>
      <c r="D8" s="260" t="s">
        <v>302</v>
      </c>
    </row>
    <row r="9" spans="1:4" ht="4.5" customHeight="1" x14ac:dyDescent="0.2">
      <c r="A9" s="325"/>
      <c r="B9" s="326"/>
      <c r="C9" s="327"/>
      <c r="D9" s="279"/>
    </row>
    <row r="10" spans="1:4" ht="18.75" customHeight="1" x14ac:dyDescent="0.2">
      <c r="A10" s="254" t="s">
        <v>309</v>
      </c>
      <c r="B10" s="205">
        <v>15</v>
      </c>
      <c r="C10" s="255" t="s">
        <v>281</v>
      </c>
      <c r="D10" s="260" t="s">
        <v>320</v>
      </c>
    </row>
    <row r="11" spans="1:4" ht="18.75" customHeight="1" x14ac:dyDescent="0.2">
      <c r="A11" s="263" t="s">
        <v>313</v>
      </c>
      <c r="B11" s="251">
        <f>'Calculations MIP-VW'!H22</f>
        <v>28.297500000000003</v>
      </c>
      <c r="C11" s="264" t="s">
        <v>200</v>
      </c>
      <c r="D11" s="260" t="s">
        <v>302</v>
      </c>
    </row>
    <row r="12" spans="1:4" ht="4.5" customHeight="1" x14ac:dyDescent="0.2">
      <c r="A12" s="325"/>
      <c r="B12" s="326"/>
      <c r="C12" s="327"/>
      <c r="D12" s="279"/>
    </row>
    <row r="13" spans="1:4" ht="22.5" x14ac:dyDescent="0.2">
      <c r="A13" s="254" t="s">
        <v>277</v>
      </c>
      <c r="B13" s="205">
        <v>270</v>
      </c>
      <c r="C13" s="255" t="s">
        <v>200</v>
      </c>
      <c r="D13" s="262" t="s">
        <v>321</v>
      </c>
    </row>
    <row r="14" spans="1:4" ht="4.5" customHeight="1" x14ac:dyDescent="0.2">
      <c r="A14" s="325"/>
      <c r="B14" s="326"/>
      <c r="C14" s="327"/>
      <c r="D14" s="279"/>
    </row>
    <row r="15" spans="1:4" ht="22.5" customHeight="1" x14ac:dyDescent="0.2">
      <c r="A15" s="258" t="s">
        <v>305</v>
      </c>
      <c r="B15" s="205">
        <v>750</v>
      </c>
      <c r="C15" s="259" t="s">
        <v>303</v>
      </c>
      <c r="D15" s="262" t="s">
        <v>322</v>
      </c>
    </row>
    <row r="16" spans="1:4" ht="4.5" customHeight="1" x14ac:dyDescent="0.2">
      <c r="A16" s="325"/>
      <c r="B16" s="326"/>
      <c r="C16" s="327"/>
      <c r="D16" s="279"/>
    </row>
    <row r="17" spans="1:9" ht="18.75" customHeight="1" x14ac:dyDescent="0.2">
      <c r="A17" s="258" t="s">
        <v>314</v>
      </c>
      <c r="B17" s="205">
        <v>80</v>
      </c>
      <c r="C17" s="259" t="s">
        <v>161</v>
      </c>
      <c r="D17" s="260" t="s">
        <v>323</v>
      </c>
    </row>
    <row r="18" spans="1:9" ht="4.5" customHeight="1" x14ac:dyDescent="0.2">
      <c r="A18" s="325"/>
      <c r="B18" s="326"/>
      <c r="C18" s="327"/>
      <c r="D18" s="279"/>
    </row>
    <row r="19" spans="1:9" ht="18.75" customHeight="1" x14ac:dyDescent="0.2">
      <c r="A19" s="258" t="s">
        <v>306</v>
      </c>
      <c r="B19" s="205">
        <v>250</v>
      </c>
      <c r="C19" s="259" t="s">
        <v>307</v>
      </c>
      <c r="D19" s="260" t="s">
        <v>316</v>
      </c>
    </row>
    <row r="20" spans="1:9" ht="4.5" customHeight="1" x14ac:dyDescent="0.2">
      <c r="A20" s="325"/>
      <c r="B20" s="326"/>
      <c r="C20" s="327"/>
      <c r="D20" s="279"/>
    </row>
    <row r="21" spans="1:9" ht="33" customHeight="1" thickBot="1" x14ac:dyDescent="0.25">
      <c r="A21" s="280" t="s">
        <v>318</v>
      </c>
      <c r="B21" s="226">
        <v>35</v>
      </c>
      <c r="C21" s="281" t="s">
        <v>279</v>
      </c>
      <c r="D21" s="282" t="s">
        <v>317</v>
      </c>
      <c r="E21" s="283"/>
      <c r="F21" s="283"/>
      <c r="G21" s="283"/>
      <c r="H21" s="283"/>
      <c r="I21" s="283"/>
    </row>
    <row r="22" spans="1:9" ht="14.25" customHeight="1" thickBot="1" x14ac:dyDescent="0.25">
      <c r="A22" s="328"/>
      <c r="B22" s="329"/>
      <c r="C22" s="330"/>
      <c r="D22" s="252"/>
    </row>
    <row r="23" spans="1:9" ht="18.75" customHeight="1" thickBot="1" x14ac:dyDescent="0.25">
      <c r="A23" s="268" t="s">
        <v>327</v>
      </c>
      <c r="B23" s="269">
        <f>SUM(B26:B32)</f>
        <v>525.13727408941179</v>
      </c>
      <c r="C23" s="270" t="s">
        <v>328</v>
      </c>
      <c r="D23" s="271"/>
    </row>
    <row r="24" spans="1:9" ht="9" customHeight="1" x14ac:dyDescent="0.2">
      <c r="A24" s="359"/>
      <c r="B24" s="359"/>
      <c r="C24" s="359"/>
      <c r="D24" s="252"/>
    </row>
    <row r="25" spans="1:9" ht="18.75" x14ac:dyDescent="0.35">
      <c r="A25" s="272" t="s">
        <v>329</v>
      </c>
      <c r="B25" s="273" t="s">
        <v>328</v>
      </c>
      <c r="C25" s="252"/>
      <c r="D25" s="252"/>
    </row>
    <row r="26" spans="1:9" x14ac:dyDescent="0.2">
      <c r="A26" s="274" t="s">
        <v>111</v>
      </c>
      <c r="B26" s="275">
        <f>'Calculations MIP-VW'!L23</f>
        <v>430.64771056000001</v>
      </c>
      <c r="C26" s="252"/>
      <c r="D26" s="252"/>
    </row>
    <row r="27" spans="1:9" x14ac:dyDescent="0.2">
      <c r="A27" s="274" t="s">
        <v>112</v>
      </c>
      <c r="B27" s="275">
        <f>'Calculations MIP-VW'!L57</f>
        <v>13.7204</v>
      </c>
      <c r="C27" s="276"/>
      <c r="D27" s="252"/>
    </row>
    <row r="28" spans="1:9" x14ac:dyDescent="0.2">
      <c r="A28" s="274" t="s">
        <v>110</v>
      </c>
      <c r="B28" s="275">
        <f>'Calculations MIP-VW'!L99</f>
        <v>3.3464</v>
      </c>
      <c r="C28" s="252"/>
      <c r="D28" s="252"/>
    </row>
    <row r="29" spans="1:9" x14ac:dyDescent="0.2">
      <c r="A29" s="274" t="s">
        <v>324</v>
      </c>
      <c r="B29" s="275">
        <f>'Calculations MIP-VW'!J135</f>
        <v>13.317681176470586</v>
      </c>
      <c r="C29" s="252"/>
      <c r="D29" s="252"/>
    </row>
    <row r="30" spans="1:9" x14ac:dyDescent="0.2">
      <c r="A30" s="274" t="s">
        <v>325</v>
      </c>
      <c r="B30" s="275">
        <f>'Calculations MIP-VW'!L169</f>
        <v>56.510258823529412</v>
      </c>
      <c r="C30" s="252"/>
      <c r="D30" s="252"/>
    </row>
    <row r="31" spans="1:9" x14ac:dyDescent="0.2">
      <c r="A31" s="274" t="s">
        <v>163</v>
      </c>
      <c r="B31" s="277">
        <f>'Calculations MIP-VW'!L203</f>
        <v>5.9</v>
      </c>
      <c r="C31" s="278"/>
      <c r="D31" s="252"/>
    </row>
    <row r="32" spans="1:9" x14ac:dyDescent="0.2">
      <c r="A32" s="274" t="s">
        <v>326</v>
      </c>
      <c r="B32" s="277">
        <f>'Calculations MIP-VW'!L222</f>
        <v>1.6948235294117646</v>
      </c>
      <c r="C32" s="252"/>
      <c r="D32" s="252"/>
    </row>
    <row r="33" spans="1:4" x14ac:dyDescent="0.2">
      <c r="A33" s="252"/>
      <c r="B33" s="252"/>
      <c r="C33" s="252"/>
      <c r="D33" s="252"/>
    </row>
  </sheetData>
  <sheetProtection algorithmName="SHA-512" hashValue="bT5FcaOqFO5/vDLLGvqufpx0GXsmh9KDFgoo7BPyKHAjYP0HgK8lyqZfPZsuBnRMWH5IWzZGKT4Lb7Qfc7CHZw==" saltValue="XIZrSlGxvimirrwBn9xIxg==" spinCount="100000" sheet="1" formatCells="0" formatColumns="0" formatRows="0" insertColumns="0" insertRows="0" insertHyperlinks="0" deleteColumns="0" deleteRows="0" sort="0" autoFilter="0" pivotTables="0"/>
  <mergeCells count="12">
    <mergeCell ref="A20:C20"/>
    <mergeCell ref="A24:C24"/>
    <mergeCell ref="A18:C18"/>
    <mergeCell ref="A22:C22"/>
    <mergeCell ref="A1:C1"/>
    <mergeCell ref="A2:C2"/>
    <mergeCell ref="A6:C6"/>
    <mergeCell ref="A9:C9"/>
    <mergeCell ref="A12:C12"/>
    <mergeCell ref="A16:C16"/>
    <mergeCell ref="A4:C4"/>
    <mergeCell ref="A14:C14"/>
  </mergeCells>
  <pageMargins left="0.7" right="0.7" top="0.78740157499999996" bottom="0.78740157499999996" header="0.3" footer="0.3"/>
  <pageSetup paperSize="9" scale="73" orientation="portrait" r:id="rId1"/>
  <ignoredErrors>
    <ignoredError sqref="B8 B11 B23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4">
    <pageSetUpPr fitToPage="1"/>
  </sheetPr>
  <dimension ref="A1:AD1015"/>
  <sheetViews>
    <sheetView zoomScale="85" zoomScaleNormal="85" workbookViewId="0">
      <selection activeCell="K20" sqref="K20"/>
    </sheetView>
  </sheetViews>
  <sheetFormatPr baseColWidth="10" defaultRowHeight="14.25" x14ac:dyDescent="0.2"/>
  <cols>
    <col min="1" max="1" width="16" style="9" customWidth="1"/>
    <col min="2" max="2" width="28.75" style="9" customWidth="1"/>
    <col min="3" max="3" width="17" style="9" customWidth="1"/>
    <col min="4" max="4" width="7.25" style="9" customWidth="1"/>
    <col min="5" max="5" width="35.125" style="12" customWidth="1"/>
    <col min="6" max="6" width="11.625" style="9" customWidth="1"/>
    <col min="7" max="7" width="10.75" style="9" customWidth="1"/>
    <col min="8" max="8" width="9.625" style="9" customWidth="1"/>
    <col min="9" max="9" width="10" style="9" customWidth="1"/>
    <col min="10" max="10" width="15.25" style="20" customWidth="1"/>
    <col min="11" max="11" width="11" style="9"/>
    <col min="12" max="12" width="9" style="9" customWidth="1"/>
    <col min="13" max="13" width="18.625" style="9" customWidth="1"/>
    <col min="14" max="14" width="26.25" style="20" customWidth="1"/>
    <col min="15" max="15" width="11" style="9"/>
    <col min="16" max="16" width="10.625" style="9" customWidth="1"/>
    <col min="17" max="17" width="25.375" style="9" customWidth="1"/>
    <col min="18" max="18" width="20.625" style="9" customWidth="1"/>
    <col min="19" max="19" width="17.75" style="9" customWidth="1"/>
    <col min="20" max="21" width="11" style="9"/>
    <col min="22" max="22" width="31.5" style="9" customWidth="1"/>
    <col min="23" max="23" width="21" style="9" customWidth="1"/>
    <col min="24" max="24" width="17.125" style="9" customWidth="1"/>
    <col min="25" max="25" width="17.5" style="9" customWidth="1"/>
    <col min="26" max="26" width="22.375" style="9" customWidth="1"/>
    <col min="27" max="27" width="22.5" style="9" customWidth="1"/>
    <col min="28" max="28" width="20.5" style="9" customWidth="1"/>
    <col min="29" max="16384" width="11" style="9"/>
  </cols>
  <sheetData>
    <row r="1" spans="1:27" ht="18.75" thickBot="1" x14ac:dyDescent="0.25">
      <c r="B1" s="16"/>
      <c r="C1" s="16"/>
      <c r="D1" s="16"/>
      <c r="E1" s="16"/>
      <c r="F1" s="355" t="s">
        <v>111</v>
      </c>
      <c r="G1" s="355"/>
      <c r="H1" s="355"/>
      <c r="I1" s="355"/>
      <c r="J1" s="355"/>
      <c r="K1" s="351" t="s">
        <v>40</v>
      </c>
      <c r="L1" s="351"/>
      <c r="M1" s="351"/>
      <c r="N1" s="351"/>
    </row>
    <row r="2" spans="1:27" ht="57" x14ac:dyDescent="0.2">
      <c r="A2" s="1" t="s">
        <v>33</v>
      </c>
      <c r="B2" s="2"/>
      <c r="C2" s="356" t="s">
        <v>0</v>
      </c>
      <c r="D2" s="357"/>
      <c r="E2" s="3" t="s">
        <v>19</v>
      </c>
      <c r="F2" s="2" t="s">
        <v>1</v>
      </c>
      <c r="G2" s="2" t="s">
        <v>24</v>
      </c>
      <c r="H2" s="2" t="s">
        <v>22</v>
      </c>
      <c r="I2" s="356" t="s">
        <v>35</v>
      </c>
      <c r="J2" s="358"/>
      <c r="K2" s="4" t="s">
        <v>2</v>
      </c>
      <c r="L2" s="2" t="s">
        <v>3</v>
      </c>
      <c r="M2" s="2" t="s">
        <v>4</v>
      </c>
      <c r="N2" s="10" t="s">
        <v>5</v>
      </c>
      <c r="Z2" s="9" t="s">
        <v>134</v>
      </c>
      <c r="AA2" s="9" t="s">
        <v>131</v>
      </c>
    </row>
    <row r="3" spans="1:27" ht="16.5" thickBot="1" x14ac:dyDescent="0.25">
      <c r="A3" s="5"/>
      <c r="B3" s="6"/>
      <c r="C3" s="7" t="s">
        <v>35</v>
      </c>
      <c r="D3" s="37" t="s">
        <v>115</v>
      </c>
      <c r="E3" s="11"/>
      <c r="F3" s="6" t="s">
        <v>6</v>
      </c>
      <c r="G3" s="6" t="s">
        <v>23</v>
      </c>
      <c r="H3" s="6"/>
      <c r="I3" s="7" t="s">
        <v>35</v>
      </c>
      <c r="J3" s="37" t="s">
        <v>115</v>
      </c>
      <c r="K3" s="18" t="s">
        <v>34</v>
      </c>
      <c r="L3" s="6" t="s">
        <v>7</v>
      </c>
      <c r="M3" s="6"/>
      <c r="N3" s="8"/>
    </row>
    <row r="4" spans="1:27" x14ac:dyDescent="0.2">
      <c r="A4" s="147"/>
      <c r="B4" s="147"/>
      <c r="C4" s="147"/>
      <c r="D4" s="147"/>
      <c r="E4" s="148"/>
      <c r="F4" s="14"/>
      <c r="K4" s="17"/>
      <c r="L4" s="13"/>
      <c r="N4" s="51"/>
      <c r="U4" s="9" t="s">
        <v>124</v>
      </c>
      <c r="W4" s="9">
        <v>300</v>
      </c>
      <c r="X4" s="9" t="s">
        <v>130</v>
      </c>
      <c r="Y4" s="9" t="s">
        <v>125</v>
      </c>
      <c r="Z4" s="196">
        <v>466</v>
      </c>
      <c r="AA4" s="9">
        <f>W4/1000*Z4/1000</f>
        <v>0.13979999999999998</v>
      </c>
    </row>
    <row r="5" spans="1:27" ht="14.25" hidden="1" customHeight="1" x14ac:dyDescent="0.2">
      <c r="A5" s="161" t="s">
        <v>239</v>
      </c>
      <c r="B5" s="147" t="s">
        <v>14</v>
      </c>
      <c r="C5" s="147">
        <f>1395+927+1122</f>
        <v>3444</v>
      </c>
      <c r="D5" s="147" t="s">
        <v>10</v>
      </c>
      <c r="E5" s="149" t="s">
        <v>262</v>
      </c>
      <c r="F5" s="14">
        <f>C5</f>
        <v>3444</v>
      </c>
      <c r="I5" s="9">
        <f>C5</f>
        <v>3444</v>
      </c>
      <c r="J5" s="20" t="s">
        <v>10</v>
      </c>
      <c r="K5" s="17">
        <f>AA25</f>
        <v>0.15598800000000002</v>
      </c>
      <c r="L5" s="14">
        <f t="shared" ref="L5:L9" si="0">I5*K5</f>
        <v>537.2226720000001</v>
      </c>
      <c r="N5" s="51" t="s">
        <v>49</v>
      </c>
      <c r="W5" s="9">
        <v>100</v>
      </c>
      <c r="X5" s="51" t="s">
        <v>130</v>
      </c>
      <c r="Y5" s="9" t="s">
        <v>126</v>
      </c>
      <c r="Z5" s="196">
        <v>0.1</v>
      </c>
      <c r="AA5" s="51">
        <f t="shared" ref="AA5:AA10" si="1">W5/1000*Z5/1000</f>
        <v>1.0000000000000003E-5</v>
      </c>
    </row>
    <row r="6" spans="1:27" hidden="1" x14ac:dyDescent="0.2">
      <c r="A6" s="147"/>
      <c r="B6" s="147" t="s">
        <v>247</v>
      </c>
      <c r="C6" s="150">
        <v>198</v>
      </c>
      <c r="D6" s="147" t="s">
        <v>12</v>
      </c>
      <c r="E6" s="149" t="s">
        <v>38</v>
      </c>
      <c r="F6" s="14">
        <f>C6*0.4</f>
        <v>79.2</v>
      </c>
      <c r="I6" s="136">
        <f>F6</f>
        <v>79.2</v>
      </c>
      <c r="J6" s="20" t="s">
        <v>10</v>
      </c>
      <c r="K6" s="17">
        <f>AA12</f>
        <v>0.14654999999999999</v>
      </c>
      <c r="L6" s="14">
        <f t="shared" si="0"/>
        <v>11.60676</v>
      </c>
      <c r="N6" s="51" t="s">
        <v>49</v>
      </c>
      <c r="W6" s="9">
        <f>650+340+680</f>
        <v>1670</v>
      </c>
      <c r="X6" s="51" t="s">
        <v>130</v>
      </c>
      <c r="Y6" s="9" t="s">
        <v>127</v>
      </c>
      <c r="Z6" s="9">
        <v>4</v>
      </c>
      <c r="AA6" s="51">
        <f t="shared" si="1"/>
        <v>6.6799999999999993E-3</v>
      </c>
    </row>
    <row r="7" spans="1:27" hidden="1" x14ac:dyDescent="0.2">
      <c r="A7" s="147"/>
      <c r="B7" s="147" t="s">
        <v>249</v>
      </c>
      <c r="C7" s="147">
        <v>233</v>
      </c>
      <c r="D7" s="147" t="s">
        <v>11</v>
      </c>
      <c r="E7" s="149"/>
      <c r="F7" s="14" t="s">
        <v>25</v>
      </c>
      <c r="H7" s="9">
        <f>C7</f>
        <v>233</v>
      </c>
      <c r="I7" s="9">
        <f>H7</f>
        <v>233</v>
      </c>
      <c r="J7" s="20" t="s">
        <v>11</v>
      </c>
      <c r="K7" s="9">
        <v>0.65600000000000003</v>
      </c>
      <c r="L7" s="14">
        <f t="shared" si="0"/>
        <v>152.84800000000001</v>
      </c>
      <c r="M7" s="9" t="s">
        <v>41</v>
      </c>
      <c r="N7" s="9" t="s">
        <v>194</v>
      </c>
      <c r="W7" s="9">
        <f>200</f>
        <v>200</v>
      </c>
      <c r="X7" s="51" t="s">
        <v>130</v>
      </c>
      <c r="Y7" s="9" t="s">
        <v>128</v>
      </c>
      <c r="Z7" s="9">
        <v>0.3</v>
      </c>
      <c r="AA7" s="51">
        <f t="shared" si="1"/>
        <v>5.9999999999999995E-5</v>
      </c>
    </row>
    <row r="8" spans="1:27" s="72" customFormat="1" hidden="1" x14ac:dyDescent="0.2">
      <c r="A8" s="147"/>
      <c r="B8" s="147" t="s">
        <v>188</v>
      </c>
      <c r="C8" s="147">
        <v>18</v>
      </c>
      <c r="D8" s="147" t="s">
        <v>11</v>
      </c>
      <c r="E8" s="149"/>
      <c r="F8" s="73"/>
      <c r="H8" s="150">
        <f>C8</f>
        <v>18</v>
      </c>
      <c r="I8" s="150">
        <f>H8</f>
        <v>18</v>
      </c>
      <c r="J8" s="20" t="s">
        <v>11</v>
      </c>
      <c r="K8" s="196">
        <v>2.5049999999999999</v>
      </c>
      <c r="L8" s="73">
        <f t="shared" si="0"/>
        <v>45.089999999999996</v>
      </c>
      <c r="M8" s="72" t="s">
        <v>193</v>
      </c>
      <c r="N8" s="72" t="s">
        <v>194</v>
      </c>
    </row>
    <row r="9" spans="1:27" s="72" customFormat="1" ht="15" hidden="1" thickBot="1" x14ac:dyDescent="0.25">
      <c r="A9" s="147"/>
      <c r="B9" s="147" t="s">
        <v>189</v>
      </c>
      <c r="C9" s="147">
        <v>2906</v>
      </c>
      <c r="D9" s="147" t="s">
        <v>191</v>
      </c>
      <c r="E9" s="149" t="s">
        <v>192</v>
      </c>
      <c r="F9" s="73"/>
      <c r="I9" s="197">
        <f>C9*22/1000</f>
        <v>63.932000000000002</v>
      </c>
      <c r="J9" s="20" t="s">
        <v>11</v>
      </c>
      <c r="K9" s="196">
        <v>0.86</v>
      </c>
      <c r="L9" s="73">
        <f t="shared" si="0"/>
        <v>54.981520000000003</v>
      </c>
      <c r="M9" s="72" t="s">
        <v>48</v>
      </c>
      <c r="N9" s="72" t="s">
        <v>49</v>
      </c>
    </row>
    <row r="10" spans="1:27" ht="15" hidden="1" thickBot="1" x14ac:dyDescent="0.25">
      <c r="A10" s="39"/>
      <c r="E10" s="40"/>
      <c r="F10" s="14"/>
      <c r="J10" s="26"/>
      <c r="L10" s="36">
        <f>SUM(L4:L9)</f>
        <v>801.74895200000026</v>
      </c>
      <c r="N10" s="9"/>
      <c r="W10" s="9">
        <v>2.5</v>
      </c>
      <c r="X10" s="51" t="s">
        <v>130</v>
      </c>
      <c r="Y10" s="9" t="s">
        <v>129</v>
      </c>
      <c r="AA10" s="51">
        <f t="shared" si="1"/>
        <v>0</v>
      </c>
    </row>
    <row r="11" spans="1:27" ht="13.5" hidden="1" customHeight="1" x14ac:dyDescent="0.2">
      <c r="A11" s="39"/>
      <c r="B11" s="39">
        <v>0.9</v>
      </c>
      <c r="C11" s="39">
        <f>B11*C6*8</f>
        <v>1425.6000000000001</v>
      </c>
      <c r="D11" s="39"/>
      <c r="E11" s="39"/>
      <c r="J11" s="26"/>
      <c r="N11" s="9"/>
    </row>
    <row r="12" spans="1:27" hidden="1" x14ac:dyDescent="0.2">
      <c r="A12" s="39"/>
      <c r="B12" s="39"/>
      <c r="C12" s="39"/>
      <c r="D12" s="39"/>
      <c r="E12" s="39"/>
      <c r="J12" s="26"/>
      <c r="N12" s="9"/>
      <c r="Z12" s="55" t="s">
        <v>132</v>
      </c>
      <c r="AA12" s="56">
        <f>SUM(AA4:AA10)</f>
        <v>0.14654999999999999</v>
      </c>
    </row>
    <row r="13" spans="1:27" hidden="1" x14ac:dyDescent="0.2">
      <c r="A13" s="39" t="s">
        <v>91</v>
      </c>
      <c r="B13" s="39" t="s">
        <v>16</v>
      </c>
      <c r="C13" s="39">
        <v>0</v>
      </c>
      <c r="D13" s="39" t="s">
        <v>10</v>
      </c>
      <c r="E13" s="40" t="s">
        <v>39</v>
      </c>
      <c r="F13" s="50">
        <f>C13</f>
        <v>0</v>
      </c>
      <c r="G13" s="39"/>
      <c r="H13" s="39"/>
      <c r="I13" s="39">
        <v>0</v>
      </c>
      <c r="J13" s="157" t="s">
        <v>10</v>
      </c>
      <c r="K13" s="158">
        <f>AA36</f>
        <v>0.16428880000000001</v>
      </c>
      <c r="L13" s="50">
        <f>I13*K13</f>
        <v>0</v>
      </c>
      <c r="M13" s="39"/>
      <c r="N13" s="39"/>
    </row>
    <row r="14" spans="1:27" hidden="1" x14ac:dyDescent="0.2">
      <c r="A14" s="39"/>
      <c r="B14" s="39" t="s">
        <v>17</v>
      </c>
      <c r="C14" s="39">
        <v>0</v>
      </c>
      <c r="D14" s="39" t="s">
        <v>18</v>
      </c>
      <c r="E14" s="40" t="s">
        <v>190</v>
      </c>
      <c r="F14" s="50" t="s">
        <v>25</v>
      </c>
      <c r="G14" s="39"/>
      <c r="H14" s="39"/>
      <c r="I14" s="39">
        <f>15/1000*C14</f>
        <v>0</v>
      </c>
      <c r="J14" s="157" t="s">
        <v>11</v>
      </c>
      <c r="K14" s="39">
        <v>2.3140000000000001</v>
      </c>
      <c r="L14" s="50">
        <f>I14*K14</f>
        <v>0</v>
      </c>
      <c r="M14" s="39" t="s">
        <v>42</v>
      </c>
      <c r="N14" s="39" t="s">
        <v>194</v>
      </c>
    </row>
    <row r="15" spans="1:27" hidden="1" x14ac:dyDescent="0.2">
      <c r="A15" s="39"/>
      <c r="B15" s="39" t="s">
        <v>20</v>
      </c>
      <c r="C15" s="39">
        <v>0</v>
      </c>
      <c r="D15" s="39" t="s">
        <v>12</v>
      </c>
      <c r="E15" s="40"/>
      <c r="F15" s="49">
        <f>PI()*0.025^2*C15</f>
        <v>0</v>
      </c>
      <c r="G15" s="39">
        <v>7.8</v>
      </c>
      <c r="H15" s="49">
        <f>C15*21/1000</f>
        <v>0</v>
      </c>
      <c r="I15" s="49">
        <f>H15</f>
        <v>0</v>
      </c>
      <c r="J15" s="157" t="s">
        <v>11</v>
      </c>
      <c r="K15" s="39">
        <v>2.266</v>
      </c>
      <c r="L15" s="50">
        <f>I15*K15</f>
        <v>0</v>
      </c>
      <c r="M15" s="39" t="s">
        <v>41</v>
      </c>
      <c r="N15" s="39" t="s">
        <v>194</v>
      </c>
    </row>
    <row r="16" spans="1:27" ht="14.25" hidden="1" customHeight="1" thickBot="1" x14ac:dyDescent="0.25">
      <c r="A16" s="39"/>
      <c r="B16" s="39" t="s">
        <v>9</v>
      </c>
      <c r="C16" s="39">
        <v>0</v>
      </c>
      <c r="D16" s="39" t="s">
        <v>11</v>
      </c>
      <c r="E16" s="40" t="s">
        <v>21</v>
      </c>
      <c r="F16" s="49"/>
      <c r="G16" s="39"/>
      <c r="H16" s="49">
        <f>C16</f>
        <v>0</v>
      </c>
      <c r="I16" s="49">
        <f>H16</f>
        <v>0</v>
      </c>
      <c r="J16" s="157" t="s">
        <v>11</v>
      </c>
      <c r="K16" s="39">
        <v>0.91300000000000003</v>
      </c>
      <c r="L16" s="50">
        <f>I16*K16</f>
        <v>0</v>
      </c>
      <c r="M16" s="39" t="s">
        <v>48</v>
      </c>
      <c r="N16" s="39" t="s">
        <v>49</v>
      </c>
      <c r="U16" s="51"/>
      <c r="V16" s="51"/>
      <c r="W16" s="51"/>
      <c r="X16" s="51"/>
      <c r="Y16" s="51"/>
      <c r="Z16" s="51" t="s">
        <v>134</v>
      </c>
      <c r="AA16" s="51" t="s">
        <v>131</v>
      </c>
    </row>
    <row r="17" spans="1:27" ht="15" hidden="1" thickBot="1" x14ac:dyDescent="0.25">
      <c r="A17" s="39"/>
      <c r="B17" s="39"/>
      <c r="C17" s="39"/>
      <c r="D17" s="39"/>
      <c r="E17" s="40"/>
      <c r="F17" s="49"/>
      <c r="G17" s="39"/>
      <c r="H17" s="39"/>
      <c r="I17" s="39"/>
      <c r="J17" s="159"/>
      <c r="K17" s="39"/>
      <c r="L17" s="160">
        <f>SUM(L13:L16)</f>
        <v>0</v>
      </c>
      <c r="M17" s="39"/>
      <c r="N17" s="39"/>
      <c r="U17" s="51"/>
      <c r="V17" s="51"/>
      <c r="W17" s="51"/>
      <c r="X17" s="51"/>
      <c r="Y17" s="51"/>
      <c r="Z17" s="51"/>
      <c r="AA17" s="51"/>
    </row>
    <row r="18" spans="1:27" x14ac:dyDescent="0.2">
      <c r="A18" s="39"/>
      <c r="B18" s="39"/>
      <c r="C18" s="39"/>
      <c r="D18" s="39"/>
      <c r="E18" s="39"/>
      <c r="J18" s="26"/>
      <c r="N18" s="9"/>
      <c r="U18" s="51" t="s">
        <v>133</v>
      </c>
      <c r="V18" s="51"/>
      <c r="W18" s="51">
        <v>320</v>
      </c>
      <c r="X18" s="51" t="s">
        <v>130</v>
      </c>
      <c r="Y18" s="51" t="s">
        <v>125</v>
      </c>
      <c r="Z18" s="51">
        <v>466</v>
      </c>
      <c r="AA18" s="51">
        <f>W18/1000*Z18/1000</f>
        <v>0.14912</v>
      </c>
    </row>
    <row r="19" spans="1:27" x14ac:dyDescent="0.2">
      <c r="A19" s="39"/>
      <c r="B19" s="39"/>
      <c r="C19" s="39"/>
      <c r="D19" s="39"/>
      <c r="E19" s="39"/>
      <c r="J19" s="26"/>
      <c r="N19" s="9"/>
      <c r="U19" s="51"/>
      <c r="V19" s="51"/>
      <c r="W19" s="51">
        <v>80</v>
      </c>
      <c r="X19" s="51" t="s">
        <v>130</v>
      </c>
      <c r="Y19" s="51" t="s">
        <v>126</v>
      </c>
      <c r="Z19" s="51">
        <v>0.1</v>
      </c>
      <c r="AA19" s="51">
        <f t="shared" ref="AA19:AA23" si="2">W19/1000*Z19/1000</f>
        <v>7.9999999999999996E-6</v>
      </c>
    </row>
    <row r="20" spans="1:27" x14ac:dyDescent="0.2">
      <c r="A20" s="147" t="s">
        <v>92</v>
      </c>
      <c r="B20" s="147" t="s">
        <v>28</v>
      </c>
      <c r="C20" s="198">
        <f>'MIP550-Verbauwand'!B3</f>
        <v>3430</v>
      </c>
      <c r="D20" s="147" t="s">
        <v>26</v>
      </c>
      <c r="E20" s="149" t="s">
        <v>260</v>
      </c>
      <c r="F20" s="154" t="s">
        <v>25</v>
      </c>
      <c r="G20" s="147"/>
      <c r="H20" s="156">
        <f>'MIP550-Verbauwand'!B3*(('MIP550-Verbauwand'!B7/1000)*0.55)</f>
        <v>811.19500000000005</v>
      </c>
      <c r="I20" s="154">
        <f>H20</f>
        <v>811.19500000000005</v>
      </c>
      <c r="J20" s="155" t="s">
        <v>11</v>
      </c>
      <c r="K20" s="17">
        <f>0.27*0.86+0.73*0.0796</f>
        <v>0.29030800000000001</v>
      </c>
      <c r="L20" s="14">
        <f>I20*K20</f>
        <v>235.49639806000002</v>
      </c>
      <c r="M20" s="9" t="s">
        <v>137</v>
      </c>
      <c r="N20" s="9" t="s">
        <v>49</v>
      </c>
      <c r="U20" s="51"/>
      <c r="V20" s="51"/>
      <c r="W20" s="51">
        <f>677+341+682</f>
        <v>1700</v>
      </c>
      <c r="X20" s="51" t="s">
        <v>130</v>
      </c>
      <c r="Y20" s="51" t="s">
        <v>127</v>
      </c>
      <c r="Z20" s="51">
        <v>4</v>
      </c>
      <c r="AA20" s="51">
        <f t="shared" si="2"/>
        <v>6.7999999999999996E-3</v>
      </c>
    </row>
    <row r="21" spans="1:27" ht="15" x14ac:dyDescent="0.2">
      <c r="A21" s="161" t="s">
        <v>240</v>
      </c>
      <c r="B21" s="147" t="s">
        <v>76</v>
      </c>
      <c r="C21" s="150">
        <f>'MIP550-Verbauwand'!B13</f>
        <v>270</v>
      </c>
      <c r="D21" s="147" t="s">
        <v>11</v>
      </c>
      <c r="E21" s="149" t="s">
        <v>261</v>
      </c>
      <c r="F21" s="154" t="s">
        <v>25</v>
      </c>
      <c r="G21" s="147"/>
      <c r="H21" s="147"/>
      <c r="I21" s="147">
        <f>C21</f>
        <v>270</v>
      </c>
      <c r="J21" s="155" t="s">
        <v>11</v>
      </c>
      <c r="K21" s="9">
        <v>0.67300000000000004</v>
      </c>
      <c r="L21" s="14">
        <f>I21*K21</f>
        <v>181.71</v>
      </c>
      <c r="M21" s="9" t="s">
        <v>42</v>
      </c>
      <c r="N21" s="72" t="s">
        <v>194</v>
      </c>
      <c r="U21" s="51"/>
      <c r="V21" s="51"/>
      <c r="W21" s="51">
        <f>200</f>
        <v>200</v>
      </c>
      <c r="X21" s="51" t="s">
        <v>130</v>
      </c>
      <c r="Y21" s="51" t="s">
        <v>128</v>
      </c>
      <c r="Z21" s="51">
        <v>0.3</v>
      </c>
      <c r="AA21" s="51">
        <f t="shared" si="2"/>
        <v>5.9999999999999995E-5</v>
      </c>
    </row>
    <row r="22" spans="1:27" s="80" customFormat="1" ht="15" thickBot="1" x14ac:dyDescent="0.25">
      <c r="A22" s="147"/>
      <c r="B22" s="147" t="s">
        <v>202</v>
      </c>
      <c r="C22" s="150">
        <f>C20</f>
        <v>3430</v>
      </c>
      <c r="D22" s="147" t="s">
        <v>26</v>
      </c>
      <c r="E22" s="149" t="s">
        <v>203</v>
      </c>
      <c r="F22" s="156"/>
      <c r="G22" s="147"/>
      <c r="H22" s="156">
        <f>'MIP550-Verbauwand'!B3*(('MIP550-Verbauwand'!B10/1000)*0.55)</f>
        <v>28.297500000000003</v>
      </c>
      <c r="I22" s="156">
        <f>H22</f>
        <v>28.297500000000003</v>
      </c>
      <c r="J22" s="155" t="s">
        <v>11</v>
      </c>
      <c r="K22" s="80">
        <v>0.47499999999999998</v>
      </c>
      <c r="L22" s="82">
        <f>I22*K22</f>
        <v>13.4413125</v>
      </c>
      <c r="M22" s="80" t="s">
        <v>204</v>
      </c>
      <c r="N22" s="80" t="s">
        <v>194</v>
      </c>
    </row>
    <row r="23" spans="1:27" ht="15" thickBot="1" x14ac:dyDescent="0.25">
      <c r="A23" s="39"/>
      <c r="B23" s="39"/>
      <c r="C23" s="39"/>
      <c r="D23" s="39"/>
      <c r="E23" s="40"/>
      <c r="F23" s="13"/>
      <c r="J23" s="26"/>
      <c r="L23" s="36">
        <f>SUM(L20:L22)</f>
        <v>430.64771056000001</v>
      </c>
      <c r="N23" s="9"/>
      <c r="U23" s="51"/>
      <c r="V23" s="51"/>
      <c r="W23" s="51">
        <v>2.5</v>
      </c>
      <c r="X23" s="51" t="s">
        <v>130</v>
      </c>
      <c r="Y23" s="51" t="s">
        <v>129</v>
      </c>
      <c r="Z23" s="51"/>
      <c r="AA23" s="51">
        <f t="shared" si="2"/>
        <v>0</v>
      </c>
    </row>
    <row r="24" spans="1:27" ht="13.5" customHeight="1" x14ac:dyDescent="0.2">
      <c r="A24" s="39"/>
      <c r="B24" s="39"/>
      <c r="C24" s="39"/>
      <c r="D24" s="39"/>
      <c r="E24" s="39"/>
      <c r="J24" s="26"/>
      <c r="N24" s="9"/>
      <c r="U24" s="51"/>
      <c r="V24" s="51"/>
      <c r="W24" s="51"/>
      <c r="X24" s="51"/>
      <c r="Y24" s="51"/>
      <c r="Z24" s="51"/>
      <c r="AA24" s="51"/>
    </row>
    <row r="25" spans="1:27" hidden="1" x14ac:dyDescent="0.2">
      <c r="A25" s="39"/>
      <c r="B25" s="39"/>
      <c r="C25" s="39"/>
      <c r="D25" s="39"/>
      <c r="E25" s="39"/>
      <c r="J25" s="26"/>
      <c r="N25" s="9"/>
      <c r="U25" s="51"/>
      <c r="V25" s="51"/>
      <c r="W25" s="51"/>
      <c r="X25" s="51"/>
      <c r="Y25" s="51"/>
      <c r="Z25" s="55" t="s">
        <v>135</v>
      </c>
      <c r="AA25" s="56">
        <f>SUM(AA18:AA23)</f>
        <v>0.15598800000000002</v>
      </c>
    </row>
    <row r="26" spans="1:27" ht="15" hidden="1" thickBot="1" x14ac:dyDescent="0.25">
      <c r="A26" s="39" t="s">
        <v>93</v>
      </c>
      <c r="B26" s="39" t="s">
        <v>27</v>
      </c>
      <c r="C26" s="39">
        <v>0</v>
      </c>
      <c r="D26" s="39" t="s">
        <v>26</v>
      </c>
      <c r="E26" s="40" t="s">
        <v>75</v>
      </c>
      <c r="F26" s="49" t="s">
        <v>25</v>
      </c>
      <c r="G26" s="39"/>
      <c r="H26" s="39"/>
      <c r="I26" s="39">
        <f>C26*0.233</f>
        <v>0</v>
      </c>
      <c r="J26" s="157" t="s">
        <v>11</v>
      </c>
      <c r="K26" s="39">
        <v>0.91300000000000003</v>
      </c>
      <c r="L26" s="50">
        <f>I26*K26</f>
        <v>0</v>
      </c>
      <c r="M26" s="39" t="s">
        <v>48</v>
      </c>
      <c r="N26" s="39" t="s">
        <v>49</v>
      </c>
      <c r="U26" s="51"/>
      <c r="V26" s="51"/>
      <c r="W26" s="51"/>
      <c r="X26" s="51"/>
      <c r="Y26" s="51"/>
      <c r="Z26" s="51"/>
      <c r="AA26" s="51"/>
    </row>
    <row r="27" spans="1:27" ht="15" hidden="1" thickBo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159"/>
      <c r="K27" s="39"/>
      <c r="L27" s="160">
        <f>SUM(L26)</f>
        <v>0</v>
      </c>
      <c r="M27" s="39"/>
      <c r="N27" s="39"/>
    </row>
    <row r="28" spans="1:27" ht="13.5" hidden="1" customHeight="1" x14ac:dyDescent="0.2">
      <c r="A28" s="39"/>
      <c r="B28" s="39"/>
      <c r="C28" s="39"/>
      <c r="D28" s="39"/>
      <c r="E28" s="39"/>
      <c r="F28" s="39"/>
      <c r="G28" s="39"/>
      <c r="H28" s="39"/>
      <c r="I28" s="39"/>
      <c r="J28" s="159"/>
      <c r="K28" s="39"/>
      <c r="L28" s="39"/>
      <c r="M28" s="39"/>
      <c r="N28" s="39"/>
      <c r="U28" s="51" t="s">
        <v>136</v>
      </c>
      <c r="V28" s="51"/>
      <c r="W28" s="51"/>
      <c r="X28" s="51"/>
      <c r="Y28" s="51"/>
      <c r="Z28" s="51" t="s">
        <v>134</v>
      </c>
      <c r="AA28" s="51" t="s">
        <v>131</v>
      </c>
    </row>
    <row r="29" spans="1:27" hidden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159"/>
      <c r="K29" s="39"/>
      <c r="L29" s="39"/>
      <c r="M29" s="39"/>
      <c r="N29" s="39"/>
      <c r="V29" s="51"/>
      <c r="W29" s="51"/>
      <c r="X29" s="51"/>
      <c r="Y29" s="51"/>
      <c r="Z29" s="51"/>
      <c r="AA29" s="51"/>
    </row>
    <row r="30" spans="1:27" hidden="1" x14ac:dyDescent="0.2">
      <c r="A30" s="39" t="s">
        <v>94</v>
      </c>
      <c r="B30" s="39" t="s">
        <v>43</v>
      </c>
      <c r="C30" s="39" t="s">
        <v>31</v>
      </c>
      <c r="D30" s="39" t="s">
        <v>71</v>
      </c>
      <c r="E30" s="40" t="s">
        <v>29</v>
      </c>
      <c r="F30" s="49" t="s">
        <v>25</v>
      </c>
      <c r="G30" s="39"/>
      <c r="H30" s="39">
        <v>0</v>
      </c>
      <c r="I30" s="39">
        <f>H30</f>
        <v>0</v>
      </c>
      <c r="J30" s="157" t="s">
        <v>11</v>
      </c>
      <c r="K30" s="39">
        <v>0.91300000000000003</v>
      </c>
      <c r="L30" s="50">
        <f>I30*K30</f>
        <v>0</v>
      </c>
      <c r="M30" s="39" t="s">
        <v>48</v>
      </c>
      <c r="N30" s="39" t="s">
        <v>49</v>
      </c>
      <c r="V30" s="51"/>
      <c r="W30" s="51">
        <v>320</v>
      </c>
      <c r="X30" s="51" t="s">
        <v>130</v>
      </c>
      <c r="Y30" s="51" t="s">
        <v>125</v>
      </c>
      <c r="Z30" s="51">
        <v>485</v>
      </c>
      <c r="AA30" s="51">
        <f>W30/1000*Z30/1000</f>
        <v>0.1552</v>
      </c>
    </row>
    <row r="31" spans="1:27" hidden="1" x14ac:dyDescent="0.2">
      <c r="A31" s="39"/>
      <c r="B31" s="39" t="s">
        <v>44</v>
      </c>
      <c r="C31" s="39">
        <v>0</v>
      </c>
      <c r="D31" s="39" t="s">
        <v>10</v>
      </c>
      <c r="E31" s="40" t="s">
        <v>30</v>
      </c>
      <c r="F31" s="49" t="s">
        <v>25</v>
      </c>
      <c r="G31" s="39"/>
      <c r="H31" s="39">
        <v>0</v>
      </c>
      <c r="I31" s="39">
        <f>H31</f>
        <v>0</v>
      </c>
      <c r="J31" s="157" t="s">
        <v>11</v>
      </c>
      <c r="K31" s="39">
        <v>0.28000000000000003</v>
      </c>
      <c r="L31" s="50">
        <f>I31*K31</f>
        <v>0</v>
      </c>
      <c r="M31" s="39"/>
      <c r="N31" s="39" t="s">
        <v>50</v>
      </c>
      <c r="U31" s="51"/>
      <c r="V31" s="51"/>
      <c r="W31" s="51">
        <v>130</v>
      </c>
      <c r="X31" s="51" t="s">
        <v>130</v>
      </c>
      <c r="Y31" s="51" t="s">
        <v>126</v>
      </c>
      <c r="Z31" s="51">
        <v>4</v>
      </c>
      <c r="AA31" s="51">
        <f t="shared" ref="AA31:AA34" si="3">W31/1000*Z31/1000</f>
        <v>5.2000000000000006E-4</v>
      </c>
    </row>
    <row r="32" spans="1:27" ht="15" hidden="1" thickBot="1" x14ac:dyDescent="0.25">
      <c r="A32" s="39"/>
      <c r="B32" s="39" t="s">
        <v>45</v>
      </c>
      <c r="C32" s="39">
        <f>47500</f>
        <v>47500</v>
      </c>
      <c r="D32" s="39" t="s">
        <v>12</v>
      </c>
      <c r="E32" s="40" t="s">
        <v>32</v>
      </c>
      <c r="F32" s="49">
        <f>C32*PI()*(0.008^2-0.005^2)</f>
        <v>5.8198003907750913</v>
      </c>
      <c r="G32" s="39">
        <v>1.4</v>
      </c>
      <c r="H32" s="49">
        <v>0</v>
      </c>
      <c r="I32" s="49">
        <f>H32</f>
        <v>0</v>
      </c>
      <c r="J32" s="157" t="s">
        <v>11</v>
      </c>
      <c r="K32" s="39">
        <v>3.23</v>
      </c>
      <c r="L32" s="50">
        <f>I32*K32</f>
        <v>0</v>
      </c>
      <c r="M32" s="39" t="s">
        <v>47</v>
      </c>
      <c r="N32" s="39" t="s">
        <v>46</v>
      </c>
      <c r="U32" s="51"/>
      <c r="V32" s="51"/>
      <c r="W32" s="51">
        <f>677+341+682</f>
        <v>1700</v>
      </c>
      <c r="X32" s="51" t="s">
        <v>130</v>
      </c>
      <c r="Y32" s="51" t="s">
        <v>127</v>
      </c>
      <c r="Z32" s="51">
        <v>5</v>
      </c>
      <c r="AA32" s="51">
        <f t="shared" si="3"/>
        <v>8.5000000000000006E-3</v>
      </c>
    </row>
    <row r="33" spans="1:27" ht="15" hidden="1" thickBot="1" x14ac:dyDescent="0.25">
      <c r="A33" s="39"/>
      <c r="B33" s="39"/>
      <c r="C33" s="39"/>
      <c r="D33" s="39"/>
      <c r="E33" s="40"/>
      <c r="I33" s="39"/>
      <c r="J33" s="157"/>
      <c r="K33" s="39"/>
      <c r="L33" s="160">
        <f>SUM(L30:L32)</f>
        <v>0</v>
      </c>
      <c r="M33" s="39"/>
      <c r="N33" s="39"/>
      <c r="U33" s="51"/>
      <c r="V33" s="51"/>
      <c r="W33" s="51">
        <f>200</f>
        <v>200</v>
      </c>
      <c r="X33" s="51" t="s">
        <v>130</v>
      </c>
      <c r="Y33" s="51" t="s">
        <v>128</v>
      </c>
      <c r="Z33" s="51">
        <v>0.34399999999999997</v>
      </c>
      <c r="AA33" s="51">
        <f t="shared" si="3"/>
        <v>6.8800000000000005E-5</v>
      </c>
    </row>
    <row r="34" spans="1:27" x14ac:dyDescent="0.2">
      <c r="A34" s="39"/>
      <c r="B34" s="39"/>
      <c r="C34" s="39"/>
      <c r="D34" s="39"/>
      <c r="E34" s="40"/>
      <c r="N34" s="9"/>
      <c r="U34" s="51"/>
      <c r="V34" s="51"/>
      <c r="W34" s="51">
        <v>2.5</v>
      </c>
      <c r="X34" s="51" t="s">
        <v>130</v>
      </c>
      <c r="Y34" s="51" t="s">
        <v>129</v>
      </c>
      <c r="Z34" s="51"/>
      <c r="AA34" s="51">
        <f t="shared" si="3"/>
        <v>0</v>
      </c>
    </row>
    <row r="35" spans="1:27" x14ac:dyDescent="0.2">
      <c r="A35" s="39"/>
      <c r="B35" s="40"/>
      <c r="C35" s="40"/>
      <c r="D35" s="40"/>
      <c r="E35" s="40"/>
      <c r="F35" s="12"/>
      <c r="G35" s="12"/>
      <c r="H35" s="12"/>
      <c r="I35" s="12"/>
      <c r="J35" s="26"/>
      <c r="N35" s="9"/>
      <c r="U35" s="51"/>
      <c r="V35" s="51"/>
      <c r="W35" s="51"/>
      <c r="X35" s="51"/>
      <c r="Y35" s="51"/>
      <c r="Z35" s="51"/>
      <c r="AA35" s="51"/>
    </row>
    <row r="36" spans="1:27" ht="18.75" thickBot="1" x14ac:dyDescent="0.25">
      <c r="A36" s="39"/>
      <c r="B36" s="41"/>
      <c r="C36" s="41"/>
      <c r="D36" s="41"/>
      <c r="E36" s="41"/>
      <c r="F36" s="349" t="s">
        <v>112</v>
      </c>
      <c r="G36" s="349"/>
      <c r="H36" s="349"/>
      <c r="I36" s="349"/>
      <c r="J36" s="350"/>
      <c r="K36" s="351" t="s">
        <v>40</v>
      </c>
      <c r="L36" s="351"/>
      <c r="M36" s="351"/>
      <c r="N36" s="351"/>
      <c r="U36" s="51"/>
      <c r="V36" s="51"/>
      <c r="W36" s="51"/>
      <c r="X36" s="51"/>
      <c r="Y36" s="51"/>
      <c r="Z36" s="55" t="s">
        <v>136</v>
      </c>
      <c r="AA36" s="56">
        <f>SUM(AA30:AA34)</f>
        <v>0.16428880000000001</v>
      </c>
    </row>
    <row r="37" spans="1:27" ht="42.75" x14ac:dyDescent="0.2">
      <c r="A37" s="162" t="s">
        <v>33</v>
      </c>
      <c r="B37" s="163"/>
      <c r="C37" s="353" t="s">
        <v>54</v>
      </c>
      <c r="D37" s="354"/>
      <c r="E37" s="163" t="s">
        <v>19</v>
      </c>
      <c r="F37" s="22" t="s">
        <v>56</v>
      </c>
      <c r="G37" s="24" t="s">
        <v>57</v>
      </c>
      <c r="H37" s="24" t="s">
        <v>58</v>
      </c>
      <c r="I37" s="2" t="s">
        <v>74</v>
      </c>
      <c r="J37" s="25" t="s">
        <v>73</v>
      </c>
      <c r="K37" s="79" t="s">
        <v>2</v>
      </c>
      <c r="L37" s="2" t="s">
        <v>3</v>
      </c>
      <c r="M37" s="27" t="s">
        <v>72</v>
      </c>
      <c r="N37" s="10" t="s">
        <v>5</v>
      </c>
      <c r="O37" s="2" t="s">
        <v>64</v>
      </c>
    </row>
    <row r="38" spans="1:27" ht="16.5" thickBot="1" x14ac:dyDescent="0.25">
      <c r="A38" s="44"/>
      <c r="B38" s="45"/>
      <c r="C38" s="46"/>
      <c r="D38" s="47"/>
      <c r="E38" s="48"/>
      <c r="F38" s="6" t="s">
        <v>23</v>
      </c>
      <c r="G38" s="23" t="s">
        <v>7</v>
      </c>
      <c r="H38" s="6" t="s">
        <v>59</v>
      </c>
      <c r="I38" s="6" t="s">
        <v>156</v>
      </c>
      <c r="J38" s="19" t="s">
        <v>60</v>
      </c>
      <c r="K38" s="18" t="s">
        <v>62</v>
      </c>
      <c r="L38" s="6" t="s">
        <v>7</v>
      </c>
      <c r="M38" s="21" t="s">
        <v>40</v>
      </c>
      <c r="N38" s="8"/>
      <c r="O38" s="182" t="s">
        <v>63</v>
      </c>
    </row>
    <row r="39" spans="1:27" hidden="1" x14ac:dyDescent="0.2">
      <c r="A39" s="152" t="s">
        <v>90</v>
      </c>
      <c r="B39" s="152" t="s">
        <v>248</v>
      </c>
      <c r="C39" s="153">
        <f>I5+I6</f>
        <v>3523.2</v>
      </c>
      <c r="D39" s="152" t="s">
        <v>10</v>
      </c>
      <c r="E39" s="164"/>
      <c r="F39" s="152">
        <v>2.2999999999999998</v>
      </c>
      <c r="G39" s="208">
        <f>F39*C39</f>
        <v>8103.3599999999988</v>
      </c>
      <c r="H39" s="9">
        <v>24</v>
      </c>
      <c r="I39" s="9">
        <v>8</v>
      </c>
      <c r="J39" s="20">
        <v>20</v>
      </c>
      <c r="K39" s="29">
        <f>IF(N39="Road Rigid &gt; 17t",0.00122,0.0012)</f>
        <v>1.1999999999999999E-3</v>
      </c>
      <c r="L39" s="78">
        <f>J39*M39*K39*(1+O39/100)</f>
        <v>21.167999999999999</v>
      </c>
      <c r="M39" s="78">
        <f>IF($M$38&lt;&gt;0,ROUNDUP(C39/I39,0),ROUNDUP(G39/H39,0))</f>
        <v>441</v>
      </c>
      <c r="N39" s="78" t="s">
        <v>65</v>
      </c>
      <c r="O39" s="9">
        <v>100</v>
      </c>
    </row>
    <row r="40" spans="1:27" hidden="1" x14ac:dyDescent="0.2">
      <c r="A40" s="152"/>
      <c r="B40" s="152" t="s">
        <v>8</v>
      </c>
      <c r="C40" s="153">
        <f>I7</f>
        <v>233</v>
      </c>
      <c r="D40" s="152" t="s">
        <v>11</v>
      </c>
      <c r="E40" s="164"/>
      <c r="F40" s="152" t="s">
        <v>25</v>
      </c>
      <c r="G40" s="13">
        <f>C40</f>
        <v>233</v>
      </c>
      <c r="H40" s="9">
        <v>25</v>
      </c>
      <c r="I40" s="9">
        <f>IF(N40="Road Rigid &gt; 17t",7.5,15)</f>
        <v>15</v>
      </c>
      <c r="J40" s="20">
        <v>300</v>
      </c>
      <c r="K40" s="29">
        <f t="shared" ref="K40" si="4">IF(N40="Road Rigid &gt; 17t",0.00122,0.0012)</f>
        <v>1.1999999999999999E-3</v>
      </c>
      <c r="L40" s="78">
        <f>J40*M40*K40*(1+O40/100)</f>
        <v>11.52</v>
      </c>
      <c r="M40" s="78">
        <f>IF($M$38&lt;&gt;0,ROUNDUP(G40/I40,0),ROUNDUP(G40/H40,0))</f>
        <v>16</v>
      </c>
      <c r="N40" s="78" t="s">
        <v>65</v>
      </c>
      <c r="O40" s="9">
        <v>100</v>
      </c>
    </row>
    <row r="41" spans="1:27" s="72" customFormat="1" hidden="1" x14ac:dyDescent="0.2">
      <c r="A41" s="152"/>
      <c r="B41" s="152" t="s">
        <v>188</v>
      </c>
      <c r="C41" s="153">
        <f>I8</f>
        <v>18</v>
      </c>
      <c r="D41" s="152" t="s">
        <v>11</v>
      </c>
      <c r="E41" s="164"/>
      <c r="F41" s="152"/>
      <c r="G41" s="13">
        <f t="shared" ref="G41:G42" si="5">C41</f>
        <v>18</v>
      </c>
      <c r="H41" s="72">
        <v>25</v>
      </c>
      <c r="I41" s="72">
        <f>IF(N41="Road Rigid &gt; 17t",7.5,15)</f>
        <v>15</v>
      </c>
      <c r="J41" s="20">
        <v>300</v>
      </c>
      <c r="K41" s="29">
        <f t="shared" ref="K41:K43" si="6">IF(N41="Road Rigid &gt; 17t",0.00122,0.0012)</f>
        <v>1.1999999999999999E-3</v>
      </c>
      <c r="L41" s="78">
        <f>J41*M41*K41*(1+O41/100)</f>
        <v>1.44</v>
      </c>
      <c r="M41" s="78">
        <f>IF($M$38&lt;&gt;0,ROUNDUP(G41/I41,0),ROUNDUP(G41/H41,0))</f>
        <v>2</v>
      </c>
      <c r="N41" s="78" t="s">
        <v>65</v>
      </c>
      <c r="O41" s="72">
        <v>100</v>
      </c>
    </row>
    <row r="42" spans="1:27" s="72" customFormat="1" hidden="1" x14ac:dyDescent="0.2">
      <c r="A42" s="152"/>
      <c r="B42" s="152" t="s">
        <v>189</v>
      </c>
      <c r="C42" s="153">
        <f>I9</f>
        <v>63.932000000000002</v>
      </c>
      <c r="D42" s="152" t="s">
        <v>11</v>
      </c>
      <c r="E42" s="164"/>
      <c r="F42" s="152"/>
      <c r="G42" s="13">
        <f t="shared" si="5"/>
        <v>63.932000000000002</v>
      </c>
      <c r="H42" s="72">
        <v>25</v>
      </c>
      <c r="I42" s="72">
        <f>IF(N42="Road Rigid &gt; 17t",7.5,15)</f>
        <v>15</v>
      </c>
      <c r="J42" s="20">
        <v>20</v>
      </c>
      <c r="K42" s="29">
        <f t="shared" si="6"/>
        <v>1.1999999999999999E-3</v>
      </c>
      <c r="L42" s="78">
        <f>J42*M42*K42*(1+O42/100)</f>
        <v>0.24</v>
      </c>
      <c r="M42" s="78">
        <f>IF($M$38&lt;&gt;0,ROUNDUP(G42/I42,0),ROUNDUP(G42/H42,0))</f>
        <v>5</v>
      </c>
      <c r="N42" s="78" t="s">
        <v>65</v>
      </c>
      <c r="O42" s="72">
        <v>100</v>
      </c>
    </row>
    <row r="43" spans="1:27" s="83" customFormat="1" ht="15" hidden="1" thickBot="1" x14ac:dyDescent="0.25">
      <c r="A43" s="152"/>
      <c r="B43" s="152" t="s">
        <v>208</v>
      </c>
      <c r="C43" s="199">
        <f>C153+C154+C155</f>
        <v>14437.125</v>
      </c>
      <c r="D43" s="152" t="s">
        <v>70</v>
      </c>
      <c r="E43" s="164"/>
      <c r="F43" s="152"/>
      <c r="G43" s="208">
        <f>C43</f>
        <v>14437.125</v>
      </c>
      <c r="H43" s="83">
        <v>25</v>
      </c>
      <c r="I43" s="83">
        <v>800</v>
      </c>
      <c r="J43" s="20">
        <v>10</v>
      </c>
      <c r="K43" s="29">
        <f t="shared" si="6"/>
        <v>1.2199999999999999E-3</v>
      </c>
      <c r="L43" s="83">
        <f>J43*M43*K43*(1+O43/100)</f>
        <v>0.46359999999999996</v>
      </c>
      <c r="M43" s="83">
        <f>IF($M$38&lt;&gt;0,ROUNDUP(G43/I43,0),ROUNDUP(G43/H43,0))</f>
        <v>19</v>
      </c>
      <c r="N43" s="83" t="s">
        <v>61</v>
      </c>
      <c r="O43" s="83">
        <v>100</v>
      </c>
    </row>
    <row r="44" spans="1:27" ht="15" hidden="1" thickBot="1" x14ac:dyDescent="0.25">
      <c r="A44" s="39"/>
      <c r="B44" s="39"/>
      <c r="C44" s="39"/>
      <c r="D44" s="39"/>
      <c r="E44" s="40"/>
      <c r="K44" s="78"/>
      <c r="L44" s="36">
        <f>SUM(L39:L43)</f>
        <v>34.831600000000002</v>
      </c>
      <c r="M44" s="36">
        <f>SUM(M39:M43)</f>
        <v>483</v>
      </c>
      <c r="N44" s="78"/>
    </row>
    <row r="45" spans="1:27" hidden="1" x14ac:dyDescent="0.2">
      <c r="A45" s="39"/>
      <c r="B45" s="39"/>
      <c r="C45" s="39"/>
      <c r="D45" s="39"/>
      <c r="E45" s="40"/>
      <c r="K45" s="78"/>
      <c r="L45" s="78"/>
      <c r="M45" s="78"/>
      <c r="N45" s="78"/>
    </row>
    <row r="46" spans="1:27" hidden="1" x14ac:dyDescent="0.2">
      <c r="A46" s="39"/>
      <c r="B46" s="39"/>
      <c r="C46" s="39"/>
      <c r="D46" s="39"/>
      <c r="E46" s="40"/>
      <c r="K46" s="78"/>
      <c r="L46" s="78"/>
      <c r="M46" s="78"/>
      <c r="N46" s="78"/>
    </row>
    <row r="47" spans="1:27" hidden="1" x14ac:dyDescent="0.2">
      <c r="A47" s="39" t="s">
        <v>91</v>
      </c>
      <c r="B47" s="39" t="s">
        <v>51</v>
      </c>
      <c r="C47" s="39">
        <f>C13</f>
        <v>0</v>
      </c>
      <c r="D47" s="39" t="s">
        <v>10</v>
      </c>
      <c r="E47" s="40" t="s">
        <v>113</v>
      </c>
      <c r="F47" s="39">
        <v>2.2999999999999998</v>
      </c>
      <c r="G47" s="39">
        <f>F47*C47</f>
        <v>0</v>
      </c>
      <c r="H47" s="39">
        <v>24</v>
      </c>
      <c r="I47" s="39">
        <v>8</v>
      </c>
      <c r="J47" s="157">
        <v>20</v>
      </c>
      <c r="K47" s="165">
        <f t="shared" ref="K47" si="7">IF(N47="Road Rigid &gt; 17t",0.00122,0.0012)</f>
        <v>1.1999999999999999E-3</v>
      </c>
      <c r="L47" s="39">
        <f>J47*M47*K47*(1+O47/100)</f>
        <v>0</v>
      </c>
      <c r="M47" s="39">
        <f>IF($M$38&lt;&gt;0,ROUNDUP(C47/I47,0),ROUNDUP(G47/H47,0))</f>
        <v>0</v>
      </c>
      <c r="N47" s="39" t="s">
        <v>65</v>
      </c>
      <c r="O47" s="39">
        <v>100</v>
      </c>
    </row>
    <row r="48" spans="1:27" hidden="1" x14ac:dyDescent="0.2">
      <c r="A48" s="39"/>
      <c r="B48" s="39" t="s">
        <v>67</v>
      </c>
      <c r="C48" s="49">
        <f>I14+I15</f>
        <v>0</v>
      </c>
      <c r="D48" s="39" t="s">
        <v>11</v>
      </c>
      <c r="E48" s="40" t="s">
        <v>114</v>
      </c>
      <c r="F48" s="39" t="s">
        <v>25</v>
      </c>
      <c r="G48" s="49">
        <f>C48</f>
        <v>0</v>
      </c>
      <c r="H48" s="39">
        <v>25</v>
      </c>
      <c r="I48" s="39">
        <f>IF(N48="Road Rigid &gt; 17t",7.5,15)</f>
        <v>15</v>
      </c>
      <c r="J48" s="157">
        <v>300</v>
      </c>
      <c r="K48" s="165">
        <f t="shared" ref="K48" si="8">IF(N48="Road Rigid &gt; 17t",0.00122,0.0012)</f>
        <v>1.1999999999999999E-3</v>
      </c>
      <c r="L48" s="39">
        <f>J48*M48*K48*(1+O48/100)</f>
        <v>0</v>
      </c>
      <c r="M48" s="39">
        <f>IF($M$38&lt;&gt;0,ROUNDUP(G48/I48,0),ROUNDUP(G48/H48,0))</f>
        <v>0</v>
      </c>
      <c r="N48" s="39" t="s">
        <v>65</v>
      </c>
      <c r="O48" s="39">
        <v>100</v>
      </c>
    </row>
    <row r="49" spans="1:15" ht="15" hidden="1" thickBot="1" x14ac:dyDescent="0.25">
      <c r="A49" s="39"/>
      <c r="B49" s="39" t="s">
        <v>52</v>
      </c>
      <c r="C49" s="49">
        <f>I16</f>
        <v>0</v>
      </c>
      <c r="D49" s="39" t="s">
        <v>11</v>
      </c>
      <c r="E49" s="40"/>
      <c r="F49" s="39" t="s">
        <v>25</v>
      </c>
      <c r="G49" s="49">
        <f t="shared" ref="G49" si="9">C49</f>
        <v>0</v>
      </c>
      <c r="H49" s="39">
        <v>25</v>
      </c>
      <c r="I49" s="39">
        <f>IF(N49="Road Rigid &gt; 17t",7.5,15)</f>
        <v>15</v>
      </c>
      <c r="J49" s="157">
        <v>20</v>
      </c>
      <c r="K49" s="165">
        <f>IF(N49="Road Rigid &gt; 17t",0.00122,0.0012)</f>
        <v>1.1999999999999999E-3</v>
      </c>
      <c r="L49" s="39">
        <f>J49*M49*K49*(1+O49/100)</f>
        <v>0</v>
      </c>
      <c r="M49" s="39">
        <f>IF($M$38&lt;&gt;0,ROUNDUP(G49/I49,0),ROUNDUP(G49/H49,0))</f>
        <v>0</v>
      </c>
      <c r="N49" s="39" t="s">
        <v>65</v>
      </c>
      <c r="O49" s="39">
        <v>100</v>
      </c>
    </row>
    <row r="50" spans="1:15" ht="15" hidden="1" thickBot="1" x14ac:dyDescent="0.25">
      <c r="A50" s="39"/>
      <c r="B50" s="39"/>
      <c r="C50" s="49"/>
      <c r="D50" s="39"/>
      <c r="E50" s="40"/>
      <c r="F50" s="39"/>
      <c r="G50" s="49"/>
      <c r="H50" s="39"/>
      <c r="I50" s="39"/>
      <c r="J50" s="157"/>
      <c r="K50" s="165"/>
      <c r="L50" s="160">
        <f>SUM(L47:L49)</f>
        <v>0</v>
      </c>
      <c r="M50" s="160">
        <f>SUM(M47:M49)</f>
        <v>0</v>
      </c>
      <c r="N50" s="39"/>
      <c r="O50" s="39"/>
    </row>
    <row r="51" spans="1:15" hidden="1" x14ac:dyDescent="0.2">
      <c r="A51" s="39"/>
      <c r="B51" s="39"/>
      <c r="C51" s="49"/>
      <c r="D51" s="39"/>
      <c r="E51" s="40"/>
      <c r="G51" s="13"/>
      <c r="K51" s="29"/>
      <c r="L51" s="78"/>
      <c r="M51" s="78"/>
      <c r="N51" s="78"/>
    </row>
    <row r="52" spans="1:15" x14ac:dyDescent="0.2">
      <c r="A52" s="39"/>
      <c r="B52" s="39"/>
      <c r="C52" s="39"/>
      <c r="D52" s="39"/>
      <c r="E52" s="40"/>
      <c r="K52" s="78"/>
      <c r="L52" s="78"/>
      <c r="M52" s="78"/>
      <c r="N52" s="78"/>
    </row>
    <row r="53" spans="1:15" x14ac:dyDescent="0.2">
      <c r="A53" s="147" t="s">
        <v>92</v>
      </c>
      <c r="B53" s="147" t="s">
        <v>66</v>
      </c>
      <c r="C53" s="156">
        <f>I20</f>
        <v>811.19500000000005</v>
      </c>
      <c r="D53" s="147" t="s">
        <v>11</v>
      </c>
      <c r="E53" s="147"/>
      <c r="F53" s="147" t="s">
        <v>25</v>
      </c>
      <c r="G53" s="208">
        <f>C53</f>
        <v>811.19500000000005</v>
      </c>
      <c r="H53" s="9">
        <v>25</v>
      </c>
      <c r="I53" s="9">
        <f>IF(N53="Road Rigid &gt; 17t",7.5,15)</f>
        <v>15</v>
      </c>
      <c r="J53" s="20">
        <v>20</v>
      </c>
      <c r="K53" s="29">
        <f>IF(N53="Road Rigid &gt; 17t",0.00098,0.00094)</f>
        <v>9.3999999999999997E-4</v>
      </c>
      <c r="L53" s="78">
        <f t="shared" ref="L53:L56" si="10">J53*M53*K53*(1+O53/100)</f>
        <v>2.0680000000000001</v>
      </c>
      <c r="M53" s="78">
        <f t="shared" ref="M53:M56" si="11">IF($M$38&lt;&gt;0,ROUNDUP(G53/I53,0),ROUNDUP(G53/H53,0))</f>
        <v>55</v>
      </c>
      <c r="N53" s="78" t="s">
        <v>65</v>
      </c>
      <c r="O53" s="9">
        <v>100</v>
      </c>
    </row>
    <row r="54" spans="1:15" x14ac:dyDescent="0.2">
      <c r="A54" s="147"/>
      <c r="B54" s="147" t="s">
        <v>67</v>
      </c>
      <c r="C54" s="147">
        <f>I21</f>
        <v>270</v>
      </c>
      <c r="D54" s="147" t="s">
        <v>11</v>
      </c>
      <c r="E54" s="147"/>
      <c r="F54" s="147" t="s">
        <v>25</v>
      </c>
      <c r="G54" s="9">
        <f>C54</f>
        <v>270</v>
      </c>
      <c r="H54" s="9">
        <v>25</v>
      </c>
      <c r="I54" s="9">
        <f>IF(N54="Road Rigid &gt; 17t",7.5,15)</f>
        <v>15</v>
      </c>
      <c r="J54" s="20">
        <v>300</v>
      </c>
      <c r="K54" s="29">
        <f>IF(N54="Road Rigid &gt; 17t",0.00098,0.00094)</f>
        <v>9.3999999999999997E-4</v>
      </c>
      <c r="L54" s="78">
        <f t="shared" si="10"/>
        <v>10.151999999999999</v>
      </c>
      <c r="M54" s="78">
        <f t="shared" si="11"/>
        <v>18</v>
      </c>
      <c r="N54" s="78" t="s">
        <v>65</v>
      </c>
      <c r="O54" s="9">
        <v>100</v>
      </c>
    </row>
    <row r="55" spans="1:15" s="80" customFormat="1" x14ac:dyDescent="0.2">
      <c r="A55" s="147"/>
      <c r="B55" s="147" t="s">
        <v>202</v>
      </c>
      <c r="C55" s="156">
        <f>I22</f>
        <v>28.297500000000003</v>
      </c>
      <c r="D55" s="147" t="s">
        <v>11</v>
      </c>
      <c r="E55" s="149"/>
      <c r="F55" s="147"/>
      <c r="G55" s="13">
        <f t="shared" ref="G55" si="12">C55</f>
        <v>28.297500000000003</v>
      </c>
      <c r="H55" s="80">
        <v>25</v>
      </c>
      <c r="I55" s="80">
        <v>15</v>
      </c>
      <c r="J55" s="20">
        <v>300</v>
      </c>
      <c r="K55" s="29">
        <f>IF(N55="Road Rigid &gt; 17t",0.00098,0.00094)</f>
        <v>9.3999999999999997E-4</v>
      </c>
      <c r="L55" s="80">
        <f t="shared" si="10"/>
        <v>1.1279999999999999</v>
      </c>
      <c r="M55" s="80">
        <f t="shared" si="11"/>
        <v>2</v>
      </c>
      <c r="N55" s="80" t="s">
        <v>65</v>
      </c>
      <c r="O55" s="80">
        <v>100</v>
      </c>
    </row>
    <row r="56" spans="1:15" s="83" customFormat="1" ht="15" thickBot="1" x14ac:dyDescent="0.25">
      <c r="A56" s="147"/>
      <c r="B56" s="147" t="s">
        <v>208</v>
      </c>
      <c r="C56" s="198">
        <f>C165</f>
        <v>15132.35294117647</v>
      </c>
      <c r="D56" s="147" t="s">
        <v>70</v>
      </c>
      <c r="E56" s="149"/>
      <c r="F56" s="147"/>
      <c r="G56" s="208">
        <f>C56</f>
        <v>15132.35294117647</v>
      </c>
      <c r="H56" s="83">
        <v>25</v>
      </c>
      <c r="I56" s="85">
        <v>800</v>
      </c>
      <c r="J56" s="20">
        <v>10</v>
      </c>
      <c r="K56" s="29">
        <f>IF(N56="Road Rigid &gt; 17t",0.00098,0.00094)</f>
        <v>9.7999999999999997E-4</v>
      </c>
      <c r="L56" s="83">
        <f t="shared" si="10"/>
        <v>0.37240000000000001</v>
      </c>
      <c r="M56" s="83">
        <f t="shared" si="11"/>
        <v>19</v>
      </c>
      <c r="N56" s="83" t="s">
        <v>61</v>
      </c>
      <c r="O56" s="83">
        <v>100</v>
      </c>
    </row>
    <row r="57" spans="1:15" ht="15" thickBot="1" x14ac:dyDescent="0.25">
      <c r="A57" s="39"/>
      <c r="B57" s="39"/>
      <c r="C57" s="39"/>
      <c r="D57" s="39"/>
      <c r="E57" s="39"/>
      <c r="K57" s="29"/>
      <c r="L57" s="36">
        <f>SUM(L53:L56)</f>
        <v>13.7204</v>
      </c>
      <c r="M57" s="36">
        <f>SUM(M53:M56)</f>
        <v>94</v>
      </c>
      <c r="N57" s="78"/>
    </row>
    <row r="58" spans="1:15" x14ac:dyDescent="0.2">
      <c r="A58" s="39"/>
      <c r="B58" s="39"/>
      <c r="C58" s="39"/>
      <c r="D58" s="39"/>
      <c r="E58" s="39"/>
      <c r="K58" s="29"/>
      <c r="L58" s="78"/>
      <c r="M58" s="78"/>
      <c r="N58" s="78"/>
    </row>
    <row r="59" spans="1:15" hidden="1" x14ac:dyDescent="0.2">
      <c r="A59" s="39"/>
      <c r="B59" s="39"/>
      <c r="C59" s="39"/>
      <c r="D59" s="39"/>
      <c r="E59" s="39"/>
      <c r="K59" s="29"/>
      <c r="L59" s="78"/>
      <c r="M59" s="78"/>
      <c r="N59" s="78"/>
    </row>
    <row r="60" spans="1:15" hidden="1" x14ac:dyDescent="0.2">
      <c r="A60" s="39" t="s">
        <v>93</v>
      </c>
      <c r="B60" s="39" t="s">
        <v>68</v>
      </c>
      <c r="C60" s="39">
        <f>I26</f>
        <v>0</v>
      </c>
      <c r="D60" s="39" t="s">
        <v>11</v>
      </c>
      <c r="E60" s="39"/>
      <c r="F60" s="39" t="s">
        <v>25</v>
      </c>
      <c r="G60" s="39">
        <f>C60</f>
        <v>0</v>
      </c>
      <c r="H60" s="39">
        <v>25</v>
      </c>
      <c r="I60" s="39">
        <f>IF(N60="Road Rigid &gt; 17t",7.5,15)</f>
        <v>15</v>
      </c>
      <c r="J60" s="157">
        <v>20</v>
      </c>
      <c r="K60" s="165">
        <f>IF(N60="Road Rigid &gt; 17t",0.00122,0.0012)</f>
        <v>1.1999999999999999E-3</v>
      </c>
      <c r="L60" s="39">
        <f>J60*M60*K60*(1+O60/100)</f>
        <v>0</v>
      </c>
      <c r="M60" s="39">
        <f>IF($M$38&lt;&gt;0,ROUNDUP(G60/I60,0),ROUNDUP(G60/H60,0))</f>
        <v>0</v>
      </c>
      <c r="N60" s="39" t="s">
        <v>65</v>
      </c>
      <c r="O60" s="39">
        <v>100</v>
      </c>
    </row>
    <row r="61" spans="1:15" s="83" customFormat="1" ht="15" hidden="1" thickBot="1" x14ac:dyDescent="0.25">
      <c r="A61" s="39"/>
      <c r="B61" s="39" t="s">
        <v>208</v>
      </c>
      <c r="C61" s="50">
        <v>0</v>
      </c>
      <c r="D61" s="39" t="s">
        <v>70</v>
      </c>
      <c r="E61" s="40"/>
      <c r="F61" s="39"/>
      <c r="G61" s="49">
        <f>C61</f>
        <v>0</v>
      </c>
      <c r="H61" s="39">
        <v>25</v>
      </c>
      <c r="I61" s="39">
        <v>800</v>
      </c>
      <c r="J61" s="157">
        <v>0</v>
      </c>
      <c r="K61" s="165">
        <f t="shared" ref="K61" si="13">IF(N61="Road Rigid &gt; 17t",0.00122,0.0012)</f>
        <v>1.2199999999999999E-3</v>
      </c>
      <c r="L61" s="39">
        <f>J61*M61*K61*(1+O61/100)</f>
        <v>0</v>
      </c>
      <c r="M61" s="39">
        <f>IF($M$38&lt;&gt;0,ROUNDUP(G61/I61,0),ROUNDUP(G61/H61,0))</f>
        <v>0</v>
      </c>
      <c r="N61" s="39" t="s">
        <v>61</v>
      </c>
      <c r="O61" s="39">
        <v>100</v>
      </c>
    </row>
    <row r="62" spans="1:15" ht="15" hidden="1" thickBot="1" x14ac:dyDescent="0.25">
      <c r="A62" s="39"/>
      <c r="B62" s="39"/>
      <c r="C62" s="39"/>
      <c r="D62" s="39"/>
      <c r="E62" s="40"/>
      <c r="F62" s="39"/>
      <c r="G62" s="39"/>
      <c r="H62" s="39"/>
      <c r="I62" s="39"/>
      <c r="J62" s="157"/>
      <c r="K62" s="39"/>
      <c r="L62" s="160">
        <f>SUM(L60:L61)</f>
        <v>0</v>
      </c>
      <c r="M62" s="160">
        <f>SUM(M60:M61)</f>
        <v>0</v>
      </c>
      <c r="N62" s="39"/>
      <c r="O62" s="39"/>
    </row>
    <row r="63" spans="1:15" hidden="1" x14ac:dyDescent="0.2">
      <c r="A63" s="39"/>
      <c r="B63" s="39"/>
      <c r="C63" s="39"/>
      <c r="D63" s="39"/>
      <c r="E63" s="40"/>
      <c r="F63" s="39"/>
      <c r="G63" s="39"/>
      <c r="H63" s="39"/>
      <c r="I63" s="39"/>
      <c r="J63" s="157"/>
      <c r="K63" s="39"/>
      <c r="L63" s="39"/>
      <c r="M63" s="39"/>
      <c r="N63" s="39"/>
      <c r="O63" s="39"/>
    </row>
    <row r="64" spans="1:15" hidden="1" x14ac:dyDescent="0.2">
      <c r="A64" s="39"/>
      <c r="B64" s="39"/>
      <c r="C64" s="39"/>
      <c r="D64" s="39"/>
      <c r="E64" s="40"/>
      <c r="F64" s="39"/>
      <c r="G64" s="39"/>
      <c r="H64" s="39"/>
      <c r="I64" s="39"/>
      <c r="J64" s="157"/>
      <c r="K64" s="39"/>
      <c r="L64" s="39"/>
      <c r="M64" s="39"/>
      <c r="N64" s="39"/>
      <c r="O64" s="39"/>
    </row>
    <row r="65" spans="1:15" hidden="1" x14ac:dyDescent="0.2">
      <c r="A65" s="39" t="s">
        <v>94</v>
      </c>
      <c r="B65" s="39" t="s">
        <v>43</v>
      </c>
      <c r="C65" s="39">
        <f>I30</f>
        <v>0</v>
      </c>
      <c r="D65" s="39" t="s">
        <v>11</v>
      </c>
      <c r="E65" s="39"/>
      <c r="F65" s="39" t="s">
        <v>25</v>
      </c>
      <c r="G65" s="39">
        <f>C65</f>
        <v>0</v>
      </c>
      <c r="H65" s="39">
        <v>31</v>
      </c>
      <c r="I65" s="39">
        <f>IF(N65="Road Rigid &gt; 17t",7.5,15)</f>
        <v>15</v>
      </c>
      <c r="J65" s="157">
        <v>20</v>
      </c>
      <c r="K65" s="165">
        <f>IF(N65="Road Rigid &gt; 17t",0.00122,0.0012)</f>
        <v>1.1999999999999999E-3</v>
      </c>
      <c r="L65" s="39">
        <f>J65*M65*K65*(1+O65/100)</f>
        <v>0</v>
      </c>
      <c r="M65" s="39">
        <f>IF($M$38&lt;&gt;0,ROUNDUP(G65/I65,0),ROUNDUP(G65/H65,0))</f>
        <v>0</v>
      </c>
      <c r="N65" s="39" t="s">
        <v>65</v>
      </c>
      <c r="O65" s="39">
        <v>100</v>
      </c>
    </row>
    <row r="66" spans="1:15" hidden="1" x14ac:dyDescent="0.2">
      <c r="A66" s="39"/>
      <c r="B66" s="39" t="s">
        <v>44</v>
      </c>
      <c r="C66" s="39">
        <f>I31</f>
        <v>0</v>
      </c>
      <c r="D66" s="39" t="s">
        <v>11</v>
      </c>
      <c r="E66" s="39"/>
      <c r="F66" s="39" t="s">
        <v>25</v>
      </c>
      <c r="G66" s="39">
        <f>C66</f>
        <v>0</v>
      </c>
      <c r="H66" s="39">
        <v>32</v>
      </c>
      <c r="I66" s="39">
        <f>IF(N66="Road Rigid &gt; 17t",7.5,15)</f>
        <v>15</v>
      </c>
      <c r="J66" s="157">
        <v>300</v>
      </c>
      <c r="K66" s="165">
        <f>IF(N66="Road Rigid &gt; 17t",0.00122,0.0012)</f>
        <v>1.1999999999999999E-3</v>
      </c>
      <c r="L66" s="39">
        <f>J66*M66*K66*(1+O66/100)</f>
        <v>0</v>
      </c>
      <c r="M66" s="39">
        <f>IF($M$38&lt;&gt;0,ROUNDUP(G66/I66,0),ROUNDUP(G66/H66,0))</f>
        <v>0</v>
      </c>
      <c r="N66" s="39" t="s">
        <v>65</v>
      </c>
      <c r="O66" s="39">
        <v>100</v>
      </c>
    </row>
    <row r="67" spans="1:15" hidden="1" x14ac:dyDescent="0.2">
      <c r="A67" s="39"/>
      <c r="B67" s="39" t="s">
        <v>45</v>
      </c>
      <c r="C67" s="49">
        <f>I32</f>
        <v>0</v>
      </c>
      <c r="D67" s="39" t="s">
        <v>11</v>
      </c>
      <c r="E67" s="39"/>
      <c r="F67" s="39" t="s">
        <v>25</v>
      </c>
      <c r="G67" s="39">
        <f>C67</f>
        <v>0</v>
      </c>
      <c r="H67" s="39">
        <v>33</v>
      </c>
      <c r="I67" s="39">
        <f>IF(N67="Road Rigid &gt; 17t",7.5,15)</f>
        <v>15</v>
      </c>
      <c r="J67" s="157">
        <v>300</v>
      </c>
      <c r="K67" s="165">
        <f>IF(N67="Road Rigid &gt; 17t",0.00122,0.0012)</f>
        <v>1.1999999999999999E-3</v>
      </c>
      <c r="L67" s="39">
        <f>J67*M67*K67*(1+O67/100)</f>
        <v>0</v>
      </c>
      <c r="M67" s="39">
        <f>IF($M$38&lt;&gt;0,ROUNDUP(G67/I67,0),ROUNDUP(G67/H67,0))</f>
        <v>0</v>
      </c>
      <c r="N67" s="39" t="s">
        <v>65</v>
      </c>
      <c r="O67" s="39">
        <v>100</v>
      </c>
    </row>
    <row r="68" spans="1:15" s="83" customFormat="1" ht="15" hidden="1" thickBot="1" x14ac:dyDescent="0.25">
      <c r="A68" s="39"/>
      <c r="B68" s="39" t="s">
        <v>208</v>
      </c>
      <c r="C68" s="50">
        <v>0</v>
      </c>
      <c r="D68" s="39" t="s">
        <v>70</v>
      </c>
      <c r="E68" s="40"/>
      <c r="F68" s="39"/>
      <c r="G68" s="49">
        <f>C68</f>
        <v>0</v>
      </c>
      <c r="H68" s="39">
        <v>25</v>
      </c>
      <c r="I68" s="39">
        <v>800</v>
      </c>
      <c r="J68" s="157">
        <v>50</v>
      </c>
      <c r="K68" s="165">
        <f t="shared" ref="K68" si="14">IF(N68="Road Rigid &gt; 17t",0.00122,0.0012)</f>
        <v>1.2199999999999999E-3</v>
      </c>
      <c r="L68" s="39">
        <f>J68*M68*K68*(1+O68/100)</f>
        <v>0</v>
      </c>
      <c r="M68" s="39">
        <f>IF($M$38&lt;&gt;0,ROUNDUP(G68/I68,0),ROUNDUP(G68/H68,0))</f>
        <v>0</v>
      </c>
      <c r="N68" s="39" t="s">
        <v>61</v>
      </c>
      <c r="O68" s="39">
        <v>100</v>
      </c>
    </row>
    <row r="69" spans="1:15" ht="15" hidden="1" thickBot="1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157"/>
      <c r="K69" s="165"/>
      <c r="L69" s="160">
        <f>SUM(L65:L68)</f>
        <v>0</v>
      </c>
      <c r="M69" s="160">
        <f>SUM(M65:M68)</f>
        <v>0</v>
      </c>
      <c r="N69" s="39"/>
      <c r="O69" s="39"/>
    </row>
    <row r="70" spans="1:15" hidden="1" x14ac:dyDescent="0.2">
      <c r="A70" s="39"/>
      <c r="B70" s="39"/>
      <c r="C70" s="39"/>
      <c r="D70" s="39"/>
      <c r="E70" s="39"/>
      <c r="K70" s="29"/>
      <c r="L70" s="78"/>
      <c r="M70" s="78"/>
      <c r="N70" s="78"/>
    </row>
    <row r="71" spans="1:15" s="51" customFormat="1" hidden="1" x14ac:dyDescent="0.2">
      <c r="B71" s="39" t="s">
        <v>139</v>
      </c>
      <c r="C71" s="39">
        <v>0</v>
      </c>
      <c r="D71" s="39" t="s">
        <v>10</v>
      </c>
      <c r="E71" s="39" t="s">
        <v>138</v>
      </c>
      <c r="F71" s="39" t="s">
        <v>125</v>
      </c>
      <c r="G71" s="39">
        <v>0</v>
      </c>
      <c r="H71" s="39"/>
      <c r="I71" s="39">
        <v>15</v>
      </c>
      <c r="J71" s="157">
        <v>20</v>
      </c>
      <c r="K71" s="29">
        <f>IF(N71="Road Rigid &gt; 17t",0.00122,0.0012)</f>
        <v>1.2199999999999999E-3</v>
      </c>
      <c r="L71" s="78">
        <f>J71*M71*K71*(1+O71/100)</f>
        <v>0</v>
      </c>
      <c r="M71" s="78">
        <f>IF($M$38&lt;&gt;0,ROUNDUP(G71/I71,0),ROUNDUP(G71/H71,0))</f>
        <v>0</v>
      </c>
      <c r="N71" s="78" t="s">
        <v>61</v>
      </c>
      <c r="O71" s="51">
        <v>100</v>
      </c>
    </row>
    <row r="72" spans="1:15" s="51" customFormat="1" hidden="1" x14ac:dyDescent="0.2">
      <c r="B72" s="39"/>
      <c r="C72" s="39"/>
      <c r="D72" s="39"/>
      <c r="E72" s="39"/>
      <c r="F72" s="39" t="s">
        <v>141</v>
      </c>
      <c r="G72" s="39">
        <v>0</v>
      </c>
      <c r="H72" s="39"/>
      <c r="I72" s="39">
        <v>15</v>
      </c>
      <c r="J72" s="157">
        <v>300</v>
      </c>
      <c r="K72" s="29">
        <f t="shared" ref="K72:K74" si="15">IF(N72="Road Rigid &gt; 17t",0.00122,0.0012)</f>
        <v>1.2199999999999999E-3</v>
      </c>
      <c r="L72" s="78">
        <f>J72*M72*K72*(1+O72/100)</f>
        <v>0</v>
      </c>
      <c r="M72" s="78">
        <f>IF($M$38&lt;&gt;0,ROUNDUP(G72/I72,0),ROUNDUP(G72/H72,0))</f>
        <v>0</v>
      </c>
      <c r="N72" s="78" t="s">
        <v>61</v>
      </c>
      <c r="O72" s="51">
        <v>100</v>
      </c>
    </row>
    <row r="73" spans="1:15" s="51" customFormat="1" hidden="1" x14ac:dyDescent="0.2">
      <c r="B73" s="39"/>
      <c r="C73" s="39"/>
      <c r="D73" s="39"/>
      <c r="E73" s="39"/>
      <c r="F73" s="39" t="s">
        <v>127</v>
      </c>
      <c r="G73" s="39">
        <v>0</v>
      </c>
      <c r="H73" s="39"/>
      <c r="I73" s="39">
        <v>15</v>
      </c>
      <c r="J73" s="157">
        <v>20</v>
      </c>
      <c r="K73" s="29">
        <f t="shared" si="15"/>
        <v>1.1999999999999999E-3</v>
      </c>
      <c r="L73" s="78">
        <f>J73*M73*K73*(1+O73/100)</f>
        <v>0</v>
      </c>
      <c r="M73" s="78">
        <f>IF($M$38&lt;&gt;0,ROUNDUP(G73/I73,0),ROUNDUP(G73/H73,0))</f>
        <v>0</v>
      </c>
      <c r="N73" s="78" t="s">
        <v>65</v>
      </c>
      <c r="O73" s="51">
        <v>100</v>
      </c>
    </row>
    <row r="74" spans="1:15" s="51" customFormat="1" ht="15" hidden="1" thickBot="1" x14ac:dyDescent="0.25">
      <c r="B74" s="39"/>
      <c r="C74" s="39"/>
      <c r="D74" s="39"/>
      <c r="E74" s="39"/>
      <c r="F74" s="39" t="s">
        <v>142</v>
      </c>
      <c r="G74" s="39">
        <v>0</v>
      </c>
      <c r="H74" s="39"/>
      <c r="I74" s="39">
        <v>1</v>
      </c>
      <c r="J74" s="157">
        <v>0</v>
      </c>
      <c r="K74" s="29">
        <f t="shared" si="15"/>
        <v>1.1999999999999999E-3</v>
      </c>
      <c r="L74" s="78">
        <f>J74*M74*K74*(1+O74/100)</f>
        <v>0</v>
      </c>
      <c r="M74" s="78">
        <f>IF($M$38&lt;&gt;0,ROUNDUP(G74/I74,0),ROUNDUP(G74/H74,0))</f>
        <v>0</v>
      </c>
      <c r="N74" s="78" t="s">
        <v>65</v>
      </c>
      <c r="O74" s="51">
        <v>100</v>
      </c>
    </row>
    <row r="75" spans="1:15" s="51" customFormat="1" ht="15" hidden="1" thickBot="1" x14ac:dyDescent="0.25">
      <c r="B75" s="39"/>
      <c r="C75" s="39"/>
      <c r="D75" s="39"/>
      <c r="E75" s="39"/>
      <c r="J75" s="20"/>
      <c r="K75" s="29"/>
      <c r="L75" s="36">
        <f>SUM(L71:L74)</f>
        <v>0</v>
      </c>
      <c r="M75" s="36">
        <f>SUM(M71:M73)</f>
        <v>0</v>
      </c>
      <c r="N75" s="78"/>
    </row>
    <row r="76" spans="1:15" s="51" customFormat="1" hidden="1" x14ac:dyDescent="0.2">
      <c r="B76" s="39"/>
      <c r="C76" s="39"/>
      <c r="D76" s="39"/>
      <c r="E76" s="39"/>
      <c r="J76" s="20"/>
      <c r="K76" s="29"/>
      <c r="L76" s="78"/>
      <c r="M76" s="78"/>
      <c r="N76" s="78"/>
    </row>
    <row r="77" spans="1:15" s="51" customFormat="1" hidden="1" x14ac:dyDescent="0.2">
      <c r="A77" s="39"/>
      <c r="B77" s="147" t="s">
        <v>140</v>
      </c>
      <c r="C77" s="147">
        <f>C5</f>
        <v>3444</v>
      </c>
      <c r="D77" s="147" t="s">
        <v>10</v>
      </c>
      <c r="E77" s="147" t="s">
        <v>138</v>
      </c>
      <c r="F77" s="51" t="s">
        <v>125</v>
      </c>
      <c r="G77" s="13">
        <f>(W18*$C$77)/1000</f>
        <v>1102.08</v>
      </c>
      <c r="I77" s="51">
        <v>15</v>
      </c>
      <c r="J77" s="20">
        <v>20</v>
      </c>
      <c r="K77" s="29">
        <f>IF(N77="Road Rigid &gt; 17t",0.00122,0.0012)</f>
        <v>1.2199999999999999E-3</v>
      </c>
      <c r="L77" s="78">
        <f>J77*M77*K77*(1+O77/100)</f>
        <v>3.6111999999999997</v>
      </c>
      <c r="M77" s="78">
        <f>IF($M$38&lt;&gt;0,ROUNDUP(G77/I77,0),ROUNDUP(G77/H77,0))</f>
        <v>74</v>
      </c>
      <c r="N77" s="78" t="s">
        <v>61</v>
      </c>
      <c r="O77" s="51">
        <v>100</v>
      </c>
    </row>
    <row r="78" spans="1:15" s="51" customFormat="1" hidden="1" x14ac:dyDescent="0.2">
      <c r="A78" s="39"/>
      <c r="B78" s="147"/>
      <c r="C78" s="147"/>
      <c r="D78" s="147"/>
      <c r="E78" s="147"/>
      <c r="F78" s="51" t="s">
        <v>141</v>
      </c>
      <c r="G78" s="13">
        <f>(W19*$C$77)/1000</f>
        <v>275.52</v>
      </c>
      <c r="I78" s="51">
        <v>15</v>
      </c>
      <c r="J78" s="20">
        <v>300</v>
      </c>
      <c r="K78" s="29">
        <f t="shared" ref="K78:K80" si="16">IF(N78="Road Rigid &gt; 17t",0.00122,0.0012)</f>
        <v>1.2199999999999999E-3</v>
      </c>
      <c r="L78" s="78">
        <f>J78*M78*K78*(1+O78/100)</f>
        <v>13.907999999999999</v>
      </c>
      <c r="M78" s="78">
        <f>IF($M$38&lt;&gt;0,ROUNDUP(G78/I78,0),ROUNDUP(G78/H78,0))</f>
        <v>19</v>
      </c>
      <c r="N78" s="78" t="s">
        <v>61</v>
      </c>
      <c r="O78" s="51">
        <v>100</v>
      </c>
    </row>
    <row r="79" spans="1:15" s="51" customFormat="1" hidden="1" x14ac:dyDescent="0.2">
      <c r="A79" s="39"/>
      <c r="B79" s="147"/>
      <c r="C79" s="147"/>
      <c r="D79" s="147"/>
      <c r="E79" s="147"/>
      <c r="F79" s="51" t="s">
        <v>127</v>
      </c>
      <c r="G79" s="13">
        <f>(W20*$C$77)/1000</f>
        <v>5854.8</v>
      </c>
      <c r="I79" s="51">
        <v>15</v>
      </c>
      <c r="J79" s="20">
        <v>20</v>
      </c>
      <c r="K79" s="29">
        <f t="shared" si="16"/>
        <v>1.1999999999999999E-3</v>
      </c>
      <c r="L79" s="78">
        <f>J79*M79*K79*(1+O79/100)</f>
        <v>18.767999999999997</v>
      </c>
      <c r="M79" s="78">
        <f>IF($M$38&lt;&gt;0,ROUNDUP(G79/I79,0),ROUNDUP(G79/H79,0))</f>
        <v>391</v>
      </c>
      <c r="N79" s="78" t="s">
        <v>65</v>
      </c>
      <c r="O79" s="51">
        <v>100</v>
      </c>
    </row>
    <row r="80" spans="1:15" s="51" customFormat="1" ht="15" hidden="1" thickBot="1" x14ac:dyDescent="0.25">
      <c r="A80" s="39"/>
      <c r="B80" s="147"/>
      <c r="C80" s="147"/>
      <c r="D80" s="147"/>
      <c r="E80" s="147"/>
      <c r="F80" s="51" t="s">
        <v>142</v>
      </c>
      <c r="G80" s="13">
        <f>(W21*$C$77)/1000</f>
        <v>688.8</v>
      </c>
      <c r="I80" s="51">
        <v>1</v>
      </c>
      <c r="J80" s="20">
        <v>0</v>
      </c>
      <c r="K80" s="29">
        <f t="shared" si="16"/>
        <v>1.1999999999999999E-3</v>
      </c>
      <c r="L80" s="78">
        <f>J80*M80*K80*(1+O80/100)</f>
        <v>0</v>
      </c>
      <c r="M80" s="78">
        <f>IF($M$38&lt;&gt;0,ROUNDUP(G80/I80,0),ROUNDUP(G80/H80,0))</f>
        <v>689</v>
      </c>
      <c r="N80" s="78" t="s">
        <v>65</v>
      </c>
      <c r="O80" s="51">
        <v>100</v>
      </c>
    </row>
    <row r="81" spans="1:30" s="51" customFormat="1" ht="15" hidden="1" thickBot="1" x14ac:dyDescent="0.25">
      <c r="A81" s="39"/>
      <c r="B81" s="39"/>
      <c r="C81" s="39"/>
      <c r="D81" s="39"/>
      <c r="E81" s="39"/>
      <c r="J81" s="20"/>
      <c r="K81" s="29"/>
      <c r="L81" s="36">
        <f>SUM(L77:L80)</f>
        <v>36.287199999999999</v>
      </c>
      <c r="M81" s="36">
        <f>SUM(M77:M79)</f>
        <v>484</v>
      </c>
      <c r="N81" s="78"/>
    </row>
    <row r="82" spans="1:30" s="51" customFormat="1" x14ac:dyDescent="0.2">
      <c r="A82" s="39"/>
      <c r="B82" s="39"/>
      <c r="C82" s="39"/>
      <c r="D82" s="39"/>
      <c r="E82" s="39"/>
      <c r="J82" s="20"/>
      <c r="K82" s="29"/>
      <c r="L82" s="76"/>
      <c r="M82" s="78"/>
      <c r="N82" s="78"/>
    </row>
    <row r="83" spans="1:30" s="51" customFormat="1" hidden="1" x14ac:dyDescent="0.2">
      <c r="A83" s="39"/>
      <c r="B83" s="39" t="s">
        <v>16</v>
      </c>
      <c r="C83" s="39">
        <v>9500</v>
      </c>
      <c r="D83" s="39" t="s">
        <v>10</v>
      </c>
      <c r="E83" s="39" t="s">
        <v>138</v>
      </c>
      <c r="F83" s="39" t="s">
        <v>125</v>
      </c>
      <c r="G83" s="39">
        <v>0</v>
      </c>
      <c r="H83" s="39"/>
      <c r="I83" s="39">
        <v>15</v>
      </c>
      <c r="J83" s="157">
        <v>20</v>
      </c>
      <c r="K83" s="29">
        <f>IF(N83="Road Rigid &gt; 17t",0.00122,0.0012)</f>
        <v>1.2199999999999999E-3</v>
      </c>
      <c r="L83" s="78">
        <f>J83*M83*K83*(1+O83/100)</f>
        <v>0</v>
      </c>
      <c r="M83" s="78">
        <f>IF($M$38&lt;&gt;0,ROUNDUP(G83/I83,0),ROUNDUP(G83/H83,0))</f>
        <v>0</v>
      </c>
      <c r="N83" s="78" t="s">
        <v>61</v>
      </c>
      <c r="O83" s="51">
        <v>100</v>
      </c>
    </row>
    <row r="84" spans="1:30" s="51" customFormat="1" hidden="1" x14ac:dyDescent="0.2">
      <c r="A84" s="39"/>
      <c r="B84" s="39"/>
      <c r="C84" s="39"/>
      <c r="D84" s="39"/>
      <c r="E84" s="39"/>
      <c r="F84" s="39" t="s">
        <v>141</v>
      </c>
      <c r="G84" s="39">
        <v>0</v>
      </c>
      <c r="H84" s="39"/>
      <c r="I84" s="39">
        <v>15</v>
      </c>
      <c r="J84" s="157">
        <v>300</v>
      </c>
      <c r="K84" s="29">
        <f t="shared" ref="K84:K86" si="17">IF(N84="Road Rigid &gt; 17t",0.00122,0.0012)</f>
        <v>1.2199999999999999E-3</v>
      </c>
      <c r="L84" s="78">
        <f>J84*M84*K84*(1+O84/100)</f>
        <v>0</v>
      </c>
      <c r="M84" s="78">
        <f>IF($M$38&lt;&gt;0,ROUNDUP(G84/I84,0),ROUNDUP(G84/H84,0))</f>
        <v>0</v>
      </c>
      <c r="N84" s="78" t="s">
        <v>61</v>
      </c>
      <c r="O84" s="51">
        <v>100</v>
      </c>
    </row>
    <row r="85" spans="1:30" s="51" customFormat="1" hidden="1" x14ac:dyDescent="0.2">
      <c r="A85" s="39"/>
      <c r="B85" s="39"/>
      <c r="C85" s="39"/>
      <c r="D85" s="39"/>
      <c r="E85" s="39"/>
      <c r="F85" s="39" t="s">
        <v>127</v>
      </c>
      <c r="G85" s="39">
        <v>0</v>
      </c>
      <c r="H85" s="39"/>
      <c r="I85" s="39">
        <v>15</v>
      </c>
      <c r="J85" s="157">
        <v>20</v>
      </c>
      <c r="K85" s="29">
        <f t="shared" si="17"/>
        <v>1.1999999999999999E-3</v>
      </c>
      <c r="L85" s="78">
        <f>J85*M85*K85*(1+O85/100)</f>
        <v>0</v>
      </c>
      <c r="M85" s="78">
        <f>IF($M$38&lt;&gt;0,ROUNDUP(G85/I85,0),ROUNDUP(G85/H85,0))</f>
        <v>0</v>
      </c>
      <c r="N85" s="78" t="s">
        <v>65</v>
      </c>
      <c r="O85" s="51">
        <v>100</v>
      </c>
    </row>
    <row r="86" spans="1:30" s="51" customFormat="1" ht="15" hidden="1" thickBot="1" x14ac:dyDescent="0.25">
      <c r="A86" s="39"/>
      <c r="B86" s="39"/>
      <c r="C86" s="39"/>
      <c r="D86" s="39"/>
      <c r="E86" s="39"/>
      <c r="F86" s="39" t="s">
        <v>142</v>
      </c>
      <c r="G86" s="39">
        <v>0</v>
      </c>
      <c r="H86" s="39"/>
      <c r="I86" s="39">
        <v>1</v>
      </c>
      <c r="J86" s="157">
        <v>0</v>
      </c>
      <c r="K86" s="29">
        <f t="shared" si="17"/>
        <v>1.1999999999999999E-3</v>
      </c>
      <c r="L86" s="78">
        <f>J86*M86*K86*(1+O86/100)</f>
        <v>0</v>
      </c>
      <c r="M86" s="78">
        <f>IF($M$38&lt;&gt;0,ROUNDUP(G86/I86,0),ROUNDUP(G86/H86,0))</f>
        <v>0</v>
      </c>
      <c r="N86" s="78" t="s">
        <v>65</v>
      </c>
      <c r="O86" s="51">
        <v>100</v>
      </c>
      <c r="V86" s="51">
        <f>0.29781*4952+3477</f>
        <v>4951.7551199999998</v>
      </c>
      <c r="W86" s="132">
        <f>SUM(W90:W96)</f>
        <v>991.80302715000028</v>
      </c>
      <c r="X86" s="132">
        <f>SUM(X90:X96)</f>
        <v>525.13727408941179</v>
      </c>
      <c r="Y86" s="132">
        <f>W86-X86</f>
        <v>466.66575306058849</v>
      </c>
      <c r="Z86" s="51">
        <f>1-(X86/W86)</f>
        <v>0.47052261415412067</v>
      </c>
    </row>
    <row r="87" spans="1:30" ht="15" hidden="1" thickBot="1" x14ac:dyDescent="0.25">
      <c r="A87" s="39"/>
      <c r="B87" s="39"/>
      <c r="C87" s="39"/>
      <c r="D87" s="39"/>
      <c r="E87" s="40"/>
      <c r="K87" s="29"/>
      <c r="L87" s="36">
        <f>SUM(L83:L86)</f>
        <v>0</v>
      </c>
      <c r="M87" s="36">
        <f>SUM(M83:M85)</f>
        <v>0</v>
      </c>
      <c r="N87" s="78"/>
      <c r="O87" s="51"/>
    </row>
    <row r="88" spans="1:30" ht="18.75" customHeight="1" thickBot="1" x14ac:dyDescent="0.25">
      <c r="A88" s="39"/>
      <c r="B88" s="41"/>
      <c r="C88" s="41"/>
      <c r="D88" s="41"/>
      <c r="E88" s="41"/>
      <c r="F88" s="349" t="s">
        <v>110</v>
      </c>
      <c r="G88" s="349"/>
      <c r="H88" s="349"/>
      <c r="I88" s="349"/>
      <c r="J88" s="350"/>
      <c r="K88" s="77" t="s">
        <v>40</v>
      </c>
      <c r="L88" s="77"/>
      <c r="M88" s="77"/>
      <c r="N88" s="77"/>
      <c r="V88" s="344"/>
      <c r="W88" s="345"/>
      <c r="X88" s="86"/>
      <c r="Z88" s="71"/>
    </row>
    <row r="89" spans="1:30" ht="34.5" customHeight="1" thickBot="1" x14ac:dyDescent="0.25">
      <c r="A89" s="166" t="s">
        <v>33</v>
      </c>
      <c r="B89" s="167"/>
      <c r="C89" s="346" t="s">
        <v>54</v>
      </c>
      <c r="D89" s="347"/>
      <c r="E89" s="167" t="s">
        <v>19</v>
      </c>
      <c r="F89" s="22" t="s">
        <v>56</v>
      </c>
      <c r="G89" s="24" t="s">
        <v>57</v>
      </c>
      <c r="H89" s="24" t="s">
        <v>58</v>
      </c>
      <c r="I89" s="2" t="s">
        <v>74</v>
      </c>
      <c r="J89" s="28" t="s">
        <v>73</v>
      </c>
      <c r="K89" s="79" t="s">
        <v>2</v>
      </c>
      <c r="L89" s="2" t="s">
        <v>3</v>
      </c>
      <c r="M89" s="27" t="s">
        <v>72</v>
      </c>
      <c r="N89" s="10" t="s">
        <v>5</v>
      </c>
      <c r="O89" s="2" t="s">
        <v>64</v>
      </c>
      <c r="Q89" s="9" t="s">
        <v>236</v>
      </c>
      <c r="R89" s="9" t="s">
        <v>237</v>
      </c>
      <c r="S89" s="9" t="s">
        <v>238</v>
      </c>
      <c r="T89" s="9" t="s">
        <v>178</v>
      </c>
      <c r="U89" s="86"/>
      <c r="V89" s="104" t="s">
        <v>218</v>
      </c>
      <c r="W89" s="108" t="s">
        <v>219</v>
      </c>
      <c r="X89" s="116" t="s">
        <v>235</v>
      </c>
      <c r="Y89" s="112" t="s">
        <v>222</v>
      </c>
      <c r="Z89" s="71"/>
      <c r="AA89" s="12" t="s">
        <v>182</v>
      </c>
      <c r="AB89" s="12" t="s">
        <v>181</v>
      </c>
    </row>
    <row r="90" spans="1:30" ht="16.5" thickBot="1" x14ac:dyDescent="0.25">
      <c r="A90" s="168"/>
      <c r="B90" s="169"/>
      <c r="C90" s="170"/>
      <c r="D90" s="171"/>
      <c r="E90" s="172"/>
      <c r="F90" s="6" t="s">
        <v>23</v>
      </c>
      <c r="G90" s="23" t="s">
        <v>7</v>
      </c>
      <c r="H90" s="6" t="s">
        <v>59</v>
      </c>
      <c r="I90" s="6" t="s">
        <v>59</v>
      </c>
      <c r="J90" s="19" t="s">
        <v>60</v>
      </c>
      <c r="K90" s="18" t="s">
        <v>62</v>
      </c>
      <c r="L90" s="6" t="s">
        <v>7</v>
      </c>
      <c r="M90" s="21" t="s">
        <v>77</v>
      </c>
      <c r="N90" s="8"/>
      <c r="O90" s="182" t="s">
        <v>63</v>
      </c>
      <c r="Q90" s="9" t="s">
        <v>151</v>
      </c>
      <c r="R90" s="133">
        <f>M44+M50+M75+M81+M87</f>
        <v>967</v>
      </c>
      <c r="S90" s="133">
        <f>M94</f>
        <v>597</v>
      </c>
      <c r="U90" s="86"/>
      <c r="V90" s="105" t="s">
        <v>211</v>
      </c>
      <c r="W90" s="109">
        <f>B240</f>
        <v>801.74895200000026</v>
      </c>
      <c r="X90" s="109">
        <f>B241</f>
        <v>430.64771056000001</v>
      </c>
      <c r="Y90" s="113">
        <f>1-(X90/W90)</f>
        <v>0.46286464174885522</v>
      </c>
      <c r="Z90" s="88">
        <f>B242</f>
        <v>0</v>
      </c>
      <c r="AA90" s="66">
        <f t="shared" ref="AA90:AA96" si="18">1-(Y90/W90)</f>
        <v>0.99942268132612555</v>
      </c>
      <c r="AB90" s="66">
        <f t="shared" ref="AB90:AB96" si="19">1-(Y90/X90)</f>
        <v>0.99892518959140186</v>
      </c>
    </row>
    <row r="91" spans="1:30" hidden="1" x14ac:dyDescent="0.2">
      <c r="A91" s="147" t="s">
        <v>90</v>
      </c>
      <c r="B91" s="39" t="s">
        <v>53</v>
      </c>
      <c r="C91" s="39">
        <v>0</v>
      </c>
      <c r="D91" s="39" t="s">
        <v>11</v>
      </c>
      <c r="E91" s="40"/>
      <c r="F91" s="9" t="s">
        <v>25</v>
      </c>
      <c r="G91" s="14">
        <f>C91</f>
        <v>0</v>
      </c>
      <c r="H91" s="9">
        <v>24</v>
      </c>
      <c r="I91" s="9">
        <f>IF(N91="Road Rigid &gt; 17t",7.5,15)</f>
        <v>15</v>
      </c>
      <c r="J91" s="20">
        <v>20</v>
      </c>
      <c r="K91" s="29">
        <f>IF(N91="Road Rigid &gt; 17t",0.00122,0.0012)</f>
        <v>1.1999999999999999E-3</v>
      </c>
      <c r="L91" s="78">
        <f>J91*M91*K91*(1+O91/100)</f>
        <v>0</v>
      </c>
      <c r="M91" s="78">
        <f>IF($M$38&lt;&gt;0,ROUNDUP(G91/I91,0),ROUNDUP(G91/H91,0))</f>
        <v>0</v>
      </c>
      <c r="N91" s="78" t="s">
        <v>65</v>
      </c>
      <c r="O91" s="9">
        <v>100</v>
      </c>
      <c r="Q91" s="9" t="s">
        <v>152</v>
      </c>
      <c r="R91" s="133">
        <f>M57+M62</f>
        <v>94</v>
      </c>
      <c r="S91" s="133">
        <f>M99+M103</f>
        <v>89</v>
      </c>
      <c r="U91" s="86"/>
      <c r="V91" s="106" t="s">
        <v>214</v>
      </c>
      <c r="W91" s="110">
        <f>C240</f>
        <v>57.959775000000008</v>
      </c>
      <c r="X91" s="110">
        <f>C241</f>
        <v>56.510258823529412</v>
      </c>
      <c r="Y91" s="114">
        <f t="shared" ref="Y91:Y96" si="20">1-(X91/W91)</f>
        <v>2.5009002820845949E-2</v>
      </c>
      <c r="Z91" s="88">
        <f>C242</f>
        <v>0</v>
      </c>
      <c r="AA91" s="66">
        <f>1-(Y92/W92)</f>
        <v>0.98865169639082873</v>
      </c>
      <c r="AB91" s="67">
        <f>1-(Y92/X92)</f>
        <v>0.94117680718346886</v>
      </c>
      <c r="AD91" s="9" t="s">
        <v>183</v>
      </c>
    </row>
    <row r="92" spans="1:30" hidden="1" x14ac:dyDescent="0.2">
      <c r="A92" s="39"/>
      <c r="B92" s="39" t="s">
        <v>55</v>
      </c>
      <c r="C92" s="39">
        <v>0</v>
      </c>
      <c r="D92" s="39" t="s">
        <v>11</v>
      </c>
      <c r="E92" s="40"/>
      <c r="F92" s="9" t="s">
        <v>25</v>
      </c>
      <c r="G92" s="14">
        <f>C92</f>
        <v>0</v>
      </c>
      <c r="H92" s="9">
        <v>24</v>
      </c>
      <c r="I92" s="9">
        <f>IF(N92="Road Rigid &gt; 17t",7.5,15)</f>
        <v>15</v>
      </c>
      <c r="J92" s="20">
        <v>20</v>
      </c>
      <c r="K92" s="29">
        <f>IF(N92="Road Rigid &gt; 17t",0.00122,0.0012)</f>
        <v>1.1999999999999999E-3</v>
      </c>
      <c r="L92" s="78">
        <f>J92*M92*K92*(1+O92/100)</f>
        <v>0</v>
      </c>
      <c r="M92" s="78">
        <f>IF($M$38&lt;&gt;0,ROUNDUP(G92/I92,0),ROUNDUP(G92/H92,0))</f>
        <v>0</v>
      </c>
      <c r="N92" s="78" t="s">
        <v>65</v>
      </c>
      <c r="O92" s="9">
        <v>100</v>
      </c>
      <c r="Q92" s="9" t="s">
        <v>153</v>
      </c>
      <c r="R92" s="133">
        <f>M57+M69</f>
        <v>94</v>
      </c>
      <c r="S92" s="133">
        <f>M99+M107</f>
        <v>89</v>
      </c>
      <c r="U92" s="86"/>
      <c r="V92" s="106" t="s">
        <v>212</v>
      </c>
      <c r="W92" s="110">
        <f>E240</f>
        <v>71.118799999999993</v>
      </c>
      <c r="X92" s="110">
        <f>E241</f>
        <v>13.7204</v>
      </c>
      <c r="Y92" s="114">
        <f t="shared" si="20"/>
        <v>0.80707773471993338</v>
      </c>
      <c r="Z92" s="88">
        <f>E242</f>
        <v>0</v>
      </c>
      <c r="AA92" s="66">
        <f>1-(Y91/W91)</f>
        <v>0.99956851104372224</v>
      </c>
      <c r="AB92" s="66">
        <f>1-(Y91/X91)</f>
        <v>0.99955744313790984</v>
      </c>
    </row>
    <row r="93" spans="1:30" ht="15" hidden="1" thickBot="1" x14ac:dyDescent="0.25">
      <c r="A93" s="39"/>
      <c r="B93" s="147" t="s">
        <v>242</v>
      </c>
      <c r="C93" s="156">
        <f>C5*2.6</f>
        <v>8954.4</v>
      </c>
      <c r="D93" s="147" t="s">
        <v>11</v>
      </c>
      <c r="E93" s="39"/>
      <c r="G93" s="135">
        <f>C93</f>
        <v>8954.4</v>
      </c>
      <c r="H93" s="134">
        <v>24</v>
      </c>
      <c r="I93" s="134">
        <f>IF(N93="Road Rigid &gt; 17t",7.5,15)</f>
        <v>15</v>
      </c>
      <c r="J93" s="20">
        <v>20</v>
      </c>
      <c r="K93" s="29">
        <f>IF(N93="Road Rigid &gt; 17t",0.00122,0.0012)</f>
        <v>1.1999999999999999E-3</v>
      </c>
      <c r="L93" s="13">
        <f>J93*M93*K93*(1+O93/100)</f>
        <v>28.655999999999999</v>
      </c>
      <c r="M93" s="134">
        <f>IF($M$38&lt;&gt;0,ROUNDUP(G93/I93,0),ROUNDUP(G93/H93,0))</f>
        <v>597</v>
      </c>
      <c r="N93" s="134" t="s">
        <v>65</v>
      </c>
      <c r="O93" s="134">
        <v>100</v>
      </c>
      <c r="U93" s="86"/>
      <c r="V93" s="106" t="s">
        <v>220</v>
      </c>
      <c r="W93" s="110">
        <f>F240</f>
        <v>7.7</v>
      </c>
      <c r="X93" s="110">
        <f>F241</f>
        <v>5.9</v>
      </c>
      <c r="Y93" s="114">
        <f t="shared" si="20"/>
        <v>0.23376623376623373</v>
      </c>
      <c r="Z93" s="88">
        <f>F242</f>
        <v>0</v>
      </c>
      <c r="AA93" s="66">
        <f>1-(Y95/W95)</f>
        <v>0.9818427860083192</v>
      </c>
      <c r="AB93" s="67">
        <f>1-(Y95/X95)</f>
        <v>0.96925047577717427</v>
      </c>
      <c r="AD93" s="9" t="s">
        <v>184</v>
      </c>
    </row>
    <row r="94" spans="1:30" ht="15" hidden="1" thickBot="1" x14ac:dyDescent="0.25">
      <c r="A94" s="39"/>
      <c r="B94" s="39"/>
      <c r="C94" s="50"/>
      <c r="D94" s="39"/>
      <c r="E94" s="40"/>
      <c r="K94" s="78"/>
      <c r="L94" s="36">
        <f>SUM(L91:L93)</f>
        <v>28.655999999999999</v>
      </c>
      <c r="M94" s="36">
        <f>SUM(M91:M93)</f>
        <v>597</v>
      </c>
      <c r="N94" s="78"/>
      <c r="U94" s="86"/>
      <c r="V94" s="106" t="s">
        <v>217</v>
      </c>
      <c r="W94" s="110">
        <f>G240</f>
        <v>2.0657999999999999</v>
      </c>
      <c r="X94" s="110">
        <f>G241</f>
        <v>1.6948235294117646</v>
      </c>
      <c r="Y94" s="114">
        <f t="shared" si="20"/>
        <v>0.17958005159658985</v>
      </c>
      <c r="Z94" s="88">
        <f>G242</f>
        <v>0</v>
      </c>
      <c r="AA94" s="66">
        <f>1-(Y93/W93)</f>
        <v>0.96964074886152807</v>
      </c>
      <c r="AB94" s="66">
        <f>1-(Y93/X93)</f>
        <v>0.96037860444640111</v>
      </c>
    </row>
    <row r="95" spans="1:30" x14ac:dyDescent="0.2">
      <c r="A95" s="39"/>
      <c r="B95" s="39"/>
      <c r="C95" s="50"/>
      <c r="D95" s="39"/>
      <c r="E95" s="40"/>
      <c r="K95" s="78"/>
      <c r="L95" s="78"/>
      <c r="M95" s="78"/>
      <c r="N95" s="78"/>
      <c r="Q95" s="9" t="s">
        <v>92</v>
      </c>
      <c r="R95" s="133">
        <f>M57</f>
        <v>94</v>
      </c>
      <c r="S95" s="133">
        <f>M99</f>
        <v>89</v>
      </c>
      <c r="U95" s="86"/>
      <c r="V95" s="106" t="s">
        <v>213</v>
      </c>
      <c r="W95" s="110">
        <f>H240</f>
        <v>22.553700150000001</v>
      </c>
      <c r="X95" s="110">
        <f>H241</f>
        <v>13.317681176470586</v>
      </c>
      <c r="Y95" s="114">
        <f t="shared" si="20"/>
        <v>0.40951235992775292</v>
      </c>
      <c r="Z95" s="88">
        <f>H242</f>
        <v>0</v>
      </c>
      <c r="AA95" s="66">
        <f>1-(Y94/W94)</f>
        <v>0.91306997211899033</v>
      </c>
      <c r="AB95" s="67">
        <f>1-(Y94/X94)</f>
        <v>0.89404203536227866</v>
      </c>
      <c r="AD95" s="63" t="s">
        <v>184</v>
      </c>
    </row>
    <row r="96" spans="1:30" ht="15" thickBot="1" x14ac:dyDescent="0.25">
      <c r="A96" s="147" t="s">
        <v>92</v>
      </c>
      <c r="B96" s="147" t="s">
        <v>243</v>
      </c>
      <c r="C96" s="156">
        <f>'MIP550-Verbauwand'!B3*(0.55)*('MIP550-Verbauwand'!B21/100)*2</f>
        <v>1320.5500000000002</v>
      </c>
      <c r="D96" s="147" t="s">
        <v>11</v>
      </c>
      <c r="E96" s="39"/>
      <c r="F96" s="9" t="s">
        <v>25</v>
      </c>
      <c r="G96" s="197">
        <f t="shared" ref="G96:G97" si="21">C96</f>
        <v>1320.5500000000002</v>
      </c>
      <c r="H96" s="9">
        <v>24</v>
      </c>
      <c r="I96" s="9">
        <f>IF(N96="Road Rigid &gt; 17t",7.5,15)</f>
        <v>15</v>
      </c>
      <c r="J96" s="20">
        <v>20</v>
      </c>
      <c r="K96" s="29">
        <f>IF(N96="Road Rigid &gt; 17t",0.00098,0.00094)</f>
        <v>9.3999999999999997E-4</v>
      </c>
      <c r="L96" s="13">
        <f>J96*M96*K96*(1+O96/100)</f>
        <v>3.3464</v>
      </c>
      <c r="M96" s="78">
        <f>IF($M$38&lt;&gt;0,ROUNDUP(G96/I96,0),ROUNDUP(G96/H96,0))</f>
        <v>89</v>
      </c>
      <c r="N96" s="78" t="s">
        <v>65</v>
      </c>
      <c r="O96" s="9">
        <v>100</v>
      </c>
      <c r="Q96" s="9" t="s">
        <v>93</v>
      </c>
      <c r="R96" s="133">
        <f>M62</f>
        <v>0</v>
      </c>
      <c r="S96" s="133">
        <f>M103</f>
        <v>0</v>
      </c>
      <c r="U96" s="86"/>
      <c r="V96" s="107" t="s">
        <v>210</v>
      </c>
      <c r="W96" s="111">
        <f>I240</f>
        <v>28.655999999999999</v>
      </c>
      <c r="X96" s="111">
        <f>I241</f>
        <v>3.3464</v>
      </c>
      <c r="Y96" s="115">
        <f t="shared" si="20"/>
        <v>0.88322166387493017</v>
      </c>
      <c r="Z96" s="88">
        <f>I242</f>
        <v>0</v>
      </c>
      <c r="AA96" s="66">
        <f t="shared" si="18"/>
        <v>0.96917847348286812</v>
      </c>
      <c r="AB96" s="66">
        <f t="shared" si="19"/>
        <v>0.73606811383130233</v>
      </c>
    </row>
    <row r="97" spans="1:28" ht="16.5" x14ac:dyDescent="0.2">
      <c r="A97" s="39"/>
      <c r="B97" s="39" t="s">
        <v>55</v>
      </c>
      <c r="C97" s="39">
        <v>0</v>
      </c>
      <c r="D97" s="39" t="s">
        <v>11</v>
      </c>
      <c r="E97" s="39"/>
      <c r="F97" s="9" t="s">
        <v>25</v>
      </c>
      <c r="G97" s="9">
        <f t="shared" si="21"/>
        <v>0</v>
      </c>
      <c r="H97" s="9">
        <v>24</v>
      </c>
      <c r="I97" s="9">
        <f>IF(N97="Road Rigid &gt; 17t",7.5,15)</f>
        <v>15</v>
      </c>
      <c r="J97" s="20">
        <v>20</v>
      </c>
      <c r="K97" s="29">
        <f>IF(N97="Road Rigid &gt; 17t",0.00098,0.00094)</f>
        <v>9.3999999999999997E-4</v>
      </c>
      <c r="L97" s="78">
        <f>J97*M97*K97*(1+O97/100)</f>
        <v>0</v>
      </c>
      <c r="M97" s="78">
        <f>IF($M$38&lt;&gt;0,ROUNDUP(G97/I97,0),ROUNDUP(G97/H97,0))</f>
        <v>0</v>
      </c>
      <c r="N97" s="78" t="s">
        <v>65</v>
      </c>
      <c r="O97" s="9">
        <v>100</v>
      </c>
      <c r="Q97" s="9" t="s">
        <v>94</v>
      </c>
      <c r="R97" s="133">
        <f>M69</f>
        <v>0</v>
      </c>
      <c r="S97" s="9">
        <f>0</f>
        <v>0</v>
      </c>
      <c r="V97" s="100" t="s">
        <v>187</v>
      </c>
      <c r="W97" s="101" t="s">
        <v>223</v>
      </c>
      <c r="X97" s="101" t="s">
        <v>227</v>
      </c>
      <c r="Y97" s="102"/>
      <c r="Z97" s="71"/>
      <c r="AA97" s="66" t="e">
        <f>1-(X97/W97)</f>
        <v>#VALUE!</v>
      </c>
      <c r="AB97" s="66">
        <f>1-(SUM(Y90:Y96)/SUM(X90:X96))</f>
        <v>0.99428524342771341</v>
      </c>
    </row>
    <row r="98" spans="1:28" s="80" customFormat="1" ht="15.75" thickBot="1" x14ac:dyDescent="0.25">
      <c r="A98" s="39"/>
      <c r="B98" s="147" t="s">
        <v>206</v>
      </c>
      <c r="C98" s="147">
        <v>0</v>
      </c>
      <c r="D98" s="147" t="s">
        <v>11</v>
      </c>
      <c r="E98" s="147" t="s">
        <v>207</v>
      </c>
      <c r="F98" s="147"/>
      <c r="G98" s="147">
        <f>C98*2</f>
        <v>0</v>
      </c>
      <c r="H98" s="147">
        <v>24</v>
      </c>
      <c r="I98" s="147">
        <f>IF(N98="Road Rigid &gt; 17t",7.5,15)</f>
        <v>15</v>
      </c>
      <c r="J98" s="155">
        <v>50</v>
      </c>
      <c r="K98" s="29">
        <f>IF(N98="Road Rigid &gt; 17t",0.00098,0.00094)</f>
        <v>9.3999999999999997E-4</v>
      </c>
      <c r="L98" s="80">
        <f>J98*M98*K98*(1+O98/100)</f>
        <v>0</v>
      </c>
      <c r="M98" s="80">
        <f>IF($M$38&lt;&gt;0,ROUNDUP(G98/I98,0),ROUNDUP(G98/H98,0))</f>
        <v>0</v>
      </c>
      <c r="N98" s="80" t="s">
        <v>65</v>
      </c>
      <c r="O98" s="80">
        <v>100</v>
      </c>
      <c r="V98" s="100"/>
      <c r="W98" s="101"/>
      <c r="X98" s="101"/>
      <c r="Y98" s="102"/>
      <c r="AA98" s="66"/>
      <c r="AB98" s="66"/>
    </row>
    <row r="99" spans="1:28" ht="17.25" thickBot="1" x14ac:dyDescent="0.35">
      <c r="A99" s="39"/>
      <c r="B99" s="39"/>
      <c r="C99" s="39"/>
      <c r="D99" s="39"/>
      <c r="E99" s="40"/>
      <c r="K99" s="78"/>
      <c r="L99" s="36">
        <f>SUM(L96:L98)</f>
        <v>3.3464</v>
      </c>
      <c r="M99" s="36">
        <f>SUM(M96:M97)</f>
        <v>89</v>
      </c>
      <c r="N99" s="78"/>
      <c r="V99" s="117" t="s">
        <v>221</v>
      </c>
      <c r="W99" s="348" t="s">
        <v>234</v>
      </c>
      <c r="X99" s="348"/>
      <c r="Y99" s="118">
        <v>0.27</v>
      </c>
      <c r="Z99" s="71"/>
    </row>
    <row r="100" spans="1:28" x14ac:dyDescent="0.2">
      <c r="A100" s="39"/>
      <c r="B100" s="39"/>
      <c r="C100" s="39"/>
      <c r="D100" s="39"/>
      <c r="E100" s="40"/>
      <c r="K100" s="78"/>
      <c r="L100" s="78"/>
      <c r="M100" s="78"/>
      <c r="N100" s="78"/>
      <c r="AB100" s="66" t="e">
        <f>1-(X97/#REF!)</f>
        <v>#VALUE!</v>
      </c>
    </row>
    <row r="101" spans="1:28" ht="15" hidden="1" customHeight="1" x14ac:dyDescent="0.2">
      <c r="A101" s="39"/>
      <c r="B101" s="39"/>
      <c r="C101" s="39"/>
      <c r="D101" s="39"/>
      <c r="E101" s="40"/>
      <c r="K101" s="78"/>
      <c r="L101" s="17"/>
      <c r="M101" s="78"/>
      <c r="N101" s="78"/>
    </row>
    <row r="102" spans="1:28" ht="15" hidden="1" thickBot="1" x14ac:dyDescent="0.25">
      <c r="A102" s="39" t="s">
        <v>93</v>
      </c>
      <c r="B102" s="39" t="s">
        <v>69</v>
      </c>
      <c r="C102" s="39">
        <v>0</v>
      </c>
      <c r="D102" s="39" t="s">
        <v>11</v>
      </c>
      <c r="E102" s="39"/>
      <c r="F102" s="39" t="s">
        <v>25</v>
      </c>
      <c r="G102" s="39">
        <f>C102</f>
        <v>0</v>
      </c>
      <c r="H102" s="39">
        <v>24</v>
      </c>
      <c r="I102" s="39">
        <f>IF(N102="Road Rigid &gt; 17t",7.5,15)</f>
        <v>15</v>
      </c>
      <c r="J102" s="157">
        <v>20</v>
      </c>
      <c r="K102" s="165">
        <f>IF(N102="Road Rigid &gt; 17t",0.00122,0.0012)</f>
        <v>1.1999999999999999E-3</v>
      </c>
      <c r="L102" s="39">
        <f>J102*M102*K102*(1+O102/100)</f>
        <v>0</v>
      </c>
      <c r="M102" s="39">
        <f>IF($M$38&lt;&gt;0,ROUNDUP(G102/I102,0),ROUNDUP(G102/H102,0))</f>
        <v>0</v>
      </c>
      <c r="N102" s="39" t="s">
        <v>65</v>
      </c>
      <c r="O102" s="39">
        <v>100</v>
      </c>
      <c r="P102" s="39"/>
    </row>
    <row r="103" spans="1:28" ht="15" hidden="1" thickBot="1" x14ac:dyDescent="0.25">
      <c r="A103" s="39"/>
      <c r="B103" s="39"/>
      <c r="C103" s="39"/>
      <c r="D103" s="39"/>
      <c r="E103" s="40"/>
      <c r="F103" s="39"/>
      <c r="G103" s="39"/>
      <c r="H103" s="39"/>
      <c r="I103" s="39"/>
      <c r="J103" s="157"/>
      <c r="K103" s="39"/>
      <c r="L103" s="160">
        <f>SUM(L102)</f>
        <v>0</v>
      </c>
      <c r="M103" s="160">
        <f>SUM(M102)</f>
        <v>0</v>
      </c>
      <c r="N103" s="39"/>
      <c r="O103" s="39"/>
      <c r="P103" s="39"/>
    </row>
    <row r="104" spans="1:28" ht="15" hidden="1" thickBot="1" x14ac:dyDescent="0.25">
      <c r="A104" s="39"/>
      <c r="B104" s="39"/>
      <c r="C104" s="39"/>
      <c r="D104" s="39"/>
      <c r="E104" s="39"/>
      <c r="F104" s="39"/>
      <c r="G104" s="39"/>
      <c r="H104" s="39"/>
      <c r="I104" s="39"/>
      <c r="J104" s="157"/>
      <c r="K104" s="165"/>
      <c r="L104" s="39"/>
      <c r="M104" s="39"/>
      <c r="N104" s="39"/>
      <c r="O104" s="39"/>
      <c r="P104" s="39"/>
      <c r="V104" s="121"/>
      <c r="W104" s="121"/>
      <c r="X104" s="121"/>
      <c r="Y104" s="121"/>
    </row>
    <row r="105" spans="1:28" ht="48" hidden="1" thickBot="1" x14ac:dyDescent="0.25">
      <c r="A105" s="39"/>
      <c r="B105" s="39"/>
      <c r="C105" s="39"/>
      <c r="D105" s="39"/>
      <c r="E105" s="40"/>
      <c r="F105" s="39"/>
      <c r="G105" s="39"/>
      <c r="H105" s="39"/>
      <c r="I105" s="39"/>
      <c r="J105" s="157"/>
      <c r="K105" s="39"/>
      <c r="L105" s="158"/>
      <c r="M105" s="39"/>
      <c r="N105" s="39"/>
      <c r="O105" s="39"/>
      <c r="P105" s="39"/>
      <c r="U105" s="122"/>
      <c r="V105" s="104" t="s">
        <v>218</v>
      </c>
      <c r="W105" s="108" t="s">
        <v>219</v>
      </c>
      <c r="X105" s="123" t="s">
        <v>230</v>
      </c>
      <c r="Y105" s="124" t="s">
        <v>231</v>
      </c>
    </row>
    <row r="106" spans="1:28" ht="15" hidden="1" customHeight="1" thickBot="1" x14ac:dyDescent="0.25">
      <c r="A106" s="39" t="s">
        <v>94</v>
      </c>
      <c r="B106" s="39" t="s">
        <v>25</v>
      </c>
      <c r="C106" s="39" t="s">
        <v>25</v>
      </c>
      <c r="D106" s="39" t="s">
        <v>25</v>
      </c>
      <c r="E106" s="39" t="s">
        <v>25</v>
      </c>
      <c r="F106" s="39" t="s">
        <v>25</v>
      </c>
      <c r="G106" s="39" t="s">
        <v>25</v>
      </c>
      <c r="H106" s="39" t="s">
        <v>25</v>
      </c>
      <c r="I106" s="39" t="s">
        <v>25</v>
      </c>
      <c r="J106" s="157" t="s">
        <v>25</v>
      </c>
      <c r="K106" s="39" t="s">
        <v>25</v>
      </c>
      <c r="L106" s="39" t="s">
        <v>25</v>
      </c>
      <c r="M106" s="39" t="s">
        <v>25</v>
      </c>
      <c r="N106" s="39" t="s">
        <v>25</v>
      </c>
      <c r="O106" s="39" t="s">
        <v>25</v>
      </c>
      <c r="P106" s="39"/>
      <c r="U106" s="122"/>
      <c r="V106" s="130" t="s">
        <v>211</v>
      </c>
      <c r="W106" s="119">
        <v>4952.2054160000007</v>
      </c>
      <c r="X106" s="125">
        <f t="shared" ref="X106:X112" si="22">1-X90/W90</f>
        <v>0.46286464174885522</v>
      </c>
      <c r="Y106" s="126">
        <f>1-Z90/W90</f>
        <v>1</v>
      </c>
    </row>
    <row r="107" spans="1:28" ht="15" hidden="1" customHeight="1" thickBot="1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157"/>
      <c r="K107" s="39"/>
      <c r="L107" s="160">
        <f>SUM(L106)</f>
        <v>0</v>
      </c>
      <c r="M107" s="39">
        <v>0</v>
      </c>
      <c r="N107" s="39"/>
      <c r="O107" s="39"/>
      <c r="P107" s="39"/>
      <c r="U107" s="122"/>
      <c r="V107" s="106" t="s">
        <v>214</v>
      </c>
      <c r="W107" s="110">
        <v>282.07732620000002</v>
      </c>
      <c r="X107" s="125">
        <f t="shared" si="22"/>
        <v>2.5009002820845949E-2</v>
      </c>
      <c r="Y107" s="126">
        <f t="shared" ref="Y107:Y112" si="23">1-Z91/W91</f>
        <v>1</v>
      </c>
    </row>
    <row r="108" spans="1:28" ht="15" customHeight="1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157"/>
      <c r="K108" s="39"/>
      <c r="L108" s="39"/>
      <c r="M108" s="39"/>
      <c r="N108" s="39"/>
      <c r="O108" s="39"/>
      <c r="P108" s="39"/>
      <c r="U108" s="122"/>
      <c r="V108" s="106" t="s">
        <v>212</v>
      </c>
      <c r="W108" s="110">
        <v>327.0136</v>
      </c>
      <c r="X108" s="125">
        <f t="shared" si="22"/>
        <v>0.80707773471993338</v>
      </c>
      <c r="Y108" s="126">
        <f t="shared" si="23"/>
        <v>1</v>
      </c>
    </row>
    <row r="109" spans="1:28" ht="15" customHeight="1" x14ac:dyDescent="0.2">
      <c r="A109" s="39"/>
      <c r="B109" s="39"/>
      <c r="C109" s="39"/>
      <c r="D109" s="39"/>
      <c r="E109" s="39"/>
      <c r="N109" s="9"/>
      <c r="U109" s="122"/>
      <c r="V109" s="106" t="s">
        <v>215</v>
      </c>
      <c r="W109" s="110">
        <v>42.5</v>
      </c>
      <c r="X109" s="125">
        <f t="shared" si="22"/>
        <v>0.23376623376623373</v>
      </c>
      <c r="Y109" s="126">
        <f t="shared" si="23"/>
        <v>1</v>
      </c>
    </row>
    <row r="110" spans="1:28" ht="15" customHeight="1" thickBot="1" x14ac:dyDescent="0.25">
      <c r="A110" s="39"/>
      <c r="B110" s="41"/>
      <c r="C110" s="41"/>
      <c r="D110" s="41"/>
      <c r="E110" s="41"/>
      <c r="F110" s="349" t="s">
        <v>78</v>
      </c>
      <c r="G110" s="349"/>
      <c r="H110" s="349"/>
      <c r="I110" s="349"/>
      <c r="J110" s="350"/>
      <c r="N110" s="9"/>
      <c r="U110" s="122"/>
      <c r="V110" s="106" t="s">
        <v>217</v>
      </c>
      <c r="W110" s="110">
        <v>5.6320000000000006</v>
      </c>
      <c r="X110" s="125">
        <f t="shared" si="22"/>
        <v>0.17958005159658985</v>
      </c>
      <c r="Y110" s="126">
        <f t="shared" si="23"/>
        <v>1</v>
      </c>
    </row>
    <row r="111" spans="1:28" ht="15" customHeight="1" x14ac:dyDescent="0.2">
      <c r="A111" s="166" t="s">
        <v>33</v>
      </c>
      <c r="B111" s="167"/>
      <c r="C111" s="346" t="s">
        <v>82</v>
      </c>
      <c r="D111" s="347"/>
      <c r="E111" s="167"/>
      <c r="F111" s="22" t="s">
        <v>103</v>
      </c>
      <c r="G111" s="24" t="s">
        <v>102</v>
      </c>
      <c r="H111" s="24" t="s">
        <v>105</v>
      </c>
      <c r="I111" s="15" t="s">
        <v>2</v>
      </c>
      <c r="J111" s="2" t="s">
        <v>3</v>
      </c>
      <c r="N111" s="9"/>
      <c r="P111" s="61" t="s">
        <v>144</v>
      </c>
      <c r="Q111" s="61" t="s">
        <v>146</v>
      </c>
      <c r="R111" s="61" t="s">
        <v>145</v>
      </c>
      <c r="S111" s="61" t="s">
        <v>154</v>
      </c>
      <c r="T111" s="61" t="s">
        <v>147</v>
      </c>
      <c r="U111" s="122"/>
      <c r="V111" s="106" t="s">
        <v>213</v>
      </c>
      <c r="W111" s="110">
        <v>45.913284666666669</v>
      </c>
      <c r="X111" s="125">
        <f t="shared" si="22"/>
        <v>0.40951235992775292</v>
      </c>
      <c r="Y111" s="126">
        <f t="shared" si="23"/>
        <v>1</v>
      </c>
    </row>
    <row r="112" spans="1:28" ht="15" customHeight="1" thickBot="1" x14ac:dyDescent="0.25">
      <c r="A112" s="168"/>
      <c r="B112" s="169"/>
      <c r="C112" s="170"/>
      <c r="D112" s="171"/>
      <c r="E112" s="172"/>
      <c r="F112" s="6" t="s">
        <v>107</v>
      </c>
      <c r="G112" s="23" t="s">
        <v>104</v>
      </c>
      <c r="H112" s="6" t="s">
        <v>106</v>
      </c>
      <c r="I112" s="18" t="s">
        <v>34</v>
      </c>
      <c r="J112" s="6" t="s">
        <v>7</v>
      </c>
      <c r="N112" s="9"/>
      <c r="P112" s="61" t="s">
        <v>157</v>
      </c>
      <c r="Q112" s="61" t="s">
        <v>149</v>
      </c>
      <c r="R112" s="61" t="s">
        <v>148</v>
      </c>
      <c r="S112" s="61" t="s">
        <v>155</v>
      </c>
      <c r="T112" s="61" t="s">
        <v>150</v>
      </c>
      <c r="U112" s="122"/>
      <c r="V112" s="131" t="s">
        <v>210</v>
      </c>
      <c r="W112" s="120">
        <v>547.87199999999996</v>
      </c>
      <c r="X112" s="128">
        <f t="shared" si="22"/>
        <v>0.88322166387493017</v>
      </c>
      <c r="Y112" s="129">
        <f t="shared" si="23"/>
        <v>1</v>
      </c>
    </row>
    <row r="113" spans="1:25" ht="15" hidden="1" customHeight="1" x14ac:dyDescent="0.2">
      <c r="A113" s="147" t="s">
        <v>90</v>
      </c>
      <c r="B113" s="147" t="s">
        <v>264</v>
      </c>
      <c r="C113" s="147">
        <v>200</v>
      </c>
      <c r="D113" s="147" t="s">
        <v>11</v>
      </c>
      <c r="E113" s="147" t="s">
        <v>263</v>
      </c>
      <c r="F113" s="187">
        <f>E120/200</f>
        <v>23.475000000000001</v>
      </c>
      <c r="G113" s="9">
        <v>10</v>
      </c>
      <c r="H113" s="9">
        <v>150</v>
      </c>
      <c r="I113" s="9">
        <v>3.6669999999999998</v>
      </c>
      <c r="J113" s="13">
        <f>C113*(F113/H113)/G113*I113</f>
        <v>11.477709999999998</v>
      </c>
      <c r="N113" s="9"/>
      <c r="P113" s="9" t="s">
        <v>151</v>
      </c>
      <c r="Q113" s="75">
        <f>4952+282+98+43+20+0.5*(315+548)</f>
        <v>5826.5</v>
      </c>
      <c r="R113" s="75">
        <f>4952+282+98+43+20+1*(315+548)</f>
        <v>6258</v>
      </c>
      <c r="S113" s="54">
        <f>4952+282+98+43+20+1.5*(315+548)</f>
        <v>6689.5</v>
      </c>
      <c r="T113" s="75">
        <f>4952+282+98+43+20+2*(315+548)</f>
        <v>7121</v>
      </c>
      <c r="V113" s="100" t="s">
        <v>187</v>
      </c>
      <c r="W113" s="101" t="s">
        <v>223</v>
      </c>
      <c r="X113" s="103">
        <v>0.27</v>
      </c>
      <c r="Y113" s="103">
        <v>0.42</v>
      </c>
    </row>
    <row r="114" spans="1:25" ht="15" hidden="1" customHeight="1" x14ac:dyDescent="0.2">
      <c r="A114" s="147"/>
      <c r="B114" s="147" t="s">
        <v>108</v>
      </c>
      <c r="C114" s="147">
        <v>30</v>
      </c>
      <c r="D114" s="147" t="s">
        <v>11</v>
      </c>
      <c r="E114" s="147" t="s">
        <v>121</v>
      </c>
      <c r="F114" s="187">
        <f>E120/200</f>
        <v>23.475000000000001</v>
      </c>
      <c r="G114" s="9">
        <v>10</v>
      </c>
      <c r="H114" s="9">
        <v>150</v>
      </c>
      <c r="I114" s="9">
        <v>3.6669999999999998</v>
      </c>
      <c r="J114" s="13">
        <f>C114*(F114/H114)/G114*I114</f>
        <v>1.7216564999999999</v>
      </c>
      <c r="N114" s="9"/>
      <c r="P114" s="9" t="s">
        <v>152</v>
      </c>
      <c r="Q114" s="70">
        <f>3450+359+56+36+15+0.5*(35+501)</f>
        <v>4184</v>
      </c>
      <c r="R114" s="75">
        <f>3450+359+56+36+15+1*(35+501)</f>
        <v>4452</v>
      </c>
      <c r="S114" s="75">
        <f>3450+359+56+36+15+1.5*(35+501)</f>
        <v>4720</v>
      </c>
      <c r="T114" s="75">
        <f>3450+359+56+36+15+2*(35+501)</f>
        <v>4988</v>
      </c>
      <c r="V114" s="102"/>
      <c r="W114" s="102"/>
      <c r="X114" s="39"/>
      <c r="Y114" s="39"/>
    </row>
    <row r="115" spans="1:25" ht="15" hidden="1" customHeight="1" x14ac:dyDescent="0.3">
      <c r="A115" s="147"/>
      <c r="B115" s="147" t="s">
        <v>118</v>
      </c>
      <c r="C115" s="147">
        <v>20</v>
      </c>
      <c r="D115" s="147" t="s">
        <v>117</v>
      </c>
      <c r="E115" s="147"/>
      <c r="F115" s="187">
        <f>E120/200</f>
        <v>23.475000000000001</v>
      </c>
      <c r="G115" s="9">
        <v>10</v>
      </c>
      <c r="H115" s="9">
        <v>150</v>
      </c>
      <c r="I115" s="9">
        <v>3.6669999999999998</v>
      </c>
      <c r="J115" s="13">
        <f>C115*(F115/H115)/G115*I115</f>
        <v>1.1477709999999999</v>
      </c>
      <c r="N115" s="9"/>
      <c r="P115" s="9" t="s">
        <v>153</v>
      </c>
      <c r="Q115" s="54">
        <f>2618+319+78+35+20+0.5*(55+430)</f>
        <v>3312.5</v>
      </c>
      <c r="R115" s="75">
        <f>2618+319+78+35+20+1*(55+430)</f>
        <v>3555</v>
      </c>
      <c r="S115" s="75">
        <f>2618+319+78+35+20+1.5*(55+430)</f>
        <v>3797.5</v>
      </c>
      <c r="T115" s="75">
        <f t="shared" ref="T115" si="24">2618+319+78+35+20+0.5*(55+430)</f>
        <v>3312.5</v>
      </c>
      <c r="V115" s="117" t="s">
        <v>221</v>
      </c>
      <c r="W115" s="99"/>
      <c r="X115" s="127" t="s">
        <v>224</v>
      </c>
      <c r="Y115" s="127" t="s">
        <v>225</v>
      </c>
    </row>
    <row r="116" spans="1:25" s="196" customFormat="1" ht="15" hidden="1" customHeight="1" x14ac:dyDescent="0.25">
      <c r="A116" s="147"/>
      <c r="B116" s="147" t="s">
        <v>158</v>
      </c>
      <c r="C116" s="147">
        <v>22</v>
      </c>
      <c r="D116" s="147" t="s">
        <v>11</v>
      </c>
      <c r="E116" s="147"/>
      <c r="F116" s="187">
        <f>E120/200</f>
        <v>23.475000000000001</v>
      </c>
      <c r="G116" s="196">
        <v>10</v>
      </c>
      <c r="H116" s="196">
        <v>150</v>
      </c>
      <c r="I116" s="196">
        <v>3.6669999999999998</v>
      </c>
      <c r="J116" s="13">
        <f t="shared" ref="J116" si="25">C116*(F116/H116)/G116*I116</f>
        <v>1.2625480999999998</v>
      </c>
      <c r="V116" s="117"/>
      <c r="W116" s="99"/>
      <c r="X116" s="127"/>
      <c r="Y116" s="127"/>
    </row>
    <row r="117" spans="1:25" s="196" customFormat="1" ht="15" hidden="1" customHeight="1" x14ac:dyDescent="0.25">
      <c r="A117" s="147"/>
      <c r="B117" s="147" t="s">
        <v>81</v>
      </c>
      <c r="C117" s="147">
        <v>43</v>
      </c>
      <c r="D117" s="147" t="s">
        <v>11</v>
      </c>
      <c r="E117" s="147"/>
      <c r="F117" s="187">
        <f>E120/200</f>
        <v>23.475000000000001</v>
      </c>
      <c r="G117" s="196">
        <v>10</v>
      </c>
      <c r="H117" s="196">
        <v>150</v>
      </c>
      <c r="I117" s="196">
        <v>3.6669999999999998</v>
      </c>
      <c r="J117" s="13">
        <f>C117*(F117/H117)/G117*I117</f>
        <v>2.4677076499999995</v>
      </c>
      <c r="V117" s="117"/>
      <c r="W117" s="99"/>
      <c r="X117" s="127"/>
      <c r="Y117" s="127"/>
    </row>
    <row r="118" spans="1:25" hidden="1" x14ac:dyDescent="0.2">
      <c r="A118" s="147"/>
      <c r="B118" s="147" t="s">
        <v>159</v>
      </c>
      <c r="C118" s="147">
        <v>60</v>
      </c>
      <c r="D118" s="147" t="s">
        <v>11</v>
      </c>
      <c r="E118" s="147"/>
      <c r="F118" s="187">
        <f>E120/200</f>
        <v>23.475000000000001</v>
      </c>
      <c r="G118" s="57">
        <v>10</v>
      </c>
      <c r="H118" s="57">
        <v>150</v>
      </c>
      <c r="I118" s="57">
        <v>3.6669999999999998</v>
      </c>
      <c r="J118" s="13">
        <f>C118*(F118/H118)/G118*I118</f>
        <v>3.4433129999999998</v>
      </c>
      <c r="N118" s="9"/>
    </row>
    <row r="119" spans="1:25" s="72" customFormat="1" ht="15" hidden="1" thickBot="1" x14ac:dyDescent="0.25">
      <c r="A119" s="147"/>
      <c r="B119" s="147" t="s">
        <v>195</v>
      </c>
      <c r="C119" s="147">
        <v>18</v>
      </c>
      <c r="D119" s="147" t="s">
        <v>11</v>
      </c>
      <c r="E119" s="147"/>
      <c r="F119" s="187">
        <f>E120/200</f>
        <v>23.475000000000001</v>
      </c>
      <c r="G119" s="147">
        <v>10</v>
      </c>
      <c r="H119" s="147">
        <v>150</v>
      </c>
      <c r="I119" s="147">
        <v>3.6669999999999998</v>
      </c>
      <c r="J119" s="154">
        <f>C119*(F119/H119)/G119*I119</f>
        <v>1.0329938999999999</v>
      </c>
    </row>
    <row r="120" spans="1:25" s="57" customFormat="1" ht="15" hidden="1" thickBot="1" x14ac:dyDescent="0.25">
      <c r="A120" s="39"/>
      <c r="B120" s="39"/>
      <c r="C120" s="39"/>
      <c r="D120" s="39" t="s">
        <v>266</v>
      </c>
      <c r="E120" s="39">
        <f>1076 + 1366 + 2253</f>
        <v>4695</v>
      </c>
      <c r="F120" s="58"/>
      <c r="J120" s="36">
        <f>SUM(J113:J119)</f>
        <v>22.553700150000001</v>
      </c>
    </row>
    <row r="121" spans="1:25" x14ac:dyDescent="0.2">
      <c r="A121" s="39"/>
      <c r="B121" s="39"/>
      <c r="C121" s="39"/>
      <c r="D121" s="39"/>
      <c r="E121" s="39"/>
      <c r="F121" s="14"/>
      <c r="J121" s="9"/>
      <c r="N121" s="9"/>
    </row>
    <row r="122" spans="1:25" ht="14.25" hidden="1" customHeight="1" thickBot="1" x14ac:dyDescent="0.25">
      <c r="A122" s="39" t="s">
        <v>91</v>
      </c>
      <c r="B122" s="39" t="s">
        <v>79</v>
      </c>
      <c r="C122" s="39">
        <v>9</v>
      </c>
      <c r="D122" s="39" t="s">
        <v>11</v>
      </c>
      <c r="E122" s="39" t="s">
        <v>122</v>
      </c>
      <c r="F122" s="50"/>
      <c r="G122" s="39">
        <v>10</v>
      </c>
      <c r="H122" s="39">
        <v>150</v>
      </c>
      <c r="I122" s="39">
        <v>3.6669999999999998</v>
      </c>
      <c r="J122" s="49">
        <f>C122*(F122/H122)/G122*I122</f>
        <v>0</v>
      </c>
      <c r="N122" s="9"/>
    </row>
    <row r="123" spans="1:25" ht="34.5" hidden="1" customHeight="1" thickBot="1" x14ac:dyDescent="0.25">
      <c r="A123" s="39"/>
      <c r="B123" s="39" t="s">
        <v>80</v>
      </c>
      <c r="C123" s="39">
        <v>45</v>
      </c>
      <c r="D123" s="39" t="s">
        <v>11</v>
      </c>
      <c r="E123" s="39"/>
      <c r="F123" s="50"/>
      <c r="G123" s="39">
        <v>10</v>
      </c>
      <c r="H123" s="39">
        <v>150</v>
      </c>
      <c r="I123" s="39">
        <v>3.6669999999999998</v>
      </c>
      <c r="J123" s="49">
        <f t="shared" ref="J123:J128" si="26">C123*(F123/H123)/G123*I123</f>
        <v>0</v>
      </c>
      <c r="N123" s="9"/>
      <c r="V123" s="104" t="s">
        <v>218</v>
      </c>
      <c r="W123" s="108" t="s">
        <v>232</v>
      </c>
      <c r="X123" s="116" t="s">
        <v>233</v>
      </c>
      <c r="Y123" s="112" t="s">
        <v>222</v>
      </c>
    </row>
    <row r="124" spans="1:25" hidden="1" x14ac:dyDescent="0.2">
      <c r="A124" s="39"/>
      <c r="B124" s="39" t="s">
        <v>81</v>
      </c>
      <c r="C124" s="39">
        <v>43</v>
      </c>
      <c r="D124" s="39" t="s">
        <v>11</v>
      </c>
      <c r="E124" s="39"/>
      <c r="F124" s="50"/>
      <c r="G124" s="39">
        <v>10</v>
      </c>
      <c r="H124" s="39">
        <v>150</v>
      </c>
      <c r="I124" s="39">
        <v>3.6669999999999998</v>
      </c>
      <c r="J124" s="49">
        <f t="shared" si="26"/>
        <v>0</v>
      </c>
      <c r="N124" s="9"/>
      <c r="V124" s="105" t="s">
        <v>211</v>
      </c>
      <c r="W124" s="109">
        <f>B236</f>
        <v>0</v>
      </c>
      <c r="X124" s="109">
        <f>B237</f>
        <v>0</v>
      </c>
      <c r="Y124" s="113" t="e">
        <f>1-(X124/W124)</f>
        <v>#DIV/0!</v>
      </c>
    </row>
    <row r="125" spans="1:25" ht="15" hidden="1" thickBot="1" x14ac:dyDescent="0.25">
      <c r="A125" s="39"/>
      <c r="B125" s="39" t="s">
        <v>108</v>
      </c>
      <c r="C125" s="39">
        <v>30</v>
      </c>
      <c r="D125" s="39" t="s">
        <v>11</v>
      </c>
      <c r="E125" s="39" t="s">
        <v>121</v>
      </c>
      <c r="F125" s="50"/>
      <c r="G125" s="39">
        <v>10</v>
      </c>
      <c r="H125" s="39">
        <v>150</v>
      </c>
      <c r="I125" s="39">
        <v>3.6669999999999998</v>
      </c>
      <c r="J125" s="49">
        <f t="shared" ref="J125" si="27">C125*(F125/H125)/G125*I125</f>
        <v>0</v>
      </c>
      <c r="N125" s="9"/>
      <c r="V125" s="106" t="s">
        <v>214</v>
      </c>
      <c r="W125" s="110">
        <f>C236</f>
        <v>0</v>
      </c>
      <c r="X125" s="110">
        <f>C237</f>
        <v>0</v>
      </c>
      <c r="Y125" s="114" t="e">
        <f t="shared" ref="Y125:Y130" si="28">1-(X125/W125)</f>
        <v>#DIV/0!</v>
      </c>
    </row>
    <row r="126" spans="1:25" ht="15" hidden="1" thickBot="1" x14ac:dyDescent="0.25">
      <c r="A126" s="39"/>
      <c r="B126" s="39"/>
      <c r="C126" s="39"/>
      <c r="D126" s="39"/>
      <c r="E126" s="39"/>
      <c r="F126" s="39"/>
      <c r="G126" s="39"/>
      <c r="H126" s="39"/>
      <c r="I126" s="39"/>
      <c r="J126" s="160">
        <f>SUM(J122:J125)</f>
        <v>0</v>
      </c>
      <c r="N126" s="9"/>
      <c r="V126" s="106" t="s">
        <v>212</v>
      </c>
      <c r="W126" s="110">
        <f>E236</f>
        <v>0</v>
      </c>
      <c r="X126" s="110">
        <f>E237</f>
        <v>0</v>
      </c>
      <c r="Y126" s="114" t="e">
        <f t="shared" si="28"/>
        <v>#DIV/0!</v>
      </c>
    </row>
    <row r="127" spans="1:25" x14ac:dyDescent="0.2">
      <c r="A127" s="39"/>
      <c r="B127" s="39"/>
      <c r="C127" s="39"/>
      <c r="D127" s="39"/>
      <c r="E127" s="39"/>
      <c r="J127" s="13"/>
      <c r="N127" s="9"/>
      <c r="V127" s="106" t="s">
        <v>220</v>
      </c>
      <c r="W127" s="110">
        <f>F236</f>
        <v>0</v>
      </c>
      <c r="X127" s="110">
        <f>F237</f>
        <v>0</v>
      </c>
      <c r="Y127" s="114" t="e">
        <f t="shared" si="28"/>
        <v>#DIV/0!</v>
      </c>
    </row>
    <row r="128" spans="1:25" x14ac:dyDescent="0.2">
      <c r="A128" s="147" t="s">
        <v>92</v>
      </c>
      <c r="B128" s="147" t="s">
        <v>83</v>
      </c>
      <c r="C128" s="147">
        <v>140</v>
      </c>
      <c r="D128" s="147" t="s">
        <v>11</v>
      </c>
      <c r="E128" s="147"/>
      <c r="F128" s="187">
        <f>'MIP550-Verbauwand'!B3/'MIP550-Verbauwand'!B5</f>
        <v>20.176470588235293</v>
      </c>
      <c r="G128" s="9">
        <v>10</v>
      </c>
      <c r="H128" s="9">
        <v>150</v>
      </c>
      <c r="I128" s="9">
        <v>3.6669999999999998</v>
      </c>
      <c r="J128" s="13">
        <f t="shared" si="26"/>
        <v>6.9054643137254885</v>
      </c>
      <c r="N128" s="9"/>
      <c r="V128" s="106" t="s">
        <v>217</v>
      </c>
      <c r="W128" s="110">
        <f>G236</f>
        <v>0</v>
      </c>
      <c r="X128" s="110">
        <f>G237</f>
        <v>0</v>
      </c>
      <c r="Y128" s="114" t="e">
        <f t="shared" si="28"/>
        <v>#DIV/0!</v>
      </c>
    </row>
    <row r="129" spans="1:26" x14ac:dyDescent="0.2">
      <c r="A129" s="147"/>
      <c r="B129" s="147" t="s">
        <v>108</v>
      </c>
      <c r="C129" s="147">
        <v>30</v>
      </c>
      <c r="D129" s="147" t="s">
        <v>11</v>
      </c>
      <c r="E129" s="147" t="s">
        <v>121</v>
      </c>
      <c r="F129" s="187">
        <f>$F$128</f>
        <v>20.176470588235293</v>
      </c>
      <c r="G129" s="9">
        <v>10</v>
      </c>
      <c r="H129" s="9">
        <v>150</v>
      </c>
      <c r="I129" s="9">
        <v>3.6669999999999998</v>
      </c>
      <c r="J129" s="13">
        <f t="shared" ref="J129" si="29">C129*(F129/H129)/G129*I129</f>
        <v>1.4797423529411764</v>
      </c>
      <c r="N129" s="9"/>
      <c r="V129" s="106" t="s">
        <v>213</v>
      </c>
      <c r="W129" s="110">
        <f>H236</f>
        <v>0</v>
      </c>
      <c r="X129" s="110">
        <f>H237</f>
        <v>0</v>
      </c>
      <c r="Y129" s="114" t="e">
        <f t="shared" si="28"/>
        <v>#DIV/0!</v>
      </c>
    </row>
    <row r="130" spans="1:26" ht="15" thickBot="1" x14ac:dyDescent="0.25">
      <c r="A130" s="147"/>
      <c r="B130" s="147" t="s">
        <v>119</v>
      </c>
      <c r="C130" s="147">
        <v>20</v>
      </c>
      <c r="D130" s="147" t="s">
        <v>11</v>
      </c>
      <c r="E130" s="147"/>
      <c r="F130" s="187">
        <f>$F$128</f>
        <v>20.176470588235293</v>
      </c>
      <c r="G130" s="9">
        <v>10</v>
      </c>
      <c r="H130" s="9">
        <v>150</v>
      </c>
      <c r="I130" s="9">
        <v>3.6669999999999998</v>
      </c>
      <c r="J130" s="13">
        <f t="shared" ref="J130:J131" si="30">C130*(F130/H130)/G130*I130</f>
        <v>0.98649490196078415</v>
      </c>
      <c r="N130" s="9"/>
      <c r="R130" s="14"/>
      <c r="V130" s="107" t="s">
        <v>210</v>
      </c>
      <c r="W130" s="111">
        <f>I236</f>
        <v>0</v>
      </c>
      <c r="X130" s="111">
        <f>I237</f>
        <v>0</v>
      </c>
      <c r="Y130" s="115" t="e">
        <f t="shared" si="28"/>
        <v>#DIV/0!</v>
      </c>
    </row>
    <row r="131" spans="1:26" ht="16.5" x14ac:dyDescent="0.2">
      <c r="A131" s="147"/>
      <c r="B131" s="147" t="s">
        <v>158</v>
      </c>
      <c r="C131" s="147">
        <v>10</v>
      </c>
      <c r="D131" s="147" t="s">
        <v>11</v>
      </c>
      <c r="E131" s="147"/>
      <c r="F131" s="187">
        <f>$F$128</f>
        <v>20.176470588235293</v>
      </c>
      <c r="G131" s="57">
        <v>10</v>
      </c>
      <c r="H131" s="57">
        <v>150</v>
      </c>
      <c r="I131" s="57">
        <v>3.6669999999999998</v>
      </c>
      <c r="J131" s="13">
        <f t="shared" si="30"/>
        <v>0.49324745098039208</v>
      </c>
      <c r="N131" s="9"/>
      <c r="R131" s="14"/>
      <c r="V131" s="100" t="s">
        <v>187</v>
      </c>
      <c r="W131" s="101" t="s">
        <v>228</v>
      </c>
      <c r="X131" s="101" t="s">
        <v>229</v>
      </c>
      <c r="Y131" s="102"/>
    </row>
    <row r="132" spans="1:26" s="75" customFormat="1" ht="15" x14ac:dyDescent="0.2">
      <c r="A132" s="147"/>
      <c r="B132" s="147">
        <v>0</v>
      </c>
      <c r="C132" s="147">
        <v>0</v>
      </c>
      <c r="D132" s="147" t="s">
        <v>11</v>
      </c>
      <c r="E132" s="147"/>
      <c r="F132" s="187">
        <v>0</v>
      </c>
      <c r="G132" s="75">
        <v>10</v>
      </c>
      <c r="H132" s="75">
        <v>150</v>
      </c>
      <c r="I132" s="75">
        <v>3.6669999999999998</v>
      </c>
      <c r="J132" s="13">
        <f>C132*(F132/H132)/G132*I132</f>
        <v>0</v>
      </c>
      <c r="R132" s="74"/>
      <c r="V132" s="100"/>
      <c r="W132" s="101"/>
      <c r="X132" s="101"/>
      <c r="Y132" s="102"/>
    </row>
    <row r="133" spans="1:26" s="80" customFormat="1" ht="16.5" x14ac:dyDescent="0.3">
      <c r="A133" s="147"/>
      <c r="B133" s="147" t="s">
        <v>209</v>
      </c>
      <c r="C133" s="147">
        <v>50</v>
      </c>
      <c r="D133" s="147" t="s">
        <v>11</v>
      </c>
      <c r="E133" s="147"/>
      <c r="F133" s="187">
        <f>$F$128</f>
        <v>20.176470588235293</v>
      </c>
      <c r="G133" s="80">
        <v>10</v>
      </c>
      <c r="H133" s="80">
        <v>150</v>
      </c>
      <c r="I133" s="80">
        <v>3.6669999999999998</v>
      </c>
      <c r="J133" s="13">
        <f>C133*(F133/H133)/G133*I133</f>
        <v>2.4662372549019604</v>
      </c>
      <c r="R133" s="81"/>
      <c r="V133" s="117" t="s">
        <v>221</v>
      </c>
      <c r="W133" s="348" t="s">
        <v>226</v>
      </c>
      <c r="X133" s="348"/>
      <c r="Y133" s="118">
        <v>0.46</v>
      </c>
    </row>
    <row r="134" spans="1:26" s="80" customFormat="1" ht="15" thickBot="1" x14ac:dyDescent="0.25">
      <c r="A134" s="147"/>
      <c r="B134" s="147" t="s">
        <v>81</v>
      </c>
      <c r="C134" s="147">
        <v>20</v>
      </c>
      <c r="D134" s="147" t="s">
        <v>11</v>
      </c>
      <c r="E134" s="147"/>
      <c r="F134" s="187">
        <f>$F$128</f>
        <v>20.176470588235293</v>
      </c>
      <c r="G134" s="80">
        <v>10</v>
      </c>
      <c r="H134" s="80">
        <v>150</v>
      </c>
      <c r="I134" s="80">
        <v>3.6669999999999998</v>
      </c>
      <c r="J134" s="13">
        <f>C134*(F134/H134)/G134*I134</f>
        <v>0.98649490196078415</v>
      </c>
      <c r="R134" s="81"/>
      <c r="V134" s="13"/>
    </row>
    <row r="135" spans="1:26" s="57" customFormat="1" ht="15" thickBot="1" x14ac:dyDescent="0.25">
      <c r="A135" s="39"/>
      <c r="B135" s="39"/>
      <c r="C135" s="39"/>
      <c r="D135" s="39"/>
      <c r="F135" s="58"/>
      <c r="J135" s="36">
        <f>SUM(J128:J134)</f>
        <v>13.317681176470586</v>
      </c>
      <c r="R135" s="58"/>
      <c r="V135" s="13"/>
      <c r="W135" s="88">
        <f>SUM(W124:W130)</f>
        <v>0</v>
      </c>
      <c r="X135" s="88">
        <f>SUM(X124:X130)</f>
        <v>0</v>
      </c>
      <c r="Y135" s="88">
        <f>W135-X135</f>
        <v>0</v>
      </c>
      <c r="Z135" s="57" t="e">
        <f>1-(X135/W135)</f>
        <v>#DIV/0!</v>
      </c>
    </row>
    <row r="136" spans="1:26" hidden="1" x14ac:dyDescent="0.2">
      <c r="A136" s="39"/>
      <c r="B136" s="39"/>
      <c r="C136" s="39"/>
      <c r="D136" s="39"/>
      <c r="E136" s="39"/>
      <c r="F136" s="14"/>
      <c r="J136" s="13"/>
      <c r="N136" s="9"/>
    </row>
    <row r="137" spans="1:26" hidden="1" x14ac:dyDescent="0.2">
      <c r="A137" s="39" t="s">
        <v>93</v>
      </c>
      <c r="B137" s="39" t="s">
        <v>88</v>
      </c>
      <c r="C137" s="39">
        <v>0</v>
      </c>
      <c r="D137" s="39" t="s">
        <v>11</v>
      </c>
      <c r="E137" s="39"/>
      <c r="F137" s="50">
        <f>ROUNDUP($C$172/40,0)</f>
        <v>0</v>
      </c>
      <c r="G137" s="39">
        <v>10</v>
      </c>
      <c r="H137" s="39">
        <v>150</v>
      </c>
      <c r="I137" s="39">
        <v>3.6669999999999998</v>
      </c>
      <c r="J137" s="49">
        <f>C137*(F137/H137)/G137*I137</f>
        <v>0</v>
      </c>
      <c r="N137" s="9"/>
    </row>
    <row r="138" spans="1:26" hidden="1" x14ac:dyDescent="0.2">
      <c r="A138" s="39"/>
      <c r="B138" s="39" t="s">
        <v>89</v>
      </c>
      <c r="C138" s="39">
        <v>0</v>
      </c>
      <c r="D138" s="39" t="s">
        <v>11</v>
      </c>
      <c r="E138" s="39"/>
      <c r="F138" s="50">
        <f>ROUND($C$172/40,0)</f>
        <v>0</v>
      </c>
      <c r="G138" s="39">
        <v>10</v>
      </c>
      <c r="H138" s="39">
        <v>150</v>
      </c>
      <c r="I138" s="39">
        <v>3.6669999999999998</v>
      </c>
      <c r="J138" s="49">
        <f>C138*(F138/H138)/G138*I138</f>
        <v>0</v>
      </c>
      <c r="N138" s="9"/>
    </row>
    <row r="139" spans="1:26" hidden="1" x14ac:dyDescent="0.2">
      <c r="A139" s="39"/>
      <c r="B139" s="39" t="s">
        <v>108</v>
      </c>
      <c r="C139" s="39">
        <v>0</v>
      </c>
      <c r="D139" s="39" t="s">
        <v>11</v>
      </c>
      <c r="E139" s="39" t="s">
        <v>121</v>
      </c>
      <c r="F139" s="50">
        <f>ROUND($C$172/40,0)</f>
        <v>0</v>
      </c>
      <c r="G139" s="39">
        <v>10</v>
      </c>
      <c r="H139" s="39">
        <v>150</v>
      </c>
      <c r="I139" s="39">
        <v>3.6669999999999998</v>
      </c>
      <c r="J139" s="49">
        <f t="shared" ref="J139" si="31">C139*(F139/H139)/G139*I139</f>
        <v>0</v>
      </c>
      <c r="N139" s="9"/>
    </row>
    <row r="140" spans="1:26" ht="15" hidden="1" thickBot="1" x14ac:dyDescent="0.25">
      <c r="A140" s="39"/>
      <c r="B140" s="39" t="s">
        <v>119</v>
      </c>
      <c r="C140" s="39">
        <v>0</v>
      </c>
      <c r="D140" s="39" t="s">
        <v>11</v>
      </c>
      <c r="E140" s="39"/>
      <c r="F140" s="50">
        <f>ROUND($C$172/40,0)</f>
        <v>0</v>
      </c>
      <c r="G140" s="39">
        <v>10</v>
      </c>
      <c r="H140" s="39">
        <v>150</v>
      </c>
      <c r="I140" s="39">
        <v>3.6669999999999998</v>
      </c>
      <c r="J140" s="49">
        <f t="shared" ref="J140" si="32">C140*(F140/H140)/G140*I140</f>
        <v>0</v>
      </c>
      <c r="N140" s="9"/>
    </row>
    <row r="141" spans="1:26" ht="15" hidden="1" thickBot="1" x14ac:dyDescent="0.25">
      <c r="A141" s="39"/>
      <c r="B141" s="39"/>
      <c r="C141" s="39"/>
      <c r="D141" s="39"/>
      <c r="E141" s="39"/>
      <c r="F141" s="50"/>
      <c r="G141" s="39"/>
      <c r="H141" s="39"/>
      <c r="I141" s="39"/>
      <c r="J141" s="160">
        <f>J137+J138+J139+J140</f>
        <v>0</v>
      </c>
      <c r="N141" s="9"/>
    </row>
    <row r="142" spans="1:26" hidden="1" x14ac:dyDescent="0.2">
      <c r="A142" s="39"/>
      <c r="B142" s="39"/>
      <c r="C142" s="39"/>
      <c r="D142" s="39"/>
      <c r="E142" s="40"/>
      <c r="F142" s="39"/>
      <c r="G142" s="39"/>
      <c r="H142" s="39"/>
      <c r="I142" s="39"/>
      <c r="J142" s="39"/>
      <c r="K142" s="78"/>
      <c r="N142" s="9"/>
    </row>
    <row r="143" spans="1:26" hidden="1" x14ac:dyDescent="0.2">
      <c r="A143" s="39" t="s">
        <v>94</v>
      </c>
      <c r="B143" s="39" t="s">
        <v>120</v>
      </c>
      <c r="C143" s="39">
        <v>0</v>
      </c>
      <c r="D143" s="39" t="s">
        <v>11</v>
      </c>
      <c r="E143" s="39"/>
      <c r="F143" s="39">
        <f>ROUNDUP($C$177/40,0)</f>
        <v>0</v>
      </c>
      <c r="G143" s="39">
        <v>10</v>
      </c>
      <c r="H143" s="39">
        <v>150</v>
      </c>
      <c r="I143" s="39">
        <v>3.6669999999999998</v>
      </c>
      <c r="J143" s="49">
        <f>C143*(F143/H143)/G143*I143</f>
        <v>0</v>
      </c>
      <c r="N143" s="9"/>
    </row>
    <row r="144" spans="1:26" hidden="1" x14ac:dyDescent="0.2">
      <c r="A144" s="39"/>
      <c r="B144" s="39" t="s">
        <v>108</v>
      </c>
      <c r="C144" s="39">
        <v>0</v>
      </c>
      <c r="D144" s="39" t="s">
        <v>11</v>
      </c>
      <c r="E144" s="39" t="s">
        <v>121</v>
      </c>
      <c r="F144" s="39">
        <f>ROUNDUP($C$177/40,0)</f>
        <v>0</v>
      </c>
      <c r="G144" s="39">
        <v>10</v>
      </c>
      <c r="H144" s="39">
        <v>150</v>
      </c>
      <c r="I144" s="39">
        <v>3.6669999999999998</v>
      </c>
      <c r="J144" s="49">
        <f t="shared" ref="J144" si="33">C144*(F144/H144)/G144*I144</f>
        <v>0</v>
      </c>
      <c r="N144" s="9"/>
    </row>
    <row r="145" spans="1:14" ht="15" hidden="1" thickBot="1" x14ac:dyDescent="0.25">
      <c r="A145" s="39"/>
      <c r="B145" s="39" t="s">
        <v>119</v>
      </c>
      <c r="C145" s="39">
        <v>0</v>
      </c>
      <c r="D145" s="39" t="s">
        <v>11</v>
      </c>
      <c r="E145" s="39"/>
      <c r="F145" s="39">
        <f>ROUNDUP($C$177/40,0)</f>
        <v>0</v>
      </c>
      <c r="G145" s="39">
        <v>10</v>
      </c>
      <c r="H145" s="39">
        <v>150</v>
      </c>
      <c r="I145" s="39">
        <v>3.6669999999999998</v>
      </c>
      <c r="J145" s="49">
        <f t="shared" ref="J145" si="34">C145*(F145/H145)/G145*I145</f>
        <v>0</v>
      </c>
      <c r="N145" s="9"/>
    </row>
    <row r="146" spans="1:14" ht="15" hidden="1" thickBot="1" x14ac:dyDescent="0.25">
      <c r="A146" s="39"/>
      <c r="B146" s="39"/>
      <c r="C146" s="39">
        <v>0</v>
      </c>
      <c r="D146" s="39"/>
      <c r="E146" s="39"/>
      <c r="F146" s="39"/>
      <c r="G146" s="39"/>
      <c r="H146" s="39"/>
      <c r="I146" s="39"/>
      <c r="J146" s="160">
        <f>J143+J144+J145</f>
        <v>0</v>
      </c>
      <c r="N146" s="9"/>
    </row>
    <row r="147" spans="1:14" x14ac:dyDescent="0.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78"/>
      <c r="L147" s="78"/>
      <c r="N147" s="9"/>
    </row>
    <row r="148" spans="1:14" x14ac:dyDescent="0.2">
      <c r="A148" s="39"/>
      <c r="B148" s="39"/>
      <c r="C148" s="39"/>
      <c r="D148" s="39"/>
      <c r="E148" s="40"/>
      <c r="J148" s="78"/>
      <c r="K148" s="78"/>
      <c r="L148" s="78"/>
      <c r="N148" s="9"/>
    </row>
    <row r="149" spans="1:14" ht="18.75" thickBot="1" x14ac:dyDescent="0.25">
      <c r="A149" s="39"/>
      <c r="B149" s="41"/>
      <c r="C149" s="41"/>
      <c r="D149" s="41"/>
      <c r="E149" s="41"/>
      <c r="F149" s="349" t="s">
        <v>162</v>
      </c>
      <c r="G149" s="349"/>
      <c r="H149" s="349"/>
      <c r="I149" s="349"/>
      <c r="J149" s="350"/>
      <c r="N149" s="9"/>
    </row>
    <row r="150" spans="1:14" ht="42.75" x14ac:dyDescent="0.2">
      <c r="A150" s="166" t="s">
        <v>33</v>
      </c>
      <c r="B150" s="167"/>
      <c r="C150" s="346"/>
      <c r="D150" s="347"/>
      <c r="E150" s="167" t="s">
        <v>196</v>
      </c>
      <c r="F150" s="167" t="s">
        <v>95</v>
      </c>
      <c r="G150" s="24" t="s">
        <v>97</v>
      </c>
      <c r="H150" s="24" t="s">
        <v>99</v>
      </c>
      <c r="I150" s="2" t="s">
        <v>101</v>
      </c>
      <c r="J150" s="25" t="s">
        <v>100</v>
      </c>
      <c r="K150" s="15" t="s">
        <v>2</v>
      </c>
      <c r="L150" s="2" t="s">
        <v>3</v>
      </c>
      <c r="N150" s="9"/>
    </row>
    <row r="151" spans="1:14" ht="16.5" thickBot="1" x14ac:dyDescent="0.25">
      <c r="A151" s="168"/>
      <c r="B151" s="169"/>
      <c r="C151" s="170"/>
      <c r="D151" s="171"/>
      <c r="E151" s="172"/>
      <c r="F151" s="169"/>
      <c r="G151" s="6"/>
      <c r="H151" s="6"/>
      <c r="I151" s="6"/>
      <c r="J151" s="19"/>
      <c r="K151" s="18" t="s">
        <v>109</v>
      </c>
      <c r="L151" s="6" t="s">
        <v>7</v>
      </c>
      <c r="N151" s="9"/>
    </row>
    <row r="152" spans="1:14" hidden="1" x14ac:dyDescent="0.2">
      <c r="A152" s="147" t="s">
        <v>90</v>
      </c>
      <c r="B152" s="147" t="s">
        <v>86</v>
      </c>
      <c r="C152" s="147"/>
      <c r="D152" s="147" t="s">
        <v>87</v>
      </c>
      <c r="E152" s="147"/>
      <c r="F152" s="147"/>
      <c r="G152" s="84">
        <f>F113</f>
        <v>23.475000000000001</v>
      </c>
      <c r="J152" s="9"/>
      <c r="N152" s="9"/>
    </row>
    <row r="153" spans="1:14" hidden="1" x14ac:dyDescent="0.2">
      <c r="A153" s="147"/>
      <c r="B153" s="147" t="s">
        <v>267</v>
      </c>
      <c r="C153" s="156">
        <f>G152*430</f>
        <v>10094.25</v>
      </c>
      <c r="D153" s="147" t="s">
        <v>70</v>
      </c>
      <c r="E153" s="147" t="s">
        <v>274</v>
      </c>
      <c r="F153" s="147"/>
      <c r="J153" s="9"/>
      <c r="K153" s="9">
        <v>3.2</v>
      </c>
      <c r="L153" s="13">
        <f>C153*K153/1000</f>
        <v>32.301600000000001</v>
      </c>
      <c r="N153" s="9"/>
    </row>
    <row r="154" spans="1:14" s="196" customFormat="1" hidden="1" x14ac:dyDescent="0.2">
      <c r="A154" s="147"/>
      <c r="B154" s="147" t="s">
        <v>271</v>
      </c>
      <c r="C154" s="156">
        <f>G152*50</f>
        <v>1173.75</v>
      </c>
      <c r="D154" s="147"/>
      <c r="E154" s="147" t="s">
        <v>273</v>
      </c>
      <c r="F154" s="147"/>
      <c r="K154" s="196">
        <v>3.2</v>
      </c>
      <c r="L154" s="13">
        <f>C154*K154/1000</f>
        <v>3.7559999999999998</v>
      </c>
    </row>
    <row r="155" spans="1:14" s="196" customFormat="1" hidden="1" x14ac:dyDescent="0.2">
      <c r="A155" s="147"/>
      <c r="B155" s="147" t="s">
        <v>272</v>
      </c>
      <c r="C155" s="156">
        <f>G152*135</f>
        <v>3169.125</v>
      </c>
      <c r="D155" s="147"/>
      <c r="E155" s="147" t="s">
        <v>275</v>
      </c>
      <c r="F155" s="147"/>
      <c r="K155" s="196">
        <v>3.2</v>
      </c>
      <c r="L155" s="13">
        <f t="shared" ref="L155" si="35">C155*K155/1000</f>
        <v>10.141200000000001</v>
      </c>
    </row>
    <row r="156" spans="1:14" ht="15" hidden="1" thickBot="1" x14ac:dyDescent="0.25">
      <c r="A156" s="147"/>
      <c r="B156" s="147" t="s">
        <v>160</v>
      </c>
      <c r="C156" s="147">
        <f>G152*10*F156</f>
        <v>23475</v>
      </c>
      <c r="D156" s="147" t="s">
        <v>143</v>
      </c>
      <c r="E156" s="147"/>
      <c r="F156" s="147">
        <v>100</v>
      </c>
      <c r="G156" s="9" t="s">
        <v>161</v>
      </c>
      <c r="J156" s="9"/>
      <c r="K156" s="9">
        <v>0.501</v>
      </c>
      <c r="L156" s="13">
        <f>C156*K156/1000</f>
        <v>11.760975</v>
      </c>
      <c r="N156" s="9"/>
    </row>
    <row r="157" spans="1:14" ht="15" hidden="1" thickBot="1" x14ac:dyDescent="0.25">
      <c r="A157" s="39"/>
      <c r="C157" s="39"/>
      <c r="D157" s="39"/>
      <c r="E157" s="39"/>
      <c r="J157" s="9"/>
      <c r="L157" s="36">
        <f>SUM(L153:L156)</f>
        <v>57.959775000000008</v>
      </c>
      <c r="N157" s="9"/>
    </row>
    <row r="158" spans="1:14" s="57" customFormat="1" hidden="1" x14ac:dyDescent="0.2">
      <c r="A158" s="39"/>
      <c r="B158" s="39"/>
      <c r="C158" s="39"/>
      <c r="D158" s="39"/>
      <c r="E158" s="39"/>
      <c r="L158" s="13"/>
    </row>
    <row r="159" spans="1:14" hidden="1" x14ac:dyDescent="0.2">
      <c r="A159" s="39" t="s">
        <v>91</v>
      </c>
      <c r="B159" s="39" t="s">
        <v>86</v>
      </c>
      <c r="C159" s="39">
        <v>0</v>
      </c>
      <c r="D159" s="39" t="s">
        <v>87</v>
      </c>
      <c r="E159" s="39"/>
      <c r="G159" s="14">
        <f>ROUNDUP(C13/(10*90),0)</f>
        <v>0</v>
      </c>
      <c r="J159" s="9"/>
      <c r="N159" s="9"/>
    </row>
    <row r="160" spans="1:14" hidden="1" x14ac:dyDescent="0.2">
      <c r="A160" s="39"/>
      <c r="B160" s="39" t="s">
        <v>85</v>
      </c>
      <c r="C160" s="50">
        <v>0</v>
      </c>
      <c r="D160" s="39" t="s">
        <v>70</v>
      </c>
      <c r="E160" s="39"/>
      <c r="J160" s="9"/>
      <c r="K160" s="57">
        <v>3.25</v>
      </c>
      <c r="L160" s="13">
        <f>C160*K160/1000</f>
        <v>0</v>
      </c>
      <c r="N160" s="9"/>
    </row>
    <row r="161" spans="1:17" ht="15" hidden="1" thickBot="1" x14ac:dyDescent="0.25">
      <c r="A161" s="39"/>
      <c r="B161" s="39"/>
      <c r="C161" s="50">
        <v>0</v>
      </c>
      <c r="D161" s="39"/>
      <c r="E161" s="39" t="s">
        <v>123</v>
      </c>
      <c r="H161" s="9">
        <v>150</v>
      </c>
      <c r="J161" s="9">
        <f>0.18*150*(G159*10)</f>
        <v>0</v>
      </c>
      <c r="K161" s="57">
        <v>0.501</v>
      </c>
      <c r="L161" s="13">
        <f>C161*K161/1000</f>
        <v>0</v>
      </c>
      <c r="N161" s="9"/>
    </row>
    <row r="162" spans="1:17" s="57" customFormat="1" ht="15" hidden="1" thickBot="1" x14ac:dyDescent="0.25">
      <c r="A162" s="39"/>
      <c r="B162" s="39"/>
      <c r="C162" s="50"/>
      <c r="D162" s="39"/>
      <c r="E162" s="39"/>
      <c r="L162" s="36">
        <f>L160+L161</f>
        <v>0</v>
      </c>
    </row>
    <row r="163" spans="1:17" hidden="1" x14ac:dyDescent="0.2">
      <c r="A163" s="39"/>
      <c r="B163" s="39"/>
      <c r="C163" s="39"/>
      <c r="D163" s="39"/>
      <c r="E163" s="39"/>
      <c r="J163" s="9"/>
      <c r="N163" s="9"/>
    </row>
    <row r="164" spans="1:17" x14ac:dyDescent="0.2">
      <c r="A164" s="147" t="s">
        <v>92</v>
      </c>
      <c r="B164" s="147" t="s">
        <v>86</v>
      </c>
      <c r="C164" s="147"/>
      <c r="D164" s="147" t="s">
        <v>87</v>
      </c>
      <c r="E164" s="147"/>
      <c r="F164" s="147"/>
      <c r="G164" s="156">
        <f>F128</f>
        <v>20.176470588235293</v>
      </c>
      <c r="J164" s="9"/>
      <c r="N164" s="9"/>
    </row>
    <row r="165" spans="1:17" x14ac:dyDescent="0.2">
      <c r="A165" s="147"/>
      <c r="B165" s="147" t="s">
        <v>339</v>
      </c>
      <c r="C165" s="156">
        <f>F165*G164</f>
        <v>15132.35294117647</v>
      </c>
      <c r="D165" s="147" t="s">
        <v>70</v>
      </c>
      <c r="E165" s="147" t="s">
        <v>268</v>
      </c>
      <c r="F165" s="156">
        <f>'MIP550-Verbauwand'!B15</f>
        <v>750</v>
      </c>
      <c r="J165" s="9"/>
      <c r="K165" s="57">
        <v>3.2</v>
      </c>
      <c r="L165" s="13">
        <f>C165*K165/1000</f>
        <v>48.423529411764704</v>
      </c>
      <c r="N165" s="9"/>
    </row>
    <row r="166" spans="1:17" s="196" customFormat="1" x14ac:dyDescent="0.2">
      <c r="A166" s="147"/>
      <c r="B166" s="147"/>
      <c r="C166" s="156"/>
      <c r="D166" s="147"/>
      <c r="E166" s="147" t="s">
        <v>269</v>
      </c>
      <c r="F166" s="147"/>
      <c r="G166" s="147"/>
      <c r="K166" s="196">
        <v>3.2</v>
      </c>
      <c r="L166" s="13"/>
    </row>
    <row r="167" spans="1:17" s="196" customFormat="1" x14ac:dyDescent="0.2">
      <c r="A167" s="147"/>
      <c r="B167" s="147"/>
      <c r="C167" s="156"/>
      <c r="D167" s="147"/>
      <c r="E167" s="147" t="s">
        <v>275</v>
      </c>
      <c r="F167" s="147"/>
      <c r="G167" s="147"/>
      <c r="K167" s="196">
        <v>3.2</v>
      </c>
      <c r="L167" s="13"/>
    </row>
    <row r="168" spans="1:17" s="57" customFormat="1" ht="15" thickBot="1" x14ac:dyDescent="0.25">
      <c r="A168" s="147"/>
      <c r="B168" s="147" t="s">
        <v>160</v>
      </c>
      <c r="C168" s="156">
        <f>G164*10*F168</f>
        <v>16141.176470588234</v>
      </c>
      <c r="D168" s="147" t="s">
        <v>143</v>
      </c>
      <c r="E168" s="147"/>
      <c r="F168" s="156">
        <f>'MIP550-Verbauwand'!B17</f>
        <v>80</v>
      </c>
      <c r="G168" s="147" t="s">
        <v>161</v>
      </c>
      <c r="K168" s="57">
        <v>0.501</v>
      </c>
      <c r="L168" s="13">
        <f>C168*K168/1000</f>
        <v>8.0867294117647059</v>
      </c>
    </row>
    <row r="169" spans="1:17" s="57" customFormat="1" ht="15" thickBot="1" x14ac:dyDescent="0.25">
      <c r="A169" s="39"/>
      <c r="B169" s="39"/>
      <c r="D169" s="39"/>
      <c r="E169" s="39"/>
      <c r="L169" s="36">
        <f>SUM(L165:L168)</f>
        <v>56.510258823529412</v>
      </c>
      <c r="Q169" s="57" t="s">
        <v>186</v>
      </c>
    </row>
    <row r="170" spans="1:17" x14ac:dyDescent="0.2">
      <c r="A170" s="39"/>
      <c r="B170" s="39"/>
      <c r="C170" s="39"/>
      <c r="D170" s="39"/>
      <c r="E170" s="39"/>
      <c r="J170" s="9"/>
      <c r="L170" s="13"/>
      <c r="N170" s="9"/>
    </row>
    <row r="171" spans="1:17" hidden="1" x14ac:dyDescent="0.2">
      <c r="A171" s="39"/>
      <c r="B171" s="39"/>
      <c r="C171" s="39"/>
      <c r="D171" s="39"/>
      <c r="E171" s="39"/>
      <c r="J171" s="9"/>
      <c r="L171" s="13"/>
      <c r="N171" s="9"/>
    </row>
    <row r="172" spans="1:17" hidden="1" x14ac:dyDescent="0.2">
      <c r="A172" s="39" t="s">
        <v>93</v>
      </c>
      <c r="B172" s="39" t="s">
        <v>86</v>
      </c>
      <c r="C172" s="50">
        <v>0</v>
      </c>
      <c r="D172" s="39" t="s">
        <v>87</v>
      </c>
      <c r="E172" s="39" t="s">
        <v>96</v>
      </c>
      <c r="F172" s="30">
        <f>2/3</f>
        <v>0.66666666666666663</v>
      </c>
      <c r="G172" s="82">
        <f>ROUNDUP($C$172/40,0)</f>
        <v>0</v>
      </c>
      <c r="J172" s="9"/>
      <c r="N172" s="9"/>
    </row>
    <row r="173" spans="1:17" hidden="1" x14ac:dyDescent="0.2">
      <c r="A173" s="39"/>
      <c r="B173" s="39" t="s">
        <v>85</v>
      </c>
      <c r="C173" s="50">
        <v>0</v>
      </c>
      <c r="D173" s="39" t="s">
        <v>70</v>
      </c>
      <c r="E173" s="39"/>
      <c r="J173" s="9"/>
      <c r="K173" s="57">
        <v>3.25</v>
      </c>
      <c r="L173" s="13">
        <f>C173*K173/1000</f>
        <v>0</v>
      </c>
      <c r="N173" s="9"/>
    </row>
    <row r="174" spans="1:17" ht="15" hidden="1" thickBot="1" x14ac:dyDescent="0.25">
      <c r="A174" s="39"/>
      <c r="B174" s="39"/>
      <c r="C174" s="39">
        <v>0</v>
      </c>
      <c r="D174" s="39" t="s">
        <v>143</v>
      </c>
      <c r="E174" s="39" t="s">
        <v>98</v>
      </c>
      <c r="F174" s="9">
        <v>47</v>
      </c>
      <c r="G174" s="68" t="s">
        <v>185</v>
      </c>
      <c r="H174" s="9">
        <v>500</v>
      </c>
      <c r="I174" s="31">
        <v>0.2</v>
      </c>
      <c r="J174" s="14">
        <f>0.18*H174*I174*10*$G$172</f>
        <v>0</v>
      </c>
      <c r="K174" s="57">
        <v>0.501</v>
      </c>
      <c r="L174" s="13">
        <f>C174*K174/1000</f>
        <v>0</v>
      </c>
      <c r="N174" s="9"/>
    </row>
    <row r="175" spans="1:17" ht="15" hidden="1" thickBot="1" x14ac:dyDescent="0.25">
      <c r="A175" s="39"/>
      <c r="B175" s="39"/>
      <c r="C175" s="39"/>
      <c r="D175" s="39"/>
      <c r="E175" s="40" t="s">
        <v>89</v>
      </c>
      <c r="H175" s="9">
        <v>100</v>
      </c>
      <c r="I175" s="31">
        <v>0.7</v>
      </c>
      <c r="J175" s="14">
        <f>0.18*H175*I175*10*$G$172</f>
        <v>0</v>
      </c>
      <c r="L175" s="36">
        <f>L173+L174</f>
        <v>0</v>
      </c>
      <c r="N175" s="9"/>
    </row>
    <row r="176" spans="1:17" hidden="1" x14ac:dyDescent="0.2">
      <c r="A176" s="39"/>
      <c r="B176" s="39"/>
      <c r="C176" s="39"/>
      <c r="D176" s="39"/>
      <c r="E176" s="40"/>
      <c r="J176" s="9"/>
      <c r="N176" s="9"/>
    </row>
    <row r="177" spans="1:14" hidden="1" x14ac:dyDescent="0.2">
      <c r="A177" s="39" t="s">
        <v>94</v>
      </c>
      <c r="B177" s="39" t="s">
        <v>86</v>
      </c>
      <c r="C177" s="39">
        <v>0</v>
      </c>
      <c r="D177" s="39" t="s">
        <v>87</v>
      </c>
      <c r="E177" s="39"/>
      <c r="G177" s="69">
        <f>ROUNDUP($C$177/40,0)</f>
        <v>0</v>
      </c>
      <c r="J177" s="9"/>
      <c r="N177" s="9"/>
    </row>
    <row r="178" spans="1:14" hidden="1" x14ac:dyDescent="0.2">
      <c r="A178" s="39"/>
      <c r="B178" s="39" t="s">
        <v>85</v>
      </c>
      <c r="C178" s="39">
        <v>0</v>
      </c>
      <c r="D178" s="39" t="s">
        <v>70</v>
      </c>
      <c r="E178" s="39"/>
      <c r="J178" s="9"/>
      <c r="K178" s="57">
        <v>3.25</v>
      </c>
      <c r="L178" s="13">
        <f>C178*K178/1000</f>
        <v>0</v>
      </c>
      <c r="N178" s="9"/>
    </row>
    <row r="179" spans="1:14" s="54" customFormat="1" ht="15" hidden="1" thickBot="1" x14ac:dyDescent="0.25">
      <c r="A179" s="39"/>
      <c r="B179" s="39"/>
      <c r="C179" s="39">
        <v>0</v>
      </c>
      <c r="D179" s="39" t="s">
        <v>143</v>
      </c>
      <c r="E179" s="39"/>
      <c r="K179" s="57">
        <v>0.501</v>
      </c>
      <c r="L179" s="13">
        <f>C179*K179/1000</f>
        <v>0</v>
      </c>
    </row>
    <row r="180" spans="1:14" s="54" customFormat="1" ht="15" hidden="1" thickBot="1" x14ac:dyDescent="0.25">
      <c r="A180" s="39"/>
      <c r="B180" s="39"/>
      <c r="C180" s="39"/>
      <c r="D180" s="39"/>
      <c r="E180" s="39"/>
      <c r="L180" s="36">
        <f>L178+L179</f>
        <v>0</v>
      </c>
    </row>
    <row r="181" spans="1:14" s="54" customFormat="1" x14ac:dyDescent="0.2">
      <c r="A181" s="39"/>
      <c r="B181" s="39"/>
      <c r="C181" s="39"/>
      <c r="D181" s="39"/>
      <c r="E181" s="39"/>
      <c r="L181" s="13"/>
    </row>
    <row r="182" spans="1:14" s="54" customFormat="1" ht="18.75" thickBot="1" x14ac:dyDescent="0.25">
      <c r="A182" s="39"/>
      <c r="B182" s="41"/>
      <c r="C182" s="41"/>
      <c r="D182" s="41"/>
      <c r="E182" s="41"/>
      <c r="F182" s="349" t="s">
        <v>163</v>
      </c>
      <c r="G182" s="349"/>
      <c r="H182" s="349"/>
      <c r="I182" s="349"/>
      <c r="J182" s="350"/>
    </row>
    <row r="183" spans="1:14" s="54" customFormat="1" ht="33" x14ac:dyDescent="0.2">
      <c r="A183" s="166" t="s">
        <v>33</v>
      </c>
      <c r="B183" s="167"/>
      <c r="C183" s="346" t="s">
        <v>54</v>
      </c>
      <c r="D183" s="347"/>
      <c r="E183" s="167" t="s">
        <v>19</v>
      </c>
      <c r="F183" s="22" t="s">
        <v>164</v>
      </c>
      <c r="G183" s="24" t="s">
        <v>165</v>
      </c>
      <c r="H183" s="24"/>
      <c r="I183" s="2" t="s">
        <v>167</v>
      </c>
      <c r="J183" s="28" t="s">
        <v>166</v>
      </c>
      <c r="K183" s="53" t="s">
        <v>2</v>
      </c>
      <c r="L183" s="2" t="s">
        <v>3</v>
      </c>
    </row>
    <row r="184" spans="1:14" s="54" customFormat="1" ht="16.5" thickBot="1" x14ac:dyDescent="0.25">
      <c r="A184" s="168"/>
      <c r="B184" s="169"/>
      <c r="C184" s="170"/>
      <c r="D184" s="171"/>
      <c r="E184" s="172"/>
      <c r="F184" s="6" t="s">
        <v>170</v>
      </c>
      <c r="G184" s="23"/>
      <c r="H184" s="6"/>
      <c r="I184" s="6" t="s">
        <v>60</v>
      </c>
      <c r="J184" s="19" t="s">
        <v>60</v>
      </c>
      <c r="K184" s="18" t="s">
        <v>62</v>
      </c>
      <c r="L184" s="6" t="s">
        <v>7</v>
      </c>
    </row>
    <row r="185" spans="1:14" s="57" customFormat="1" hidden="1" x14ac:dyDescent="0.2">
      <c r="A185" s="57" t="s">
        <v>90</v>
      </c>
      <c r="B185" s="57" t="s">
        <v>84</v>
      </c>
      <c r="C185" s="57">
        <v>200</v>
      </c>
      <c r="D185" s="57" t="s">
        <v>11</v>
      </c>
      <c r="E185" s="57" t="s">
        <v>168</v>
      </c>
      <c r="F185" s="57">
        <v>2</v>
      </c>
      <c r="G185" s="57">
        <v>2</v>
      </c>
      <c r="I185" s="57">
        <v>100</v>
      </c>
      <c r="J185" s="57">
        <f>F185*G185*I185</f>
        <v>400</v>
      </c>
      <c r="K185" s="57">
        <f>2/1000</f>
        <v>2E-3</v>
      </c>
      <c r="L185" s="57">
        <f>J185*K185</f>
        <v>0.8</v>
      </c>
    </row>
    <row r="186" spans="1:14" s="57" customFormat="1" hidden="1" x14ac:dyDescent="0.2">
      <c r="B186" s="57" t="s">
        <v>159</v>
      </c>
      <c r="C186" s="57">
        <v>60</v>
      </c>
      <c r="D186" s="57" t="s">
        <v>11</v>
      </c>
      <c r="E186" s="57" t="s">
        <v>169</v>
      </c>
      <c r="F186" s="57">
        <v>2</v>
      </c>
      <c r="G186" s="57">
        <v>2</v>
      </c>
      <c r="I186" s="57">
        <v>100</v>
      </c>
      <c r="J186" s="57">
        <f>F186*G186*I186</f>
        <v>400</v>
      </c>
      <c r="K186" s="57">
        <f>2/1000</f>
        <v>2E-3</v>
      </c>
      <c r="L186" s="57">
        <f t="shared" ref="L186:L188" si="36">J186*K186</f>
        <v>0.8</v>
      </c>
    </row>
    <row r="187" spans="1:14" s="57" customFormat="1" hidden="1" x14ac:dyDescent="0.2">
      <c r="B187" s="57" t="s">
        <v>174</v>
      </c>
      <c r="C187" s="57">
        <v>30</v>
      </c>
      <c r="D187" s="57" t="s">
        <v>11</v>
      </c>
      <c r="E187" s="57" t="s">
        <v>65</v>
      </c>
      <c r="F187" s="57">
        <v>6</v>
      </c>
      <c r="G187" s="57">
        <v>4</v>
      </c>
      <c r="I187" s="57">
        <v>100</v>
      </c>
      <c r="J187" s="57">
        <f>F187*G187*I187</f>
        <v>2400</v>
      </c>
      <c r="K187" s="57">
        <v>1.2199999999999999E-3</v>
      </c>
      <c r="L187" s="57">
        <f t="shared" si="36"/>
        <v>2.9279999999999999</v>
      </c>
    </row>
    <row r="188" spans="1:14" s="57" customFormat="1" hidden="1" x14ac:dyDescent="0.2">
      <c r="B188" s="57" t="s">
        <v>118</v>
      </c>
      <c r="C188" s="57">
        <v>20</v>
      </c>
      <c r="D188" s="57" t="s">
        <v>11</v>
      </c>
      <c r="E188" s="57" t="s">
        <v>65</v>
      </c>
      <c r="F188" s="57">
        <v>6</v>
      </c>
      <c r="G188" s="57">
        <v>4</v>
      </c>
      <c r="I188" s="57">
        <v>100</v>
      </c>
      <c r="J188" s="57">
        <f>F188*G188*I188</f>
        <v>2400</v>
      </c>
      <c r="K188" s="57">
        <v>1.2199999999999999E-3</v>
      </c>
      <c r="L188" s="57">
        <f t="shared" si="36"/>
        <v>2.9279999999999999</v>
      </c>
    </row>
    <row r="189" spans="1:14" s="57" customFormat="1" ht="15" hidden="1" thickBot="1" x14ac:dyDescent="0.25">
      <c r="B189" s="147" t="s">
        <v>195</v>
      </c>
      <c r="C189" s="147">
        <v>18</v>
      </c>
      <c r="D189" s="147" t="s">
        <v>11</v>
      </c>
      <c r="E189" s="147" t="s">
        <v>169</v>
      </c>
      <c r="F189" s="147">
        <v>1</v>
      </c>
      <c r="G189" s="147">
        <v>2</v>
      </c>
      <c r="H189" s="147"/>
      <c r="I189" s="147">
        <v>100</v>
      </c>
      <c r="J189" s="147">
        <f>F189*G189*I189</f>
        <v>200</v>
      </c>
      <c r="K189" s="147">
        <v>1.2199999999999999E-3</v>
      </c>
      <c r="L189" s="147">
        <f t="shared" ref="L189" si="37">J189*K189</f>
        <v>0.24399999999999999</v>
      </c>
    </row>
    <row r="190" spans="1:14" s="72" customFormat="1" ht="15" hidden="1" thickBot="1" x14ac:dyDescent="0.25">
      <c r="L190" s="200">
        <f>SUM(L185:L189)</f>
        <v>7.7</v>
      </c>
    </row>
    <row r="191" spans="1:14" s="57" customFormat="1" hidden="1" x14ac:dyDescent="0.2"/>
    <row r="192" spans="1:14" s="54" customFormat="1" hidden="1" x14ac:dyDescent="0.2">
      <c r="A192" s="39" t="s">
        <v>91</v>
      </c>
      <c r="B192" s="39" t="s">
        <v>171</v>
      </c>
      <c r="C192" s="39">
        <v>45</v>
      </c>
      <c r="D192" s="39" t="s">
        <v>11</v>
      </c>
      <c r="E192" s="39" t="s">
        <v>169</v>
      </c>
      <c r="F192" s="39">
        <v>1</v>
      </c>
      <c r="G192" s="39">
        <v>2</v>
      </c>
      <c r="H192" s="39"/>
      <c r="I192" s="39">
        <v>0</v>
      </c>
      <c r="J192" s="39">
        <f>F192*G192*I192</f>
        <v>0</v>
      </c>
      <c r="K192" s="39">
        <f>2/1000</f>
        <v>2E-3</v>
      </c>
      <c r="L192" s="39">
        <f>J192*K192</f>
        <v>0</v>
      </c>
    </row>
    <row r="193" spans="1:14" s="54" customFormat="1" hidden="1" x14ac:dyDescent="0.2">
      <c r="A193" s="39"/>
      <c r="B193" s="39" t="s">
        <v>172</v>
      </c>
      <c r="C193" s="39">
        <v>43</v>
      </c>
      <c r="D193" s="39" t="s">
        <v>11</v>
      </c>
      <c r="E193" s="39" t="s">
        <v>169</v>
      </c>
      <c r="F193" s="39">
        <v>1</v>
      </c>
      <c r="G193" s="39">
        <v>2</v>
      </c>
      <c r="H193" s="39"/>
      <c r="I193" s="39">
        <v>0</v>
      </c>
      <c r="J193" s="39">
        <f>F193*G193*I193</f>
        <v>0</v>
      </c>
      <c r="K193" s="39">
        <f>2/1000</f>
        <v>2E-3</v>
      </c>
      <c r="L193" s="39">
        <f t="shared" ref="L193" si="38">J193*K193</f>
        <v>0</v>
      </c>
    </row>
    <row r="194" spans="1:14" s="57" customFormat="1" hidden="1" x14ac:dyDescent="0.2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>
        <f>SUM(L192:L193)</f>
        <v>0</v>
      </c>
    </row>
    <row r="195" spans="1:14" s="57" customFormat="1" hidden="1" x14ac:dyDescent="0.2"/>
    <row r="196" spans="1:14" s="57" customFormat="1" x14ac:dyDescent="0.2"/>
    <row r="197" spans="1:14" s="54" customFormat="1" x14ac:dyDescent="0.2">
      <c r="A197" s="57" t="s">
        <v>92</v>
      </c>
      <c r="B197" s="57" t="s">
        <v>173</v>
      </c>
      <c r="C197" s="57">
        <v>140</v>
      </c>
      <c r="D197" s="57" t="s">
        <v>11</v>
      </c>
      <c r="E197" s="57" t="s">
        <v>168</v>
      </c>
      <c r="F197" s="57">
        <v>1</v>
      </c>
      <c r="G197" s="57">
        <v>2</v>
      </c>
      <c r="H197" s="57"/>
      <c r="I197" s="231">
        <f>'MIP550-Verbauwand'!B19</f>
        <v>250</v>
      </c>
      <c r="J197" s="57">
        <f t="shared" ref="J197:J202" si="39">F197*G197*I197</f>
        <v>500</v>
      </c>
      <c r="K197" s="57">
        <f>2/1000</f>
        <v>2E-3</v>
      </c>
      <c r="L197" s="57">
        <f t="shared" ref="L197:L199" si="40">J197*K197</f>
        <v>1</v>
      </c>
    </row>
    <row r="198" spans="1:14" s="57" customFormat="1" x14ac:dyDescent="0.2">
      <c r="B198" s="57" t="s">
        <v>119</v>
      </c>
      <c r="C198" s="57">
        <v>20</v>
      </c>
      <c r="D198" s="57" t="s">
        <v>11</v>
      </c>
      <c r="E198" s="57" t="s">
        <v>65</v>
      </c>
      <c r="F198" s="57">
        <v>2</v>
      </c>
      <c r="G198" s="57">
        <v>4</v>
      </c>
      <c r="I198" s="231">
        <f>I197</f>
        <v>250</v>
      </c>
      <c r="J198" s="57">
        <f t="shared" si="39"/>
        <v>2000</v>
      </c>
      <c r="K198" s="57">
        <v>9.7999999999999997E-4</v>
      </c>
      <c r="L198" s="57">
        <f t="shared" si="40"/>
        <v>1.96</v>
      </c>
    </row>
    <row r="199" spans="1:14" s="54" customFormat="1" x14ac:dyDescent="0.2">
      <c r="A199" s="57"/>
      <c r="B199" s="57" t="s">
        <v>174</v>
      </c>
      <c r="C199" s="57">
        <v>30</v>
      </c>
      <c r="D199" s="57" t="s">
        <v>11</v>
      </c>
      <c r="E199" s="57" t="s">
        <v>65</v>
      </c>
      <c r="F199" s="57">
        <v>2</v>
      </c>
      <c r="G199" s="57">
        <v>4</v>
      </c>
      <c r="H199" s="57"/>
      <c r="I199" s="231">
        <f>I197</f>
        <v>250</v>
      </c>
      <c r="J199" s="57">
        <f t="shared" si="39"/>
        <v>2000</v>
      </c>
      <c r="K199" s="57">
        <v>9.7999999999999997E-4</v>
      </c>
      <c r="L199" s="57">
        <f t="shared" si="40"/>
        <v>1.96</v>
      </c>
    </row>
    <row r="200" spans="1:14" s="57" customFormat="1" x14ac:dyDescent="0.2">
      <c r="B200" s="72">
        <v>0</v>
      </c>
      <c r="C200" s="57">
        <v>0</v>
      </c>
      <c r="D200" s="57" t="s">
        <v>11</v>
      </c>
      <c r="E200" s="72" t="s">
        <v>169</v>
      </c>
      <c r="F200" s="57">
        <v>0</v>
      </c>
      <c r="G200" s="57">
        <v>0</v>
      </c>
      <c r="I200" s="231">
        <f>I197</f>
        <v>250</v>
      </c>
      <c r="J200" s="72">
        <f t="shared" si="39"/>
        <v>0</v>
      </c>
      <c r="K200" s="72">
        <v>9.7999999999999997E-4</v>
      </c>
      <c r="L200" s="72">
        <f t="shared" ref="L200" si="41">J200*K200</f>
        <v>0</v>
      </c>
    </row>
    <row r="201" spans="1:14" s="80" customFormat="1" x14ac:dyDescent="0.2">
      <c r="B201" s="80" t="s">
        <v>205</v>
      </c>
      <c r="C201" s="80">
        <v>50</v>
      </c>
      <c r="D201" s="80" t="s">
        <v>11</v>
      </c>
      <c r="E201" s="80" t="s">
        <v>169</v>
      </c>
      <c r="F201" s="80">
        <v>1</v>
      </c>
      <c r="G201" s="80">
        <v>2</v>
      </c>
      <c r="I201" s="231">
        <f>I197</f>
        <v>250</v>
      </c>
      <c r="J201" s="80">
        <f t="shared" si="39"/>
        <v>500</v>
      </c>
      <c r="K201" s="80">
        <v>9.7999999999999997E-4</v>
      </c>
      <c r="L201" s="80">
        <f t="shared" ref="L201:L202" si="42">J201*K201</f>
        <v>0.49</v>
      </c>
    </row>
    <row r="202" spans="1:14" s="80" customFormat="1" ht="15" thickBot="1" x14ac:dyDescent="0.25">
      <c r="B202" s="80" t="s">
        <v>172</v>
      </c>
      <c r="C202" s="80">
        <v>20</v>
      </c>
      <c r="D202" s="80" t="s">
        <v>11</v>
      </c>
      <c r="E202" s="80" t="s">
        <v>169</v>
      </c>
      <c r="F202" s="80">
        <v>1</v>
      </c>
      <c r="G202" s="80">
        <v>2</v>
      </c>
      <c r="I202" s="231">
        <f>I197</f>
        <v>250</v>
      </c>
      <c r="J202" s="80">
        <f t="shared" si="39"/>
        <v>500</v>
      </c>
      <c r="K202" s="80">
        <v>9.7999999999999997E-4</v>
      </c>
      <c r="L202" s="80">
        <f t="shared" si="42"/>
        <v>0.49</v>
      </c>
    </row>
    <row r="203" spans="1:14" s="72" customFormat="1" ht="15" thickBot="1" x14ac:dyDescent="0.25">
      <c r="L203" s="202">
        <f>SUM(L197:L202)</f>
        <v>5.9</v>
      </c>
    </row>
    <row r="204" spans="1:14" s="57" customFormat="1" hidden="1" x14ac:dyDescent="0.2"/>
    <row r="205" spans="1:14" hidden="1" x14ac:dyDescent="0.2">
      <c r="A205" s="39" t="s">
        <v>93</v>
      </c>
      <c r="B205" s="39" t="s">
        <v>175</v>
      </c>
      <c r="C205" s="39">
        <v>40</v>
      </c>
      <c r="D205" s="39" t="s">
        <v>11</v>
      </c>
      <c r="E205" s="39" t="s">
        <v>169</v>
      </c>
      <c r="F205" s="39">
        <v>1</v>
      </c>
      <c r="G205" s="39">
        <v>2</v>
      </c>
      <c r="H205" s="39"/>
      <c r="I205" s="39">
        <v>0</v>
      </c>
      <c r="J205" s="39">
        <f>F205*G205*I205</f>
        <v>0</v>
      </c>
      <c r="K205" s="39">
        <f>2/1000</f>
        <v>2E-3</v>
      </c>
      <c r="L205" s="39">
        <f t="shared" ref="L205" si="43">J205*K205</f>
        <v>0</v>
      </c>
    </row>
    <row r="206" spans="1:14" s="57" customFormat="1" hidden="1" x14ac:dyDescent="0.2">
      <c r="A206" s="39"/>
      <c r="B206" s="39" t="s">
        <v>176</v>
      </c>
      <c r="C206" s="39">
        <v>15</v>
      </c>
      <c r="D206" s="39" t="s">
        <v>11</v>
      </c>
      <c r="E206" s="39" t="s">
        <v>65</v>
      </c>
      <c r="F206" s="39">
        <v>1</v>
      </c>
      <c r="G206" s="39">
        <v>2</v>
      </c>
      <c r="H206" s="39"/>
      <c r="I206" s="39">
        <v>0</v>
      </c>
      <c r="J206" s="39">
        <f>F206*G206*I206</f>
        <v>0</v>
      </c>
      <c r="K206" s="39">
        <v>1.2199999999999999E-3</v>
      </c>
      <c r="L206" s="39">
        <f t="shared" ref="L206" si="44">J206*K206</f>
        <v>0</v>
      </c>
      <c r="N206" s="59"/>
    </row>
    <row r="207" spans="1:14" s="54" customFormat="1" hidden="1" x14ac:dyDescent="0.2">
      <c r="A207" s="39"/>
      <c r="B207" s="39"/>
      <c r="C207" s="39"/>
      <c r="D207" s="39"/>
      <c r="E207" s="40"/>
      <c r="F207" s="39"/>
      <c r="G207" s="39"/>
      <c r="H207" s="39"/>
      <c r="I207" s="39"/>
      <c r="J207" s="39"/>
      <c r="K207" s="39"/>
      <c r="L207" s="39">
        <f>SUM(L205:L206)</f>
        <v>0</v>
      </c>
      <c r="N207" s="52"/>
    </row>
    <row r="208" spans="1:14" s="57" customFormat="1" hidden="1" x14ac:dyDescent="0.2">
      <c r="A208" s="39"/>
      <c r="B208" s="39"/>
      <c r="C208" s="39"/>
      <c r="D208" s="39"/>
      <c r="E208" s="40"/>
      <c r="F208" s="39"/>
      <c r="G208" s="39"/>
      <c r="H208" s="39"/>
      <c r="I208" s="39"/>
      <c r="J208" s="39"/>
      <c r="K208" s="39"/>
      <c r="L208" s="39"/>
      <c r="N208" s="59"/>
    </row>
    <row r="209" spans="1:14" s="54" customFormat="1" hidden="1" x14ac:dyDescent="0.2">
      <c r="A209" s="39" t="s">
        <v>94</v>
      </c>
      <c r="B209" s="39" t="s">
        <v>120</v>
      </c>
      <c r="C209" s="39">
        <v>69</v>
      </c>
      <c r="D209" s="39" t="s">
        <v>11</v>
      </c>
      <c r="E209" s="39" t="s">
        <v>169</v>
      </c>
      <c r="F209" s="39">
        <v>1</v>
      </c>
      <c r="G209" s="39">
        <v>2</v>
      </c>
      <c r="H209" s="39"/>
      <c r="I209" s="39">
        <v>0</v>
      </c>
      <c r="J209" s="39">
        <f>F209*G209*I209</f>
        <v>0</v>
      </c>
      <c r="K209" s="39">
        <f>2/1000</f>
        <v>2E-3</v>
      </c>
      <c r="L209" s="39">
        <f t="shared" ref="L209" si="45">J209*K209</f>
        <v>0</v>
      </c>
      <c r="N209" s="52"/>
    </row>
    <row r="210" spans="1:14" s="57" customFormat="1" hidden="1" x14ac:dyDescent="0.2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N210" s="59"/>
    </row>
    <row r="211" spans="1:14" s="57" customFormat="1" x14ac:dyDescent="0.2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N211" s="59"/>
    </row>
    <row r="212" spans="1:14" s="57" customFormat="1" x14ac:dyDescent="0.2">
      <c r="N212" s="59"/>
    </row>
    <row r="213" spans="1:14" s="57" customFormat="1" ht="18.75" thickBot="1" x14ac:dyDescent="0.25">
      <c r="A213" s="39"/>
      <c r="B213" s="41"/>
      <c r="C213" s="41"/>
      <c r="D213" s="41"/>
      <c r="E213" s="41"/>
      <c r="F213" s="349" t="s">
        <v>177</v>
      </c>
      <c r="G213" s="349"/>
      <c r="H213" s="349"/>
      <c r="I213" s="349"/>
      <c r="J213" s="350"/>
      <c r="N213" s="59"/>
    </row>
    <row r="214" spans="1:14" s="57" customFormat="1" ht="33" x14ac:dyDescent="0.2">
      <c r="A214" s="166" t="s">
        <v>33</v>
      </c>
      <c r="B214" s="167"/>
      <c r="C214" s="346"/>
      <c r="D214" s="347"/>
      <c r="E214" s="167" t="s">
        <v>19</v>
      </c>
      <c r="F214" s="22" t="s">
        <v>178</v>
      </c>
      <c r="G214" s="24" t="s">
        <v>179</v>
      </c>
      <c r="H214" s="24" t="s">
        <v>180</v>
      </c>
      <c r="I214" s="2" t="s">
        <v>167</v>
      </c>
      <c r="J214" s="28" t="s">
        <v>166</v>
      </c>
      <c r="K214" s="60" t="s">
        <v>2</v>
      </c>
      <c r="L214" s="2" t="s">
        <v>3</v>
      </c>
      <c r="N214" s="59"/>
    </row>
    <row r="215" spans="1:14" s="57" customFormat="1" ht="16.5" thickBot="1" x14ac:dyDescent="0.25">
      <c r="A215" s="44"/>
      <c r="B215" s="45"/>
      <c r="C215" s="46"/>
      <c r="D215" s="47"/>
      <c r="E215" s="48"/>
      <c r="F215" s="6"/>
      <c r="G215" s="23"/>
      <c r="H215" s="6"/>
      <c r="I215" s="6" t="s">
        <v>60</v>
      </c>
      <c r="J215" s="19" t="s">
        <v>60</v>
      </c>
      <c r="K215" s="18" t="s">
        <v>62</v>
      </c>
      <c r="L215" s="6" t="s">
        <v>7</v>
      </c>
      <c r="N215" s="59"/>
    </row>
    <row r="216" spans="1:14" s="57" customFormat="1" ht="15" hidden="1" thickBot="1" x14ac:dyDescent="0.25">
      <c r="A216" s="57" t="s">
        <v>90</v>
      </c>
      <c r="B216" s="147" t="s">
        <v>197</v>
      </c>
      <c r="F216" s="197">
        <f>G152</f>
        <v>23.475000000000001</v>
      </c>
      <c r="G216" s="57">
        <v>4</v>
      </c>
      <c r="H216" s="57">
        <v>1</v>
      </c>
      <c r="I216" s="57">
        <v>50</v>
      </c>
      <c r="J216" s="57">
        <f>2*I216*F216*G216/H216</f>
        <v>9390</v>
      </c>
      <c r="K216" s="57">
        <f>0.22/1000</f>
        <v>2.2000000000000001E-4</v>
      </c>
      <c r="L216" s="201">
        <f>K216*J216</f>
        <v>2.0657999999999999</v>
      </c>
      <c r="N216" s="59"/>
    </row>
    <row r="217" spans="1:14" s="57" customFormat="1" hidden="1" x14ac:dyDescent="0.2">
      <c r="B217" s="147"/>
      <c r="N217" s="59"/>
    </row>
    <row r="218" spans="1:14" s="57" customFormat="1" hidden="1" x14ac:dyDescent="0.2">
      <c r="B218" s="147"/>
      <c r="N218" s="59"/>
    </row>
    <row r="219" spans="1:14" s="57" customFormat="1" hidden="1" x14ac:dyDescent="0.2">
      <c r="A219" s="39" t="s">
        <v>91</v>
      </c>
      <c r="B219" s="147" t="s">
        <v>197</v>
      </c>
      <c r="C219" s="39"/>
      <c r="D219" s="39"/>
      <c r="E219" s="39"/>
      <c r="F219" s="50">
        <f>G159</f>
        <v>0</v>
      </c>
      <c r="G219" s="39">
        <v>4</v>
      </c>
      <c r="H219" s="39">
        <v>1</v>
      </c>
      <c r="I219" s="39">
        <v>0</v>
      </c>
      <c r="J219" s="39">
        <f>2*I219*F219*G219/H219</f>
        <v>0</v>
      </c>
      <c r="K219" s="39">
        <f>0.22/1000</f>
        <v>2.2000000000000001E-4</v>
      </c>
      <c r="L219" s="39">
        <f>K219*J219</f>
        <v>0</v>
      </c>
      <c r="N219" s="59"/>
    </row>
    <row r="220" spans="1:14" s="57" customFormat="1" hidden="1" x14ac:dyDescent="0.2">
      <c r="B220" s="147"/>
      <c r="N220" s="59"/>
    </row>
    <row r="221" spans="1:14" s="57" customFormat="1" ht="15" thickBot="1" x14ac:dyDescent="0.25">
      <c r="B221" s="147"/>
      <c r="N221" s="59"/>
    </row>
    <row r="222" spans="1:14" s="57" customFormat="1" ht="15" thickBot="1" x14ac:dyDescent="0.25">
      <c r="A222" s="57" t="s">
        <v>92</v>
      </c>
      <c r="B222" s="147" t="s">
        <v>197</v>
      </c>
      <c r="D222" s="39"/>
      <c r="F222" s="58">
        <f>G164</f>
        <v>20.176470588235293</v>
      </c>
      <c r="G222" s="57">
        <v>4</v>
      </c>
      <c r="H222" s="57">
        <v>1</v>
      </c>
      <c r="I222" s="57">
        <v>50</v>
      </c>
      <c r="J222" s="57">
        <f>2*I222*F222*G222/H222</f>
        <v>8070.5882352941171</v>
      </c>
      <c r="K222" s="250">
        <v>2.1000000000000001E-4</v>
      </c>
      <c r="L222" s="203">
        <f>K222*J222</f>
        <v>1.6948235294117646</v>
      </c>
      <c r="N222" s="59"/>
    </row>
    <row r="223" spans="1:14" s="57" customFormat="1" x14ac:dyDescent="0.2">
      <c r="B223" s="147"/>
      <c r="D223" s="39"/>
      <c r="N223" s="59"/>
    </row>
    <row r="224" spans="1:14" s="57" customFormat="1" hidden="1" x14ac:dyDescent="0.2">
      <c r="D224" s="39"/>
      <c r="N224" s="59"/>
    </row>
    <row r="225" spans="1:14" s="54" customFormat="1" hidden="1" x14ac:dyDescent="0.2">
      <c r="A225" s="39" t="s">
        <v>93</v>
      </c>
      <c r="B225" s="39" t="s">
        <v>197</v>
      </c>
      <c r="C225" s="39"/>
      <c r="D225" s="39"/>
      <c r="E225" s="39"/>
      <c r="F225" s="50">
        <f>G172</f>
        <v>0</v>
      </c>
      <c r="G225" s="39">
        <v>4</v>
      </c>
      <c r="H225" s="39">
        <v>1</v>
      </c>
      <c r="I225" s="39">
        <v>0</v>
      </c>
      <c r="J225" s="50">
        <f>2*I225*F225*G225/H225</f>
        <v>0</v>
      </c>
      <c r="K225" s="39">
        <f>0.22/1000</f>
        <v>2.2000000000000001E-4</v>
      </c>
      <c r="L225" s="39">
        <f>K225*J225</f>
        <v>0</v>
      </c>
      <c r="N225" s="52"/>
    </row>
    <row r="226" spans="1:14" s="57" customFormat="1" hidden="1" x14ac:dyDescent="0.2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N226" s="59"/>
    </row>
    <row r="227" spans="1:14" s="57" customFormat="1" hidden="1" x14ac:dyDescent="0.2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N227" s="59"/>
    </row>
    <row r="228" spans="1:14" s="57" customFormat="1" hidden="1" x14ac:dyDescent="0.2">
      <c r="A228" s="39" t="s">
        <v>94</v>
      </c>
      <c r="B228" s="39" t="s">
        <v>197</v>
      </c>
      <c r="C228" s="39"/>
      <c r="D228" s="39"/>
      <c r="E228" s="39"/>
      <c r="F228" s="50">
        <f>G177</f>
        <v>0</v>
      </c>
      <c r="G228" s="39">
        <v>4</v>
      </c>
      <c r="H228" s="39">
        <v>1</v>
      </c>
      <c r="I228" s="39">
        <v>0</v>
      </c>
      <c r="J228" s="39">
        <f>2*I228*F228*G228/H228</f>
        <v>0</v>
      </c>
      <c r="K228" s="39">
        <f>0.22/1000</f>
        <v>2.2000000000000001E-4</v>
      </c>
      <c r="L228" s="39">
        <f>K228*J228</f>
        <v>0</v>
      </c>
      <c r="N228" s="59"/>
    </row>
    <row r="229" spans="1:14" s="194" customFormat="1" x14ac:dyDescent="0.2">
      <c r="A229" s="39"/>
      <c r="B229" s="39"/>
      <c r="C229" s="39"/>
      <c r="D229" s="39"/>
      <c r="E229" s="39"/>
      <c r="F229" s="50"/>
      <c r="G229" s="39"/>
      <c r="H229" s="39"/>
      <c r="I229" s="39"/>
      <c r="J229" s="39"/>
      <c r="K229" s="39"/>
      <c r="L229" s="39"/>
      <c r="N229" s="195"/>
    </row>
    <row r="230" spans="1:14" s="194" customFormat="1" x14ac:dyDescent="0.2">
      <c r="A230" s="39"/>
      <c r="B230" s="39"/>
      <c r="C230" s="39"/>
      <c r="D230" s="39"/>
      <c r="E230" s="39"/>
      <c r="F230" s="50"/>
      <c r="G230" s="39"/>
      <c r="H230" s="39"/>
      <c r="I230" s="39"/>
      <c r="J230" s="39"/>
      <c r="K230" s="39"/>
      <c r="L230" s="39"/>
      <c r="N230" s="195"/>
    </row>
    <row r="231" spans="1:14" ht="15.75" hidden="1" thickBot="1" x14ac:dyDescent="0.25">
      <c r="B231" s="351" t="s">
        <v>116</v>
      </c>
      <c r="C231" s="351"/>
      <c r="D231" s="351"/>
      <c r="E231" s="351"/>
      <c r="F231" s="351"/>
      <c r="G231" s="351"/>
      <c r="H231" s="351"/>
      <c r="I231" s="351"/>
      <c r="J231" s="9"/>
      <c r="N231" s="9"/>
    </row>
    <row r="232" spans="1:14" ht="28.5" hidden="1" customHeight="1" thickBot="1" x14ac:dyDescent="0.25">
      <c r="B232" s="35" t="s">
        <v>211</v>
      </c>
      <c r="C232" s="340" t="s">
        <v>214</v>
      </c>
      <c r="D232" s="341"/>
      <c r="E232" s="89" t="s">
        <v>212</v>
      </c>
      <c r="F232" s="33" t="s">
        <v>215</v>
      </c>
      <c r="G232" s="33" t="s">
        <v>216</v>
      </c>
      <c r="H232" s="89" t="s">
        <v>213</v>
      </c>
      <c r="I232" s="33" t="s">
        <v>210</v>
      </c>
      <c r="L232" s="33" t="s">
        <v>97</v>
      </c>
      <c r="N232" s="9"/>
    </row>
    <row r="233" spans="1:14" hidden="1" x14ac:dyDescent="0.2">
      <c r="A233" s="9" t="s">
        <v>90</v>
      </c>
      <c r="B233" s="14">
        <f>L10</f>
        <v>801.74895200000026</v>
      </c>
      <c r="C233" s="352">
        <f>L157</f>
        <v>57.959775000000008</v>
      </c>
      <c r="D233" s="352"/>
      <c r="E233" s="90">
        <f>L44+L75+L81</f>
        <v>71.118799999999993</v>
      </c>
      <c r="F233" s="9">
        <f>L190</f>
        <v>7.7</v>
      </c>
      <c r="G233" s="13">
        <f>L216</f>
        <v>2.0657999999999999</v>
      </c>
      <c r="H233" s="94">
        <f>J120</f>
        <v>22.553700150000001</v>
      </c>
      <c r="I233" s="14">
        <f>L94</f>
        <v>28.655999999999999</v>
      </c>
      <c r="J233" s="173">
        <f>E233+B233+I233</f>
        <v>901.52375200000017</v>
      </c>
      <c r="L233" s="9">
        <f>G152</f>
        <v>23.475000000000001</v>
      </c>
      <c r="N233" s="9"/>
    </row>
    <row r="234" spans="1:14" hidden="1" x14ac:dyDescent="0.2">
      <c r="A234" s="9" t="s">
        <v>91</v>
      </c>
      <c r="B234" s="14">
        <f>L17</f>
        <v>0</v>
      </c>
      <c r="C234" s="339">
        <f>L162</f>
        <v>0</v>
      </c>
      <c r="D234" s="339"/>
      <c r="E234" s="90">
        <f>L50+L87</f>
        <v>0</v>
      </c>
      <c r="F234" s="9">
        <f>L194</f>
        <v>0</v>
      </c>
      <c r="G234" s="13">
        <f>L219</f>
        <v>0</v>
      </c>
      <c r="H234" s="95">
        <f>J126</f>
        <v>0</v>
      </c>
      <c r="I234" s="14">
        <v>0</v>
      </c>
      <c r="J234" s="173">
        <f t="shared" ref="J234:J236" si="46">E234+B234</f>
        <v>0</v>
      </c>
      <c r="L234" s="14">
        <f>G159</f>
        <v>0</v>
      </c>
      <c r="N234" s="9"/>
    </row>
    <row r="235" spans="1:14" hidden="1" x14ac:dyDescent="0.2">
      <c r="A235" s="34" t="s">
        <v>92</v>
      </c>
      <c r="B235" s="14">
        <f>L23</f>
        <v>430.64771056000001</v>
      </c>
      <c r="C235" s="339">
        <f>L169</f>
        <v>56.510258823529412</v>
      </c>
      <c r="D235" s="339"/>
      <c r="E235" s="90">
        <f>L57</f>
        <v>13.7204</v>
      </c>
      <c r="F235" s="13">
        <f>L203</f>
        <v>5.9</v>
      </c>
      <c r="G235" s="13">
        <f>L222</f>
        <v>1.6948235294117646</v>
      </c>
      <c r="H235" s="95">
        <f>J135</f>
        <v>13.317681176470586</v>
      </c>
      <c r="I235" s="14">
        <f>L99</f>
        <v>3.3464</v>
      </c>
      <c r="J235" s="173">
        <f>E235+B235+I235</f>
        <v>447.71451056000001</v>
      </c>
      <c r="L235" s="14">
        <f>G164</f>
        <v>20.176470588235293</v>
      </c>
      <c r="N235" s="9"/>
    </row>
    <row r="236" spans="1:14" hidden="1" x14ac:dyDescent="0.2">
      <c r="A236" s="9" t="s">
        <v>93</v>
      </c>
      <c r="B236" s="14">
        <f>L27</f>
        <v>0</v>
      </c>
      <c r="C236" s="339">
        <f>L175</f>
        <v>0</v>
      </c>
      <c r="D236" s="339"/>
      <c r="E236" s="90">
        <f>L62</f>
        <v>0</v>
      </c>
      <c r="F236" s="9">
        <f>L207</f>
        <v>0</v>
      </c>
      <c r="G236" s="13">
        <f>L225</f>
        <v>0</v>
      </c>
      <c r="H236" s="95">
        <f>J141</f>
        <v>0</v>
      </c>
      <c r="I236" s="38">
        <f>L103</f>
        <v>0</v>
      </c>
      <c r="J236" s="173">
        <f t="shared" si="46"/>
        <v>0</v>
      </c>
      <c r="L236" s="14">
        <f>G172</f>
        <v>0</v>
      </c>
      <c r="N236" s="9"/>
    </row>
    <row r="237" spans="1:14" hidden="1" x14ac:dyDescent="0.2">
      <c r="A237" s="9" t="s">
        <v>94</v>
      </c>
      <c r="B237" s="14">
        <f>L33</f>
        <v>0</v>
      </c>
      <c r="C237" s="339">
        <f>L180</f>
        <v>0</v>
      </c>
      <c r="D237" s="339"/>
      <c r="E237" s="90">
        <f>L69</f>
        <v>0</v>
      </c>
      <c r="F237" s="9">
        <f>L209</f>
        <v>0</v>
      </c>
      <c r="G237" s="13">
        <f>L228</f>
        <v>0</v>
      </c>
      <c r="H237" s="95">
        <f>J146</f>
        <v>0</v>
      </c>
      <c r="I237" s="38">
        <f>L107</f>
        <v>0</v>
      </c>
      <c r="L237" s="14">
        <f>G177</f>
        <v>0</v>
      </c>
      <c r="N237" s="9"/>
    </row>
    <row r="238" spans="1:14" ht="15" hidden="1" thickBot="1" x14ac:dyDescent="0.25">
      <c r="C238" s="337"/>
      <c r="D238" s="337"/>
      <c r="E238" s="91"/>
      <c r="H238" s="96"/>
      <c r="I238" s="12"/>
      <c r="L238" s="32"/>
      <c r="N238" s="9"/>
    </row>
    <row r="239" spans="1:14" ht="29.25" hidden="1" customHeight="1" thickBot="1" x14ac:dyDescent="0.25">
      <c r="B239" s="87" t="s">
        <v>211</v>
      </c>
      <c r="C239" s="340" t="s">
        <v>214</v>
      </c>
      <c r="D239" s="341"/>
      <c r="E239" s="89" t="s">
        <v>212</v>
      </c>
      <c r="F239" s="33" t="s">
        <v>215</v>
      </c>
      <c r="G239" s="33" t="s">
        <v>216</v>
      </c>
      <c r="H239" s="89" t="s">
        <v>213</v>
      </c>
      <c r="I239" s="33" t="s">
        <v>210</v>
      </c>
      <c r="L239" s="33" t="s">
        <v>97</v>
      </c>
      <c r="N239" s="9"/>
    </row>
    <row r="240" spans="1:14" hidden="1" x14ac:dyDescent="0.2">
      <c r="A240" s="9" t="s">
        <v>239</v>
      </c>
      <c r="B240" s="14">
        <f>B233+B234</f>
        <v>801.74895200000026</v>
      </c>
      <c r="C240" s="339">
        <f>C233+C234</f>
        <v>57.959775000000008</v>
      </c>
      <c r="D240" s="337"/>
      <c r="E240" s="90">
        <f>E233+E234</f>
        <v>71.118799999999993</v>
      </c>
      <c r="F240" s="58">
        <f>F233+F234</f>
        <v>7.7</v>
      </c>
      <c r="G240" s="88">
        <f>G233+G234</f>
        <v>2.0657999999999999</v>
      </c>
      <c r="H240" s="94">
        <f>H233+H234</f>
        <v>22.553700150000001</v>
      </c>
      <c r="I240" s="14">
        <f>I233+I234</f>
        <v>28.655999999999999</v>
      </c>
      <c r="L240" s="14">
        <f>L233+L234</f>
        <v>23.475000000000001</v>
      </c>
      <c r="M240" s="14">
        <f>SUM(B240:I240)</f>
        <v>991.80302715000028</v>
      </c>
      <c r="N240" s="9"/>
    </row>
    <row r="241" spans="1:14" hidden="1" x14ac:dyDescent="0.2">
      <c r="A241" s="9" t="s">
        <v>240</v>
      </c>
      <c r="B241" s="14">
        <f>B235+B236</f>
        <v>430.64771056000001</v>
      </c>
      <c r="C241" s="342">
        <f>C235+C236</f>
        <v>56.510258823529412</v>
      </c>
      <c r="D241" s="343"/>
      <c r="E241" s="90">
        <f>E235+E236</f>
        <v>13.7204</v>
      </c>
      <c r="F241" s="58">
        <f>F235+F236</f>
        <v>5.9</v>
      </c>
      <c r="G241" s="88">
        <f>G235+G236</f>
        <v>1.6948235294117646</v>
      </c>
      <c r="H241" s="97">
        <f>H235+H236</f>
        <v>13.317681176470586</v>
      </c>
      <c r="I241" s="14">
        <f>I235+I236</f>
        <v>3.3464</v>
      </c>
      <c r="L241" s="14">
        <f>L235+L236</f>
        <v>20.176470588235293</v>
      </c>
      <c r="M241" s="58">
        <f>SUM(B241:I241)</f>
        <v>525.13727408941179</v>
      </c>
      <c r="N241" s="9"/>
    </row>
    <row r="242" spans="1:14" hidden="1" x14ac:dyDescent="0.2">
      <c r="B242" s="14"/>
      <c r="C242" s="342"/>
      <c r="D242" s="343"/>
      <c r="E242" s="90"/>
      <c r="F242" s="58"/>
      <c r="G242" s="88"/>
      <c r="H242" s="97"/>
      <c r="I242" s="14"/>
      <c r="L242" s="14">
        <f>L235+L237</f>
        <v>20.176470588235293</v>
      </c>
      <c r="M242" s="58">
        <f>SUM(B242:I242)</f>
        <v>0</v>
      </c>
      <c r="N242" s="9"/>
    </row>
    <row r="243" spans="1:14" hidden="1" x14ac:dyDescent="0.2">
      <c r="C243" s="337"/>
      <c r="D243" s="337"/>
      <c r="E243" s="91"/>
      <c r="H243" s="32"/>
      <c r="I243" s="12"/>
      <c r="L243" s="32"/>
      <c r="N243" s="9"/>
    </row>
    <row r="244" spans="1:14" hidden="1" x14ac:dyDescent="0.2">
      <c r="B244" s="65">
        <f>B240/SUM(B240:H240)</f>
        <v>0.832426337204627</v>
      </c>
      <c r="C244" s="338">
        <f>C240/SUM(B240:H240)</f>
        <v>6.0177494573705789E-2</v>
      </c>
      <c r="D244" s="338"/>
      <c r="E244" s="92">
        <f>E240/SUM(B240:H240)</f>
        <v>7.3840024415009656E-2</v>
      </c>
      <c r="F244" s="64">
        <f>F240/SUM(B240:H240)</f>
        <v>7.9946257247812732E-3</v>
      </c>
      <c r="G244" s="64">
        <f>G240/SUM(B240:H240)</f>
        <v>2.1448438730198899E-3</v>
      </c>
      <c r="H244" s="98">
        <f>H240/SUM(B240:H240)</f>
        <v>2.3416674208856268E-2</v>
      </c>
      <c r="I244" s="64">
        <f>I240/SUM(B240:H240)</f>
        <v>2.975246685316002E-2</v>
      </c>
      <c r="N244" s="9"/>
    </row>
    <row r="245" spans="1:14" hidden="1" x14ac:dyDescent="0.2">
      <c r="B245" s="65">
        <f>B241/SUM(B241:H241)</f>
        <v>0.82532625989584885</v>
      </c>
      <c r="C245" s="338">
        <f>C241/SUM(B241:H241)</f>
        <v>0.10830058866427408</v>
      </c>
      <c r="D245" s="338"/>
      <c r="E245" s="92">
        <f>E241/SUM(B241:H241)</f>
        <v>2.6294825535122204E-2</v>
      </c>
      <c r="F245" s="64">
        <f>F241/SUM(B241:H241)</f>
        <v>1.1307211936767224E-2</v>
      </c>
      <c r="G245" s="64">
        <f>G241/SUM(B241:H241)</f>
        <v>3.2480896343184168E-3</v>
      </c>
      <c r="H245" s="98">
        <f>H241/SUM(B241:H241)</f>
        <v>2.5523024333669216E-2</v>
      </c>
      <c r="I245" s="64">
        <f>I241/SUM(B241:H241)</f>
        <v>6.4132972924064125E-3</v>
      </c>
      <c r="N245" s="9"/>
    </row>
    <row r="246" spans="1:14" hidden="1" x14ac:dyDescent="0.2">
      <c r="B246" s="65" t="e">
        <f>B242/SUM(B242:H242)</f>
        <v>#DIV/0!</v>
      </c>
      <c r="C246" s="338" t="e">
        <f>C242/SUM(B242:H242)</f>
        <v>#DIV/0!</v>
      </c>
      <c r="D246" s="338"/>
      <c r="E246" s="92" t="e">
        <f>E242/SUM(B242:H242)</f>
        <v>#DIV/0!</v>
      </c>
      <c r="F246" s="64" t="e">
        <f>F242/SUM(B242:H242)</f>
        <v>#DIV/0!</v>
      </c>
      <c r="G246" s="64" t="e">
        <f>G242/SUM(B242:H242)</f>
        <v>#DIV/0!</v>
      </c>
      <c r="H246" s="98" t="e">
        <f>H242/SUM(B242:H242)</f>
        <v>#DIV/0!</v>
      </c>
      <c r="I246" s="64" t="e">
        <f>I242/SUM(B242:H242)</f>
        <v>#DIV/0!</v>
      </c>
      <c r="N246" s="9"/>
    </row>
    <row r="247" spans="1:14" hidden="1" x14ac:dyDescent="0.2">
      <c r="C247" s="93"/>
      <c r="D247" s="93"/>
      <c r="F247" s="337"/>
      <c r="G247" s="337"/>
      <c r="H247" s="337"/>
      <c r="I247" s="337"/>
      <c r="J247" s="32"/>
      <c r="N247" s="9"/>
    </row>
    <row r="248" spans="1:14" hidden="1" x14ac:dyDescent="0.2">
      <c r="C248" s="93"/>
      <c r="D248" s="93"/>
      <c r="F248" s="337"/>
      <c r="G248" s="337"/>
      <c r="H248" s="337"/>
      <c r="I248" s="337"/>
      <c r="J248" s="32"/>
      <c r="N248" s="9"/>
    </row>
    <row r="249" spans="1:14" hidden="1" x14ac:dyDescent="0.2">
      <c r="C249" s="93"/>
      <c r="D249" s="93"/>
      <c r="F249" s="337"/>
      <c r="G249" s="337"/>
      <c r="H249" s="337"/>
      <c r="I249" s="337"/>
      <c r="J249" s="32"/>
      <c r="N249" s="9"/>
    </row>
    <row r="250" spans="1:14" hidden="1" x14ac:dyDescent="0.2">
      <c r="C250" s="93"/>
      <c r="D250" s="93"/>
      <c r="F250" s="337"/>
      <c r="G250" s="337"/>
      <c r="H250" s="337"/>
      <c r="I250" s="337"/>
      <c r="J250" s="32"/>
      <c r="N250" s="9"/>
    </row>
    <row r="251" spans="1:14" hidden="1" x14ac:dyDescent="0.2">
      <c r="C251" s="93"/>
      <c r="D251" s="93"/>
      <c r="F251" s="337"/>
      <c r="G251" s="337"/>
      <c r="H251" s="337"/>
      <c r="I251" s="337"/>
      <c r="J251" s="32"/>
      <c r="N251" s="9"/>
    </row>
    <row r="252" spans="1:14" hidden="1" x14ac:dyDescent="0.2">
      <c r="C252" s="93"/>
      <c r="D252" s="93"/>
      <c r="F252" s="337"/>
      <c r="G252" s="337"/>
      <c r="H252" s="337"/>
      <c r="I252" s="337"/>
      <c r="J252" s="32"/>
      <c r="N252" s="9"/>
    </row>
    <row r="253" spans="1:14" hidden="1" x14ac:dyDescent="0.2">
      <c r="C253" s="93"/>
      <c r="D253" s="93"/>
      <c r="F253" s="337"/>
      <c r="G253" s="337"/>
      <c r="H253" s="337"/>
      <c r="I253" s="337"/>
      <c r="J253" s="32"/>
      <c r="N253" s="9"/>
    </row>
    <row r="254" spans="1:14" hidden="1" x14ac:dyDescent="0.2">
      <c r="C254" s="93"/>
      <c r="D254" s="93"/>
      <c r="F254" s="85"/>
      <c r="G254" s="85"/>
      <c r="J254" s="9"/>
      <c r="N254" s="9"/>
    </row>
    <row r="255" spans="1:14" hidden="1" x14ac:dyDescent="0.2">
      <c r="C255" s="93">
        <v>0</v>
      </c>
      <c r="D255" s="93"/>
      <c r="F255" s="85"/>
      <c r="G255" s="85"/>
      <c r="J255" s="9"/>
      <c r="N255" s="9"/>
    </row>
    <row r="256" spans="1:14" hidden="1" x14ac:dyDescent="0.2">
      <c r="B256" s="85"/>
      <c r="C256" s="88">
        <f>SUM(B240:I240)</f>
        <v>991.80302715000028</v>
      </c>
      <c r="D256" s="93"/>
      <c r="F256" s="85"/>
      <c r="G256" s="85"/>
      <c r="J256" s="9"/>
      <c r="N256" s="9"/>
    </row>
    <row r="257" spans="2:14" hidden="1" x14ac:dyDescent="0.2">
      <c r="B257" s="85"/>
      <c r="C257" s="88">
        <f t="shared" ref="C257:C258" si="47">SUM(B241:I241)</f>
        <v>525.13727408941179</v>
      </c>
      <c r="D257" s="93"/>
      <c r="F257" s="85"/>
      <c r="G257" s="85"/>
      <c r="J257" s="9"/>
      <c r="N257" s="9"/>
    </row>
    <row r="258" spans="2:14" hidden="1" x14ac:dyDescent="0.2">
      <c r="B258" s="85"/>
      <c r="C258" s="88">
        <f t="shared" si="47"/>
        <v>0</v>
      </c>
      <c r="D258" s="93"/>
      <c r="F258" s="85"/>
      <c r="G258" s="85"/>
      <c r="J258" s="9"/>
      <c r="N258" s="9"/>
    </row>
    <row r="259" spans="2:14" hidden="1" x14ac:dyDescent="0.2">
      <c r="B259" s="62"/>
      <c r="C259" s="93">
        <v>0</v>
      </c>
      <c r="D259" s="93"/>
      <c r="F259" s="85"/>
      <c r="G259" s="85"/>
      <c r="J259" s="9"/>
      <c r="N259" s="9"/>
    </row>
    <row r="260" spans="2:14" hidden="1" x14ac:dyDescent="0.2">
      <c r="B260" s="62"/>
      <c r="C260" s="93"/>
      <c r="D260" s="93"/>
      <c r="E260" s="85"/>
      <c r="F260" s="85"/>
      <c r="G260" s="85"/>
      <c r="J260" s="9"/>
      <c r="N260" s="9"/>
    </row>
    <row r="261" spans="2:14" hidden="1" x14ac:dyDescent="0.2">
      <c r="C261" s="93"/>
      <c r="D261" s="93"/>
      <c r="E261" s="85"/>
      <c r="F261" s="85"/>
      <c r="G261" s="85"/>
      <c r="J261" s="9"/>
      <c r="N261" s="9"/>
    </row>
    <row r="262" spans="2:14" hidden="1" x14ac:dyDescent="0.2">
      <c r="C262" s="93"/>
      <c r="D262" s="93"/>
      <c r="E262" s="85"/>
      <c r="F262" s="85"/>
      <c r="G262" s="85"/>
      <c r="J262" s="9"/>
      <c r="N262" s="9"/>
    </row>
    <row r="263" spans="2:14" hidden="1" x14ac:dyDescent="0.2">
      <c r="C263" s="93"/>
      <c r="D263" s="93"/>
      <c r="E263" s="85"/>
      <c r="F263" s="85"/>
      <c r="G263" s="85"/>
      <c r="J263" s="9"/>
      <c r="N263" s="9"/>
    </row>
    <row r="264" spans="2:14" hidden="1" x14ac:dyDescent="0.2">
      <c r="C264" s="93"/>
      <c r="D264" s="93"/>
      <c r="E264" s="85"/>
      <c r="F264" s="85"/>
      <c r="G264" s="85"/>
      <c r="J264" s="9"/>
      <c r="N264" s="9"/>
    </row>
    <row r="265" spans="2:14" hidden="1" x14ac:dyDescent="0.2">
      <c r="C265" s="93"/>
      <c r="D265" s="93"/>
      <c r="E265" s="85"/>
      <c r="F265" s="85"/>
      <c r="G265" s="85"/>
      <c r="J265" s="9"/>
      <c r="N265" s="9"/>
    </row>
    <row r="266" spans="2:14" hidden="1" x14ac:dyDescent="0.2">
      <c r="C266" s="93"/>
      <c r="D266" s="93"/>
      <c r="E266" s="9"/>
      <c r="J266" s="9"/>
      <c r="N266" s="9"/>
    </row>
    <row r="267" spans="2:14" hidden="1" x14ac:dyDescent="0.2">
      <c r="C267" s="93"/>
      <c r="D267" s="93"/>
      <c r="E267" s="9"/>
      <c r="J267" s="9"/>
      <c r="N267" s="9"/>
    </row>
    <row r="268" spans="2:14" hidden="1" x14ac:dyDescent="0.2">
      <c r="C268" s="93"/>
      <c r="D268" s="93"/>
      <c r="E268" s="9"/>
      <c r="J268" s="9"/>
      <c r="N268" s="9"/>
    </row>
    <row r="269" spans="2:14" hidden="1" x14ac:dyDescent="0.2">
      <c r="E269" s="9"/>
      <c r="J269" s="9"/>
      <c r="N269" s="9"/>
    </row>
    <row r="270" spans="2:14" hidden="1" x14ac:dyDescent="0.2">
      <c r="E270" s="9"/>
      <c r="J270" s="9"/>
      <c r="N270" s="9"/>
    </row>
    <row r="271" spans="2:14" hidden="1" x14ac:dyDescent="0.2">
      <c r="E271" s="9"/>
      <c r="J271" s="9"/>
      <c r="N271" s="9"/>
    </row>
    <row r="272" spans="2:14" hidden="1" x14ac:dyDescent="0.2">
      <c r="E272" s="9"/>
      <c r="J272" s="9"/>
      <c r="N272" s="9"/>
    </row>
    <row r="273" spans="5:14" s="9" customFormat="1" hidden="1" x14ac:dyDescent="0.2"/>
    <row r="274" spans="5:14" s="9" customFormat="1" hidden="1" x14ac:dyDescent="0.2"/>
    <row r="275" spans="5:14" s="9" customFormat="1" hidden="1" x14ac:dyDescent="0.2"/>
    <row r="276" spans="5:14" hidden="1" x14ac:dyDescent="0.2">
      <c r="E276" s="9"/>
      <c r="H276" s="14"/>
      <c r="I276" s="14"/>
      <c r="J276" s="14"/>
      <c r="N276" s="9"/>
    </row>
    <row r="277" spans="5:14" hidden="1" x14ac:dyDescent="0.2">
      <c r="E277" s="9"/>
      <c r="H277" s="14"/>
      <c r="I277" s="14"/>
      <c r="J277" s="14"/>
      <c r="N277" s="9"/>
    </row>
    <row r="278" spans="5:14" s="9" customFormat="1" hidden="1" x14ac:dyDescent="0.2"/>
    <row r="279" spans="5:14" s="9" customFormat="1" hidden="1" x14ac:dyDescent="0.2"/>
    <row r="280" spans="5:14" s="9" customFormat="1" hidden="1" x14ac:dyDescent="0.2"/>
    <row r="281" spans="5:14" s="9" customFormat="1" hidden="1" x14ac:dyDescent="0.2"/>
    <row r="282" spans="5:14" s="9" customFormat="1" hidden="1" x14ac:dyDescent="0.2"/>
    <row r="283" spans="5:14" s="9" customFormat="1" hidden="1" x14ac:dyDescent="0.2"/>
    <row r="284" spans="5:14" s="9" customFormat="1" hidden="1" x14ac:dyDescent="0.2"/>
    <row r="285" spans="5:14" s="9" customFormat="1" hidden="1" x14ac:dyDescent="0.2">
      <c r="H285" s="32"/>
    </row>
    <row r="286" spans="5:14" s="9" customFormat="1" hidden="1" x14ac:dyDescent="0.2">
      <c r="H286" s="32"/>
    </row>
    <row r="287" spans="5:14" s="9" customFormat="1" hidden="1" x14ac:dyDescent="0.2">
      <c r="H287" s="32"/>
    </row>
    <row r="288" spans="5:14" s="9" customFormat="1" hidden="1" x14ac:dyDescent="0.2"/>
    <row r="289" spans="5:14" hidden="1" x14ac:dyDescent="0.2">
      <c r="E289" s="9"/>
      <c r="J289" s="9"/>
      <c r="N289" s="9"/>
    </row>
    <row r="290" spans="5:14" hidden="1" x14ac:dyDescent="0.2">
      <c r="E290" s="9"/>
      <c r="J290" s="9"/>
      <c r="N290" s="9"/>
    </row>
    <row r="291" spans="5:14" hidden="1" x14ac:dyDescent="0.2">
      <c r="E291" s="9"/>
      <c r="J291" s="9"/>
      <c r="N291" s="9"/>
    </row>
    <row r="292" spans="5:14" hidden="1" x14ac:dyDescent="0.2">
      <c r="J292" s="9"/>
      <c r="N292" s="9"/>
    </row>
    <row r="293" spans="5:14" x14ac:dyDescent="0.2">
      <c r="J293" s="9"/>
      <c r="N293" s="9"/>
    </row>
    <row r="294" spans="5:14" x14ac:dyDescent="0.2">
      <c r="J294" s="9"/>
      <c r="N294" s="9"/>
    </row>
    <row r="295" spans="5:14" x14ac:dyDescent="0.2">
      <c r="J295" s="9"/>
      <c r="N295" s="9"/>
    </row>
    <row r="296" spans="5:14" x14ac:dyDescent="0.2">
      <c r="J296" s="9"/>
      <c r="N296" s="9"/>
    </row>
    <row r="297" spans="5:14" x14ac:dyDescent="0.2">
      <c r="J297" s="9"/>
      <c r="N297" s="9"/>
    </row>
    <row r="298" spans="5:14" x14ac:dyDescent="0.2">
      <c r="J298" s="9"/>
      <c r="N298" s="9"/>
    </row>
    <row r="299" spans="5:14" x14ac:dyDescent="0.2">
      <c r="J299" s="9"/>
      <c r="N299" s="9"/>
    </row>
    <row r="300" spans="5:14" x14ac:dyDescent="0.2">
      <c r="J300" s="9"/>
      <c r="N300" s="9"/>
    </row>
    <row r="301" spans="5:14" x14ac:dyDescent="0.2">
      <c r="J301" s="9"/>
      <c r="N301" s="9"/>
    </row>
    <row r="302" spans="5:14" x14ac:dyDescent="0.2">
      <c r="J302" s="9"/>
      <c r="N302" s="9"/>
    </row>
    <row r="303" spans="5:14" x14ac:dyDescent="0.2">
      <c r="J303" s="9"/>
      <c r="N303" s="9"/>
    </row>
    <row r="304" spans="5:14" x14ac:dyDescent="0.2">
      <c r="J304" s="9"/>
      <c r="N304" s="9"/>
    </row>
    <row r="305" spans="10:14" x14ac:dyDescent="0.2">
      <c r="J305" s="9"/>
      <c r="N305" s="9"/>
    </row>
    <row r="306" spans="10:14" x14ac:dyDescent="0.2">
      <c r="J306" s="9"/>
      <c r="N306" s="9"/>
    </row>
    <row r="307" spans="10:14" x14ac:dyDescent="0.2">
      <c r="J307" s="9"/>
      <c r="N307" s="9"/>
    </row>
    <row r="308" spans="10:14" x14ac:dyDescent="0.2">
      <c r="J308" s="9"/>
      <c r="N308" s="9"/>
    </row>
    <row r="309" spans="10:14" x14ac:dyDescent="0.2">
      <c r="J309" s="9"/>
      <c r="N309" s="9"/>
    </row>
    <row r="310" spans="10:14" x14ac:dyDescent="0.2">
      <c r="J310" s="9"/>
      <c r="N310" s="9"/>
    </row>
    <row r="311" spans="10:14" x14ac:dyDescent="0.2">
      <c r="J311" s="9"/>
      <c r="N311" s="9"/>
    </row>
    <row r="312" spans="10:14" x14ac:dyDescent="0.2">
      <c r="J312" s="9"/>
      <c r="N312" s="9"/>
    </row>
    <row r="313" spans="10:14" x14ac:dyDescent="0.2">
      <c r="J313" s="9"/>
      <c r="N313" s="9"/>
    </row>
    <row r="314" spans="10:14" x14ac:dyDescent="0.2">
      <c r="J314" s="9"/>
      <c r="N314" s="9"/>
    </row>
    <row r="315" spans="10:14" x14ac:dyDescent="0.2">
      <c r="J315" s="9"/>
      <c r="N315" s="9"/>
    </row>
    <row r="316" spans="10:14" x14ac:dyDescent="0.2">
      <c r="J316" s="9"/>
      <c r="N316" s="9"/>
    </row>
    <row r="317" spans="10:14" x14ac:dyDescent="0.2">
      <c r="J317" s="9"/>
      <c r="N317" s="9"/>
    </row>
    <row r="318" spans="10:14" x14ac:dyDescent="0.2">
      <c r="J318" s="9"/>
      <c r="N318" s="9"/>
    </row>
    <row r="319" spans="10:14" x14ac:dyDescent="0.2">
      <c r="J319" s="9"/>
      <c r="N319" s="9"/>
    </row>
    <row r="320" spans="10:14" x14ac:dyDescent="0.2">
      <c r="J320" s="9"/>
      <c r="N320" s="9"/>
    </row>
    <row r="321" spans="10:14" x14ac:dyDescent="0.2">
      <c r="J321" s="9"/>
      <c r="N321" s="9"/>
    </row>
    <row r="322" spans="10:14" x14ac:dyDescent="0.2">
      <c r="J322" s="9"/>
      <c r="N322" s="9"/>
    </row>
    <row r="323" spans="10:14" x14ac:dyDescent="0.2">
      <c r="J323" s="9"/>
      <c r="N323" s="9"/>
    </row>
    <row r="324" spans="10:14" x14ac:dyDescent="0.2">
      <c r="J324" s="9"/>
      <c r="N324" s="9"/>
    </row>
    <row r="325" spans="10:14" x14ac:dyDescent="0.2">
      <c r="J325" s="9"/>
      <c r="N325" s="9"/>
    </row>
    <row r="326" spans="10:14" x14ac:dyDescent="0.2">
      <c r="J326" s="9"/>
      <c r="N326" s="9"/>
    </row>
    <row r="327" spans="10:14" x14ac:dyDescent="0.2">
      <c r="J327" s="9"/>
      <c r="N327" s="9"/>
    </row>
    <row r="328" spans="10:14" x14ac:dyDescent="0.2">
      <c r="J328" s="9"/>
      <c r="N328" s="9"/>
    </row>
    <row r="329" spans="10:14" x14ac:dyDescent="0.2">
      <c r="J329" s="9"/>
      <c r="N329" s="9"/>
    </row>
    <row r="330" spans="10:14" x14ac:dyDescent="0.2">
      <c r="J330" s="9"/>
      <c r="N330" s="9"/>
    </row>
    <row r="331" spans="10:14" x14ac:dyDescent="0.2">
      <c r="J331" s="9"/>
      <c r="N331" s="9"/>
    </row>
    <row r="332" spans="10:14" x14ac:dyDescent="0.2">
      <c r="J332" s="9"/>
      <c r="N332" s="9"/>
    </row>
    <row r="333" spans="10:14" x14ac:dyDescent="0.2">
      <c r="J333" s="9"/>
      <c r="N333" s="9"/>
    </row>
    <row r="334" spans="10:14" x14ac:dyDescent="0.2">
      <c r="J334" s="9"/>
      <c r="N334" s="9"/>
    </row>
    <row r="335" spans="10:14" x14ac:dyDescent="0.2">
      <c r="J335" s="9"/>
      <c r="N335" s="9"/>
    </row>
    <row r="336" spans="10:14" x14ac:dyDescent="0.2">
      <c r="J336" s="9"/>
      <c r="N336" s="9"/>
    </row>
    <row r="337" spans="10:14" x14ac:dyDescent="0.2">
      <c r="J337" s="9"/>
      <c r="N337" s="9"/>
    </row>
    <row r="338" spans="10:14" x14ac:dyDescent="0.2">
      <c r="J338" s="9"/>
      <c r="N338" s="9"/>
    </row>
    <row r="339" spans="10:14" x14ac:dyDescent="0.2">
      <c r="J339" s="9"/>
      <c r="N339" s="9"/>
    </row>
    <row r="340" spans="10:14" x14ac:dyDescent="0.2">
      <c r="J340" s="9"/>
      <c r="N340" s="9"/>
    </row>
    <row r="341" spans="10:14" x14ac:dyDescent="0.2">
      <c r="J341" s="9"/>
      <c r="N341" s="9"/>
    </row>
    <row r="342" spans="10:14" x14ac:dyDescent="0.2">
      <c r="J342" s="9"/>
      <c r="N342" s="9"/>
    </row>
    <row r="343" spans="10:14" x14ac:dyDescent="0.2">
      <c r="J343" s="9"/>
      <c r="N343" s="9"/>
    </row>
    <row r="344" spans="10:14" x14ac:dyDescent="0.2">
      <c r="J344" s="9"/>
      <c r="N344" s="9"/>
    </row>
    <row r="345" spans="10:14" x14ac:dyDescent="0.2">
      <c r="J345" s="9"/>
      <c r="N345" s="9"/>
    </row>
    <row r="346" spans="10:14" x14ac:dyDescent="0.2">
      <c r="J346" s="9"/>
      <c r="N346" s="9"/>
    </row>
    <row r="347" spans="10:14" x14ac:dyDescent="0.2">
      <c r="J347" s="9"/>
      <c r="N347" s="9"/>
    </row>
    <row r="348" spans="10:14" x14ac:dyDescent="0.2">
      <c r="J348" s="9"/>
      <c r="N348" s="9"/>
    </row>
    <row r="349" spans="10:14" x14ac:dyDescent="0.2">
      <c r="J349" s="9"/>
      <c r="N349" s="9"/>
    </row>
    <row r="350" spans="10:14" x14ac:dyDescent="0.2">
      <c r="J350" s="9"/>
      <c r="N350" s="9"/>
    </row>
    <row r="351" spans="10:14" x14ac:dyDescent="0.2">
      <c r="J351" s="9"/>
      <c r="N351" s="9"/>
    </row>
    <row r="352" spans="10:14" x14ac:dyDescent="0.2">
      <c r="J352" s="9"/>
      <c r="N352" s="9"/>
    </row>
    <row r="353" spans="10:14" x14ac:dyDescent="0.2">
      <c r="J353" s="9"/>
      <c r="N353" s="9"/>
    </row>
    <row r="354" spans="10:14" x14ac:dyDescent="0.2">
      <c r="J354" s="9"/>
      <c r="N354" s="9"/>
    </row>
    <row r="355" spans="10:14" x14ac:dyDescent="0.2">
      <c r="J355" s="9"/>
      <c r="N355" s="9"/>
    </row>
    <row r="356" spans="10:14" x14ac:dyDescent="0.2">
      <c r="J356" s="9"/>
      <c r="N356" s="9"/>
    </row>
    <row r="357" spans="10:14" x14ac:dyDescent="0.2">
      <c r="J357" s="9"/>
      <c r="N357" s="9"/>
    </row>
    <row r="358" spans="10:14" x14ac:dyDescent="0.2">
      <c r="J358" s="9"/>
      <c r="N358" s="9"/>
    </row>
    <row r="359" spans="10:14" x14ac:dyDescent="0.2">
      <c r="J359" s="9"/>
      <c r="N359" s="9"/>
    </row>
    <row r="360" spans="10:14" x14ac:dyDescent="0.2">
      <c r="J360" s="9"/>
      <c r="N360" s="9"/>
    </row>
    <row r="361" spans="10:14" x14ac:dyDescent="0.2">
      <c r="J361" s="9"/>
      <c r="N361" s="9"/>
    </row>
    <row r="362" spans="10:14" x14ac:dyDescent="0.2">
      <c r="J362" s="9"/>
      <c r="N362" s="9"/>
    </row>
    <row r="363" spans="10:14" x14ac:dyDescent="0.2">
      <c r="J363" s="9"/>
      <c r="N363" s="9"/>
    </row>
    <row r="364" spans="10:14" x14ac:dyDescent="0.2">
      <c r="J364" s="9"/>
      <c r="N364" s="9"/>
    </row>
    <row r="365" spans="10:14" x14ac:dyDescent="0.2">
      <c r="J365" s="9"/>
      <c r="N365" s="9"/>
    </row>
    <row r="366" spans="10:14" x14ac:dyDescent="0.2">
      <c r="J366" s="9"/>
      <c r="N366" s="9"/>
    </row>
    <row r="367" spans="10:14" x14ac:dyDescent="0.2">
      <c r="J367" s="9"/>
      <c r="N367" s="9"/>
    </row>
    <row r="368" spans="10:14" x14ac:dyDescent="0.2">
      <c r="J368" s="9"/>
      <c r="N368" s="9"/>
    </row>
    <row r="369" spans="10:14" x14ac:dyDescent="0.2">
      <c r="J369" s="9"/>
      <c r="N369" s="9"/>
    </row>
    <row r="370" spans="10:14" x14ac:dyDescent="0.2">
      <c r="J370" s="9"/>
      <c r="N370" s="9"/>
    </row>
    <row r="371" spans="10:14" x14ac:dyDescent="0.2">
      <c r="J371" s="9"/>
      <c r="N371" s="9"/>
    </row>
    <row r="372" spans="10:14" x14ac:dyDescent="0.2">
      <c r="J372" s="9"/>
      <c r="N372" s="9"/>
    </row>
    <row r="373" spans="10:14" x14ac:dyDescent="0.2">
      <c r="J373" s="9"/>
      <c r="N373" s="9"/>
    </row>
    <row r="374" spans="10:14" x14ac:dyDescent="0.2">
      <c r="J374" s="9"/>
      <c r="N374" s="9"/>
    </row>
    <row r="375" spans="10:14" x14ac:dyDescent="0.2">
      <c r="J375" s="9"/>
      <c r="N375" s="9"/>
    </row>
    <row r="376" spans="10:14" x14ac:dyDescent="0.2">
      <c r="J376" s="9"/>
      <c r="N376" s="9"/>
    </row>
    <row r="377" spans="10:14" x14ac:dyDescent="0.2">
      <c r="J377" s="9"/>
      <c r="N377" s="9"/>
    </row>
    <row r="378" spans="10:14" x14ac:dyDescent="0.2">
      <c r="J378" s="9"/>
      <c r="N378" s="9"/>
    </row>
    <row r="379" spans="10:14" x14ac:dyDescent="0.2">
      <c r="J379" s="9"/>
      <c r="N379" s="9"/>
    </row>
    <row r="380" spans="10:14" x14ac:dyDescent="0.2">
      <c r="J380" s="9"/>
      <c r="N380" s="9"/>
    </row>
    <row r="381" spans="10:14" x14ac:dyDescent="0.2">
      <c r="J381" s="9"/>
      <c r="N381" s="9"/>
    </row>
    <row r="382" spans="10:14" x14ac:dyDescent="0.2">
      <c r="J382" s="9"/>
      <c r="N382" s="9"/>
    </row>
    <row r="383" spans="10:14" x14ac:dyDescent="0.2">
      <c r="J383" s="9"/>
      <c r="N383" s="9"/>
    </row>
    <row r="384" spans="10:14" x14ac:dyDescent="0.2">
      <c r="J384" s="9"/>
      <c r="N384" s="9"/>
    </row>
    <row r="385" spans="10:14" x14ac:dyDescent="0.2">
      <c r="J385" s="9"/>
      <c r="N385" s="9"/>
    </row>
    <row r="386" spans="10:14" x14ac:dyDescent="0.2">
      <c r="J386" s="9"/>
      <c r="N386" s="9"/>
    </row>
    <row r="387" spans="10:14" x14ac:dyDescent="0.2">
      <c r="J387" s="9"/>
      <c r="N387" s="9"/>
    </row>
    <row r="388" spans="10:14" x14ac:dyDescent="0.2">
      <c r="J388" s="9"/>
      <c r="N388" s="9"/>
    </row>
    <row r="389" spans="10:14" x14ac:dyDescent="0.2">
      <c r="J389" s="9"/>
      <c r="N389" s="9"/>
    </row>
    <row r="390" spans="10:14" x14ac:dyDescent="0.2">
      <c r="J390" s="9"/>
      <c r="N390" s="9"/>
    </row>
    <row r="391" spans="10:14" x14ac:dyDescent="0.2">
      <c r="J391" s="9"/>
      <c r="N391" s="9"/>
    </row>
    <row r="392" spans="10:14" x14ac:dyDescent="0.2">
      <c r="J392" s="9"/>
      <c r="N392" s="9"/>
    </row>
    <row r="393" spans="10:14" x14ac:dyDescent="0.2">
      <c r="J393" s="9"/>
      <c r="N393" s="9"/>
    </row>
    <row r="394" spans="10:14" x14ac:dyDescent="0.2">
      <c r="J394" s="9"/>
      <c r="N394" s="9"/>
    </row>
    <row r="395" spans="10:14" x14ac:dyDescent="0.2">
      <c r="J395" s="9"/>
      <c r="N395" s="9"/>
    </row>
    <row r="396" spans="10:14" x14ac:dyDescent="0.2">
      <c r="J396" s="9"/>
      <c r="N396" s="9"/>
    </row>
    <row r="397" spans="10:14" x14ac:dyDescent="0.2">
      <c r="J397" s="9"/>
      <c r="N397" s="9"/>
    </row>
    <row r="398" spans="10:14" x14ac:dyDescent="0.2">
      <c r="J398" s="9"/>
      <c r="N398" s="9"/>
    </row>
    <row r="399" spans="10:14" x14ac:dyDescent="0.2">
      <c r="J399" s="9"/>
      <c r="N399" s="9"/>
    </row>
    <row r="400" spans="10:14" x14ac:dyDescent="0.2">
      <c r="J400" s="9"/>
      <c r="N400" s="9"/>
    </row>
    <row r="401" spans="10:14" x14ac:dyDescent="0.2">
      <c r="J401" s="9"/>
      <c r="N401" s="9"/>
    </row>
    <row r="402" spans="10:14" x14ac:dyDescent="0.2">
      <c r="J402" s="9"/>
      <c r="N402" s="9"/>
    </row>
    <row r="403" spans="10:14" x14ac:dyDescent="0.2">
      <c r="J403" s="9"/>
      <c r="N403" s="9"/>
    </row>
    <row r="404" spans="10:14" x14ac:dyDescent="0.2">
      <c r="J404" s="9"/>
      <c r="N404" s="9"/>
    </row>
    <row r="405" spans="10:14" x14ac:dyDescent="0.2">
      <c r="J405" s="9"/>
      <c r="N405" s="9"/>
    </row>
    <row r="406" spans="10:14" x14ac:dyDescent="0.2">
      <c r="J406" s="9"/>
      <c r="N406" s="9"/>
    </row>
    <row r="407" spans="10:14" x14ac:dyDescent="0.2">
      <c r="J407" s="9"/>
      <c r="N407" s="9"/>
    </row>
    <row r="408" spans="10:14" x14ac:dyDescent="0.2">
      <c r="J408" s="9"/>
      <c r="N408" s="9"/>
    </row>
    <row r="409" spans="10:14" x14ac:dyDescent="0.2">
      <c r="J409" s="9"/>
      <c r="N409" s="9"/>
    </row>
    <row r="410" spans="10:14" x14ac:dyDescent="0.2">
      <c r="J410" s="9"/>
      <c r="N410" s="9"/>
    </row>
    <row r="411" spans="10:14" x14ac:dyDescent="0.2">
      <c r="J411" s="9"/>
      <c r="N411" s="9"/>
    </row>
    <row r="412" spans="10:14" x14ac:dyDescent="0.2">
      <c r="J412" s="9"/>
      <c r="N412" s="9"/>
    </row>
    <row r="413" spans="10:14" x14ac:dyDescent="0.2">
      <c r="J413" s="9"/>
      <c r="N413" s="9"/>
    </row>
    <row r="414" spans="10:14" x14ac:dyDescent="0.2">
      <c r="J414" s="9"/>
      <c r="N414" s="9"/>
    </row>
    <row r="415" spans="10:14" x14ac:dyDescent="0.2">
      <c r="J415" s="9"/>
      <c r="N415" s="9"/>
    </row>
    <row r="416" spans="10:14" x14ac:dyDescent="0.2">
      <c r="J416" s="9"/>
      <c r="N416" s="9"/>
    </row>
    <row r="417" spans="10:14" x14ac:dyDescent="0.2">
      <c r="J417" s="9"/>
      <c r="N417" s="9"/>
    </row>
    <row r="418" spans="10:14" x14ac:dyDescent="0.2">
      <c r="J418" s="9"/>
      <c r="N418" s="9"/>
    </row>
    <row r="419" spans="10:14" x14ac:dyDescent="0.2">
      <c r="J419" s="9"/>
      <c r="N419" s="9"/>
    </row>
    <row r="420" spans="10:14" x14ac:dyDescent="0.2">
      <c r="J420" s="9"/>
      <c r="N420" s="9"/>
    </row>
    <row r="421" spans="10:14" x14ac:dyDescent="0.2">
      <c r="J421" s="9"/>
      <c r="N421" s="9"/>
    </row>
    <row r="422" spans="10:14" x14ac:dyDescent="0.2">
      <c r="J422" s="9"/>
      <c r="N422" s="9"/>
    </row>
    <row r="423" spans="10:14" x14ac:dyDescent="0.2">
      <c r="J423" s="9"/>
      <c r="N423" s="9"/>
    </row>
    <row r="424" spans="10:14" x14ac:dyDescent="0.2">
      <c r="J424" s="9"/>
      <c r="N424" s="9"/>
    </row>
    <row r="425" spans="10:14" x14ac:dyDescent="0.2">
      <c r="J425" s="9"/>
      <c r="N425" s="9"/>
    </row>
    <row r="426" spans="10:14" x14ac:dyDescent="0.2">
      <c r="J426" s="9"/>
      <c r="N426" s="9"/>
    </row>
    <row r="427" spans="10:14" x14ac:dyDescent="0.2">
      <c r="J427" s="9"/>
      <c r="N427" s="9"/>
    </row>
    <row r="428" spans="10:14" x14ac:dyDescent="0.2">
      <c r="J428" s="9"/>
      <c r="N428" s="9"/>
    </row>
    <row r="429" spans="10:14" x14ac:dyDescent="0.2">
      <c r="J429" s="9"/>
      <c r="N429" s="9"/>
    </row>
    <row r="430" spans="10:14" x14ac:dyDescent="0.2">
      <c r="J430" s="9"/>
      <c r="N430" s="9"/>
    </row>
    <row r="431" spans="10:14" x14ac:dyDescent="0.2">
      <c r="J431" s="9"/>
      <c r="N431" s="9"/>
    </row>
    <row r="432" spans="10:14" x14ac:dyDescent="0.2">
      <c r="J432" s="9"/>
      <c r="N432" s="9"/>
    </row>
    <row r="433" spans="10:14" x14ac:dyDescent="0.2">
      <c r="J433" s="9"/>
      <c r="N433" s="9"/>
    </row>
    <row r="434" spans="10:14" x14ac:dyDescent="0.2">
      <c r="J434" s="9"/>
      <c r="N434" s="9"/>
    </row>
    <row r="435" spans="10:14" x14ac:dyDescent="0.2">
      <c r="J435" s="9"/>
      <c r="N435" s="9"/>
    </row>
    <row r="436" spans="10:14" x14ac:dyDescent="0.2">
      <c r="J436" s="9"/>
      <c r="N436" s="9"/>
    </row>
    <row r="437" spans="10:14" x14ac:dyDescent="0.2">
      <c r="J437" s="9"/>
      <c r="N437" s="9"/>
    </row>
    <row r="438" spans="10:14" x14ac:dyDescent="0.2">
      <c r="J438" s="9"/>
      <c r="N438" s="9"/>
    </row>
    <row r="439" spans="10:14" x14ac:dyDescent="0.2">
      <c r="J439" s="9"/>
      <c r="N439" s="9"/>
    </row>
    <row r="440" spans="10:14" x14ac:dyDescent="0.2">
      <c r="J440" s="9"/>
      <c r="N440" s="9"/>
    </row>
    <row r="441" spans="10:14" x14ac:dyDescent="0.2">
      <c r="J441" s="9"/>
      <c r="N441" s="9"/>
    </row>
    <row r="442" spans="10:14" x14ac:dyDescent="0.2">
      <c r="J442" s="9"/>
      <c r="N442" s="9"/>
    </row>
    <row r="443" spans="10:14" x14ac:dyDescent="0.2">
      <c r="J443" s="9"/>
      <c r="N443" s="9"/>
    </row>
    <row r="444" spans="10:14" x14ac:dyDescent="0.2">
      <c r="J444" s="9"/>
      <c r="N444" s="9"/>
    </row>
    <row r="445" spans="10:14" x14ac:dyDescent="0.2">
      <c r="J445" s="9"/>
      <c r="N445" s="9"/>
    </row>
    <row r="446" spans="10:14" x14ac:dyDescent="0.2">
      <c r="J446" s="9"/>
      <c r="N446" s="9"/>
    </row>
    <row r="447" spans="10:14" x14ac:dyDescent="0.2">
      <c r="J447" s="9"/>
      <c r="N447" s="9"/>
    </row>
    <row r="448" spans="10:14" x14ac:dyDescent="0.2">
      <c r="J448" s="9"/>
      <c r="N448" s="9"/>
    </row>
    <row r="449" spans="10:14" x14ac:dyDescent="0.2">
      <c r="J449" s="9"/>
      <c r="N449" s="9"/>
    </row>
    <row r="450" spans="10:14" x14ac:dyDescent="0.2">
      <c r="J450" s="9"/>
      <c r="N450" s="9"/>
    </row>
    <row r="451" spans="10:14" x14ac:dyDescent="0.2">
      <c r="J451" s="9"/>
      <c r="N451" s="9"/>
    </row>
    <row r="452" spans="10:14" x14ac:dyDescent="0.2">
      <c r="J452" s="9"/>
      <c r="N452" s="9"/>
    </row>
    <row r="453" spans="10:14" x14ac:dyDescent="0.2">
      <c r="J453" s="9"/>
      <c r="N453" s="9"/>
    </row>
    <row r="454" spans="10:14" x14ac:dyDescent="0.2">
      <c r="J454" s="9"/>
      <c r="N454" s="9"/>
    </row>
    <row r="455" spans="10:14" x14ac:dyDescent="0.2">
      <c r="J455" s="9"/>
      <c r="N455" s="9"/>
    </row>
    <row r="456" spans="10:14" x14ac:dyDescent="0.2">
      <c r="J456" s="9"/>
      <c r="N456" s="9"/>
    </row>
    <row r="457" spans="10:14" x14ac:dyDescent="0.2">
      <c r="J457" s="9"/>
      <c r="N457" s="9"/>
    </row>
    <row r="458" spans="10:14" x14ac:dyDescent="0.2">
      <c r="J458" s="9"/>
      <c r="N458" s="9"/>
    </row>
    <row r="459" spans="10:14" x14ac:dyDescent="0.2">
      <c r="J459" s="9"/>
      <c r="N459" s="9"/>
    </row>
    <row r="460" spans="10:14" x14ac:dyDescent="0.2">
      <c r="J460" s="9"/>
      <c r="N460" s="9"/>
    </row>
    <row r="461" spans="10:14" x14ac:dyDescent="0.2">
      <c r="J461" s="9"/>
      <c r="N461" s="9"/>
    </row>
    <row r="462" spans="10:14" x14ac:dyDescent="0.2">
      <c r="J462" s="9"/>
      <c r="N462" s="9"/>
    </row>
    <row r="463" spans="10:14" x14ac:dyDescent="0.2">
      <c r="J463" s="9"/>
      <c r="N463" s="9"/>
    </row>
    <row r="464" spans="10:14" x14ac:dyDescent="0.2">
      <c r="J464" s="9"/>
      <c r="N464" s="9"/>
    </row>
    <row r="465" spans="10:14" x14ac:dyDescent="0.2">
      <c r="J465" s="9"/>
      <c r="N465" s="9"/>
    </row>
    <row r="466" spans="10:14" x14ac:dyDescent="0.2">
      <c r="J466" s="9"/>
      <c r="N466" s="9"/>
    </row>
    <row r="467" spans="10:14" x14ac:dyDescent="0.2">
      <c r="J467" s="9"/>
      <c r="N467" s="9"/>
    </row>
    <row r="468" spans="10:14" x14ac:dyDescent="0.2">
      <c r="J468" s="9"/>
      <c r="N468" s="9"/>
    </row>
    <row r="469" spans="10:14" x14ac:dyDescent="0.2">
      <c r="J469" s="9"/>
      <c r="N469" s="9"/>
    </row>
    <row r="470" spans="10:14" x14ac:dyDescent="0.2">
      <c r="J470" s="9"/>
      <c r="N470" s="9"/>
    </row>
    <row r="471" spans="10:14" x14ac:dyDescent="0.2">
      <c r="J471" s="9"/>
      <c r="N471" s="9"/>
    </row>
    <row r="472" spans="10:14" x14ac:dyDescent="0.2">
      <c r="J472" s="9"/>
      <c r="N472" s="9"/>
    </row>
    <row r="473" spans="10:14" x14ac:dyDescent="0.2">
      <c r="J473" s="9"/>
      <c r="N473" s="9"/>
    </row>
    <row r="474" spans="10:14" x14ac:dyDescent="0.2">
      <c r="J474" s="9"/>
      <c r="N474" s="9"/>
    </row>
    <row r="475" spans="10:14" x14ac:dyDescent="0.2">
      <c r="J475" s="9"/>
      <c r="N475" s="9"/>
    </row>
    <row r="476" spans="10:14" x14ac:dyDescent="0.2">
      <c r="J476" s="9"/>
      <c r="N476" s="9"/>
    </row>
    <row r="477" spans="10:14" x14ac:dyDescent="0.2">
      <c r="J477" s="9"/>
      <c r="N477" s="9"/>
    </row>
    <row r="478" spans="10:14" x14ac:dyDescent="0.2">
      <c r="J478" s="9"/>
      <c r="N478" s="9"/>
    </row>
    <row r="479" spans="10:14" x14ac:dyDescent="0.2">
      <c r="J479" s="9"/>
      <c r="N479" s="9"/>
    </row>
    <row r="480" spans="10:14" x14ac:dyDescent="0.2">
      <c r="J480" s="9"/>
      <c r="N480" s="9"/>
    </row>
    <row r="481" spans="10:14" x14ac:dyDescent="0.2">
      <c r="J481" s="9"/>
      <c r="N481" s="9"/>
    </row>
    <row r="482" spans="10:14" x14ac:dyDescent="0.2">
      <c r="J482" s="9"/>
      <c r="N482" s="9"/>
    </row>
    <row r="483" spans="10:14" x14ac:dyDescent="0.2">
      <c r="J483" s="9"/>
      <c r="N483" s="9"/>
    </row>
    <row r="484" spans="10:14" x14ac:dyDescent="0.2">
      <c r="J484" s="9"/>
      <c r="N484" s="9"/>
    </row>
    <row r="485" spans="10:14" x14ac:dyDescent="0.2">
      <c r="J485" s="9"/>
      <c r="N485" s="9"/>
    </row>
    <row r="486" spans="10:14" x14ac:dyDescent="0.2">
      <c r="J486" s="9"/>
      <c r="N486" s="9"/>
    </row>
    <row r="487" spans="10:14" x14ac:dyDescent="0.2">
      <c r="J487" s="9"/>
      <c r="N487" s="9"/>
    </row>
    <row r="488" spans="10:14" x14ac:dyDescent="0.2">
      <c r="J488" s="9"/>
      <c r="N488" s="9"/>
    </row>
    <row r="489" spans="10:14" x14ac:dyDescent="0.2">
      <c r="J489" s="9"/>
      <c r="N489" s="9"/>
    </row>
    <row r="490" spans="10:14" x14ac:dyDescent="0.2">
      <c r="J490" s="9"/>
      <c r="N490" s="9"/>
    </row>
    <row r="491" spans="10:14" x14ac:dyDescent="0.2">
      <c r="J491" s="9"/>
      <c r="N491" s="9"/>
    </row>
    <row r="492" spans="10:14" x14ac:dyDescent="0.2">
      <c r="J492" s="9"/>
      <c r="N492" s="9"/>
    </row>
    <row r="493" spans="10:14" x14ac:dyDescent="0.2">
      <c r="J493" s="9"/>
      <c r="N493" s="9"/>
    </row>
    <row r="494" spans="10:14" x14ac:dyDescent="0.2">
      <c r="J494" s="9"/>
      <c r="N494" s="9"/>
    </row>
    <row r="495" spans="10:14" x14ac:dyDescent="0.2">
      <c r="J495" s="9"/>
      <c r="N495" s="9"/>
    </row>
    <row r="496" spans="10:14" x14ac:dyDescent="0.2">
      <c r="J496" s="9"/>
      <c r="N496" s="9"/>
    </row>
    <row r="497" spans="10:14" x14ac:dyDescent="0.2">
      <c r="J497" s="9"/>
      <c r="N497" s="9"/>
    </row>
    <row r="498" spans="10:14" x14ac:dyDescent="0.2">
      <c r="J498" s="9"/>
      <c r="N498" s="9"/>
    </row>
    <row r="499" spans="10:14" x14ac:dyDescent="0.2">
      <c r="J499" s="9"/>
      <c r="N499" s="9"/>
    </row>
    <row r="500" spans="10:14" x14ac:dyDescent="0.2">
      <c r="J500" s="9"/>
      <c r="N500" s="9"/>
    </row>
    <row r="501" spans="10:14" x14ac:dyDescent="0.2">
      <c r="J501" s="9"/>
      <c r="N501" s="9"/>
    </row>
    <row r="502" spans="10:14" x14ac:dyDescent="0.2">
      <c r="J502" s="9"/>
      <c r="N502" s="9"/>
    </row>
    <row r="503" spans="10:14" x14ac:dyDescent="0.2">
      <c r="J503" s="9"/>
      <c r="N503" s="9"/>
    </row>
    <row r="504" spans="10:14" x14ac:dyDescent="0.2">
      <c r="J504" s="9"/>
      <c r="N504" s="9"/>
    </row>
    <row r="505" spans="10:14" x14ac:dyDescent="0.2">
      <c r="J505" s="9"/>
      <c r="N505" s="9"/>
    </row>
    <row r="506" spans="10:14" x14ac:dyDescent="0.2">
      <c r="J506" s="9"/>
      <c r="N506" s="9"/>
    </row>
    <row r="507" spans="10:14" x14ac:dyDescent="0.2">
      <c r="J507" s="9"/>
      <c r="N507" s="9"/>
    </row>
    <row r="508" spans="10:14" x14ac:dyDescent="0.2">
      <c r="J508" s="9"/>
      <c r="N508" s="9"/>
    </row>
    <row r="509" spans="10:14" x14ac:dyDescent="0.2">
      <c r="J509" s="9"/>
      <c r="N509" s="9"/>
    </row>
    <row r="510" spans="10:14" x14ac:dyDescent="0.2">
      <c r="J510" s="9"/>
      <c r="N510" s="9"/>
    </row>
    <row r="511" spans="10:14" x14ac:dyDescent="0.2">
      <c r="J511" s="9"/>
      <c r="N511" s="9"/>
    </row>
    <row r="512" spans="10:14" x14ac:dyDescent="0.2">
      <c r="J512" s="9"/>
      <c r="N512" s="9"/>
    </row>
    <row r="513" spans="10:14" x14ac:dyDescent="0.2">
      <c r="J513" s="9"/>
      <c r="N513" s="9"/>
    </row>
    <row r="514" spans="10:14" x14ac:dyDescent="0.2">
      <c r="J514" s="9"/>
      <c r="N514" s="9"/>
    </row>
    <row r="515" spans="10:14" x14ac:dyDescent="0.2">
      <c r="J515" s="9"/>
      <c r="N515" s="9"/>
    </row>
    <row r="516" spans="10:14" x14ac:dyDescent="0.2">
      <c r="J516" s="9"/>
      <c r="N516" s="9"/>
    </row>
    <row r="517" spans="10:14" x14ac:dyDescent="0.2">
      <c r="J517" s="9"/>
      <c r="N517" s="9"/>
    </row>
    <row r="518" spans="10:14" x14ac:dyDescent="0.2">
      <c r="J518" s="9"/>
      <c r="N518" s="9"/>
    </row>
    <row r="519" spans="10:14" x14ac:dyDescent="0.2">
      <c r="J519" s="9"/>
      <c r="N519" s="9"/>
    </row>
    <row r="520" spans="10:14" x14ac:dyDescent="0.2">
      <c r="J520" s="9"/>
      <c r="N520" s="9"/>
    </row>
    <row r="521" spans="10:14" x14ac:dyDescent="0.2">
      <c r="J521" s="9"/>
      <c r="N521" s="9"/>
    </row>
    <row r="522" spans="10:14" x14ac:dyDescent="0.2">
      <c r="J522" s="9"/>
      <c r="N522" s="9"/>
    </row>
    <row r="523" spans="10:14" x14ac:dyDescent="0.2">
      <c r="J523" s="9"/>
      <c r="N523" s="9"/>
    </row>
    <row r="524" spans="10:14" x14ac:dyDescent="0.2">
      <c r="J524" s="9"/>
      <c r="N524" s="9"/>
    </row>
    <row r="525" spans="10:14" x14ac:dyDescent="0.2">
      <c r="J525" s="9"/>
      <c r="N525" s="9"/>
    </row>
    <row r="526" spans="10:14" x14ac:dyDescent="0.2">
      <c r="J526" s="9"/>
      <c r="N526" s="9"/>
    </row>
    <row r="527" spans="10:14" x14ac:dyDescent="0.2">
      <c r="J527" s="9"/>
      <c r="N527" s="9"/>
    </row>
    <row r="528" spans="10:14" x14ac:dyDescent="0.2">
      <c r="J528" s="9"/>
      <c r="N528" s="9"/>
    </row>
    <row r="529" spans="10:14" x14ac:dyDescent="0.2">
      <c r="J529" s="9"/>
      <c r="N529" s="9"/>
    </row>
    <row r="530" spans="10:14" x14ac:dyDescent="0.2">
      <c r="J530" s="9"/>
      <c r="N530" s="9"/>
    </row>
    <row r="531" spans="10:14" x14ac:dyDescent="0.2">
      <c r="J531" s="9"/>
      <c r="N531" s="9"/>
    </row>
    <row r="532" spans="10:14" x14ac:dyDescent="0.2">
      <c r="J532" s="9"/>
      <c r="N532" s="9"/>
    </row>
    <row r="533" spans="10:14" x14ac:dyDescent="0.2">
      <c r="J533" s="9"/>
      <c r="N533" s="9"/>
    </row>
    <row r="534" spans="10:14" x14ac:dyDescent="0.2">
      <c r="J534" s="9"/>
      <c r="N534" s="9"/>
    </row>
    <row r="535" spans="10:14" x14ac:dyDescent="0.2">
      <c r="J535" s="9"/>
      <c r="N535" s="9"/>
    </row>
    <row r="536" spans="10:14" x14ac:dyDescent="0.2">
      <c r="J536" s="9"/>
      <c r="N536" s="9"/>
    </row>
    <row r="537" spans="10:14" x14ac:dyDescent="0.2">
      <c r="J537" s="9"/>
      <c r="N537" s="9"/>
    </row>
    <row r="538" spans="10:14" x14ac:dyDescent="0.2">
      <c r="J538" s="9"/>
      <c r="N538" s="9"/>
    </row>
    <row r="539" spans="10:14" x14ac:dyDescent="0.2">
      <c r="J539" s="9"/>
      <c r="N539" s="9"/>
    </row>
    <row r="540" spans="10:14" x14ac:dyDescent="0.2">
      <c r="J540" s="9"/>
      <c r="N540" s="9"/>
    </row>
    <row r="541" spans="10:14" x14ac:dyDescent="0.2">
      <c r="J541" s="9"/>
      <c r="N541" s="9"/>
    </row>
    <row r="542" spans="10:14" x14ac:dyDescent="0.2">
      <c r="J542" s="9"/>
      <c r="N542" s="9"/>
    </row>
    <row r="543" spans="10:14" x14ac:dyDescent="0.2">
      <c r="J543" s="9"/>
      <c r="N543" s="9"/>
    </row>
    <row r="544" spans="10:14" x14ac:dyDescent="0.2">
      <c r="J544" s="9"/>
      <c r="N544" s="9"/>
    </row>
    <row r="545" spans="10:14" x14ac:dyDescent="0.2">
      <c r="J545" s="9"/>
      <c r="N545" s="9"/>
    </row>
    <row r="546" spans="10:14" x14ac:dyDescent="0.2">
      <c r="J546" s="9"/>
      <c r="N546" s="9"/>
    </row>
    <row r="547" spans="10:14" x14ac:dyDescent="0.2">
      <c r="J547" s="9"/>
      <c r="N547" s="9"/>
    </row>
    <row r="548" spans="10:14" x14ac:dyDescent="0.2">
      <c r="J548" s="9"/>
      <c r="N548" s="9"/>
    </row>
    <row r="549" spans="10:14" x14ac:dyDescent="0.2">
      <c r="J549" s="9"/>
      <c r="N549" s="9"/>
    </row>
    <row r="550" spans="10:14" x14ac:dyDescent="0.2">
      <c r="J550" s="9"/>
      <c r="N550" s="9"/>
    </row>
    <row r="551" spans="10:14" x14ac:dyDescent="0.2">
      <c r="J551" s="9"/>
      <c r="N551" s="9"/>
    </row>
    <row r="552" spans="10:14" x14ac:dyDescent="0.2">
      <c r="J552" s="9"/>
      <c r="N552" s="9"/>
    </row>
    <row r="553" spans="10:14" x14ac:dyDescent="0.2">
      <c r="J553" s="9"/>
      <c r="N553" s="9"/>
    </row>
    <row r="554" spans="10:14" x14ac:dyDescent="0.2">
      <c r="J554" s="9"/>
      <c r="N554" s="9"/>
    </row>
    <row r="555" spans="10:14" x14ac:dyDescent="0.2">
      <c r="J555" s="9"/>
      <c r="N555" s="9"/>
    </row>
    <row r="556" spans="10:14" x14ac:dyDescent="0.2">
      <c r="J556" s="9"/>
      <c r="N556" s="9"/>
    </row>
    <row r="557" spans="10:14" x14ac:dyDescent="0.2">
      <c r="J557" s="9"/>
      <c r="N557" s="9"/>
    </row>
    <row r="558" spans="10:14" x14ac:dyDescent="0.2">
      <c r="J558" s="9"/>
      <c r="N558" s="9"/>
    </row>
    <row r="559" spans="10:14" x14ac:dyDescent="0.2">
      <c r="J559" s="9"/>
      <c r="N559" s="9"/>
    </row>
    <row r="560" spans="10:14" x14ac:dyDescent="0.2">
      <c r="J560" s="9"/>
      <c r="N560" s="9"/>
    </row>
    <row r="561" spans="10:14" x14ac:dyDescent="0.2">
      <c r="J561" s="9"/>
      <c r="N561" s="9"/>
    </row>
    <row r="562" spans="10:14" x14ac:dyDescent="0.2">
      <c r="J562" s="9"/>
      <c r="N562" s="9"/>
    </row>
    <row r="563" spans="10:14" x14ac:dyDescent="0.2">
      <c r="J563" s="9"/>
      <c r="N563" s="9"/>
    </row>
    <row r="564" spans="10:14" x14ac:dyDescent="0.2">
      <c r="J564" s="9"/>
      <c r="N564" s="9"/>
    </row>
    <row r="565" spans="10:14" x14ac:dyDescent="0.2">
      <c r="J565" s="9"/>
      <c r="N565" s="9"/>
    </row>
    <row r="566" spans="10:14" x14ac:dyDescent="0.2">
      <c r="J566" s="9"/>
      <c r="N566" s="9"/>
    </row>
    <row r="567" spans="10:14" x14ac:dyDescent="0.2">
      <c r="J567" s="9"/>
      <c r="N567" s="9"/>
    </row>
    <row r="568" spans="10:14" x14ac:dyDescent="0.2">
      <c r="J568" s="9"/>
      <c r="N568" s="9"/>
    </row>
    <row r="569" spans="10:14" x14ac:dyDescent="0.2">
      <c r="J569" s="9"/>
      <c r="N569" s="9"/>
    </row>
    <row r="570" spans="10:14" x14ac:dyDescent="0.2">
      <c r="J570" s="9"/>
      <c r="N570" s="9"/>
    </row>
    <row r="571" spans="10:14" x14ac:dyDescent="0.2">
      <c r="J571" s="9"/>
      <c r="N571" s="9"/>
    </row>
    <row r="572" spans="10:14" x14ac:dyDescent="0.2">
      <c r="J572" s="9"/>
      <c r="N572" s="9"/>
    </row>
    <row r="573" spans="10:14" x14ac:dyDescent="0.2">
      <c r="J573" s="9"/>
      <c r="N573" s="9"/>
    </row>
    <row r="574" spans="10:14" x14ac:dyDescent="0.2">
      <c r="J574" s="9"/>
      <c r="N574" s="9"/>
    </row>
    <row r="575" spans="10:14" x14ac:dyDescent="0.2">
      <c r="J575" s="9"/>
      <c r="N575" s="9"/>
    </row>
    <row r="576" spans="10:14" x14ac:dyDescent="0.2">
      <c r="J576" s="9"/>
      <c r="N576" s="9"/>
    </row>
    <row r="577" spans="10:14" x14ac:dyDescent="0.2">
      <c r="J577" s="9"/>
      <c r="N577" s="9"/>
    </row>
    <row r="578" spans="10:14" x14ac:dyDescent="0.2">
      <c r="J578" s="9"/>
      <c r="N578" s="9"/>
    </row>
    <row r="579" spans="10:14" x14ac:dyDescent="0.2">
      <c r="J579" s="9"/>
      <c r="N579" s="9"/>
    </row>
    <row r="580" spans="10:14" x14ac:dyDescent="0.2">
      <c r="J580" s="9"/>
      <c r="N580" s="9"/>
    </row>
    <row r="581" spans="10:14" x14ac:dyDescent="0.2">
      <c r="J581" s="9"/>
      <c r="N581" s="9"/>
    </row>
    <row r="582" spans="10:14" x14ac:dyDescent="0.2">
      <c r="J582" s="9"/>
      <c r="N582" s="9"/>
    </row>
    <row r="583" spans="10:14" x14ac:dyDescent="0.2">
      <c r="J583" s="9"/>
      <c r="N583" s="9"/>
    </row>
    <row r="584" spans="10:14" x14ac:dyDescent="0.2">
      <c r="J584" s="9"/>
      <c r="N584" s="9"/>
    </row>
    <row r="585" spans="10:14" x14ac:dyDescent="0.2">
      <c r="J585" s="9"/>
      <c r="N585" s="9"/>
    </row>
    <row r="586" spans="10:14" x14ac:dyDescent="0.2">
      <c r="J586" s="9"/>
      <c r="N586" s="9"/>
    </row>
    <row r="587" spans="10:14" x14ac:dyDescent="0.2">
      <c r="J587" s="9"/>
      <c r="N587" s="9"/>
    </row>
    <row r="588" spans="10:14" x14ac:dyDescent="0.2">
      <c r="J588" s="9"/>
      <c r="N588" s="9"/>
    </row>
    <row r="589" spans="10:14" x14ac:dyDescent="0.2">
      <c r="J589" s="9"/>
      <c r="N589" s="9"/>
    </row>
    <row r="590" spans="10:14" x14ac:dyDescent="0.2">
      <c r="J590" s="9"/>
      <c r="N590" s="9"/>
    </row>
    <row r="591" spans="10:14" x14ac:dyDescent="0.2">
      <c r="J591" s="9"/>
      <c r="N591" s="9"/>
    </row>
    <row r="592" spans="10:14" x14ac:dyDescent="0.2">
      <c r="J592" s="9"/>
      <c r="N592" s="9"/>
    </row>
    <row r="593" spans="10:14" x14ac:dyDescent="0.2">
      <c r="J593" s="9"/>
      <c r="N593" s="9"/>
    </row>
    <row r="594" spans="10:14" x14ac:dyDescent="0.2">
      <c r="J594" s="9"/>
      <c r="N594" s="9"/>
    </row>
    <row r="595" spans="10:14" x14ac:dyDescent="0.2">
      <c r="J595" s="9"/>
      <c r="N595" s="9"/>
    </row>
    <row r="596" spans="10:14" x14ac:dyDescent="0.2">
      <c r="J596" s="9"/>
      <c r="N596" s="9"/>
    </row>
    <row r="597" spans="10:14" x14ac:dyDescent="0.2">
      <c r="J597" s="9"/>
      <c r="N597" s="9"/>
    </row>
    <row r="598" spans="10:14" x14ac:dyDescent="0.2">
      <c r="J598" s="9"/>
      <c r="N598" s="9"/>
    </row>
    <row r="599" spans="10:14" x14ac:dyDescent="0.2">
      <c r="J599" s="9"/>
      <c r="N599" s="9"/>
    </row>
    <row r="600" spans="10:14" x14ac:dyDescent="0.2">
      <c r="J600" s="9"/>
      <c r="N600" s="9"/>
    </row>
    <row r="601" spans="10:14" x14ac:dyDescent="0.2">
      <c r="J601" s="9"/>
      <c r="N601" s="9"/>
    </row>
    <row r="602" spans="10:14" x14ac:dyDescent="0.2">
      <c r="J602" s="9"/>
      <c r="N602" s="9"/>
    </row>
    <row r="603" spans="10:14" x14ac:dyDescent="0.2">
      <c r="J603" s="9"/>
      <c r="N603" s="9"/>
    </row>
    <row r="604" spans="10:14" x14ac:dyDescent="0.2">
      <c r="J604" s="9"/>
      <c r="N604" s="9"/>
    </row>
    <row r="605" spans="10:14" x14ac:dyDescent="0.2">
      <c r="J605" s="9"/>
      <c r="N605" s="9"/>
    </row>
    <row r="606" spans="10:14" x14ac:dyDescent="0.2">
      <c r="J606" s="9"/>
      <c r="N606" s="9"/>
    </row>
    <row r="607" spans="10:14" x14ac:dyDescent="0.2">
      <c r="J607" s="9"/>
      <c r="N607" s="9"/>
    </row>
    <row r="608" spans="10:14" x14ac:dyDescent="0.2">
      <c r="J608" s="9"/>
      <c r="N608" s="9"/>
    </row>
    <row r="609" spans="10:14" x14ac:dyDescent="0.2">
      <c r="J609" s="9"/>
      <c r="N609" s="9"/>
    </row>
    <row r="610" spans="10:14" x14ac:dyDescent="0.2">
      <c r="J610" s="9"/>
      <c r="N610" s="9"/>
    </row>
    <row r="611" spans="10:14" x14ac:dyDescent="0.2">
      <c r="J611" s="9"/>
      <c r="N611" s="9"/>
    </row>
    <row r="612" spans="10:14" x14ac:dyDescent="0.2">
      <c r="J612" s="9"/>
      <c r="N612" s="9"/>
    </row>
    <row r="613" spans="10:14" x14ac:dyDescent="0.2">
      <c r="J613" s="9"/>
      <c r="N613" s="9"/>
    </row>
    <row r="614" spans="10:14" x14ac:dyDescent="0.2">
      <c r="J614" s="9"/>
      <c r="N614" s="9"/>
    </row>
    <row r="615" spans="10:14" x14ac:dyDescent="0.2">
      <c r="J615" s="9"/>
      <c r="N615" s="9"/>
    </row>
    <row r="616" spans="10:14" x14ac:dyDescent="0.2">
      <c r="J616" s="9"/>
      <c r="N616" s="9"/>
    </row>
    <row r="617" spans="10:14" x14ac:dyDescent="0.2">
      <c r="J617" s="9"/>
      <c r="N617" s="9"/>
    </row>
    <row r="618" spans="10:14" x14ac:dyDescent="0.2">
      <c r="J618" s="9"/>
      <c r="N618" s="9"/>
    </row>
    <row r="619" spans="10:14" x14ac:dyDescent="0.2">
      <c r="J619" s="9"/>
      <c r="N619" s="9"/>
    </row>
    <row r="620" spans="10:14" x14ac:dyDescent="0.2">
      <c r="J620" s="9"/>
      <c r="N620" s="9"/>
    </row>
    <row r="621" spans="10:14" x14ac:dyDescent="0.2">
      <c r="J621" s="9"/>
      <c r="N621" s="9"/>
    </row>
    <row r="622" spans="10:14" x14ac:dyDescent="0.2">
      <c r="J622" s="9"/>
      <c r="N622" s="9"/>
    </row>
    <row r="623" spans="10:14" x14ac:dyDescent="0.2">
      <c r="J623" s="9"/>
      <c r="N623" s="9"/>
    </row>
    <row r="624" spans="10:14" x14ac:dyDescent="0.2">
      <c r="J624" s="9"/>
      <c r="N624" s="9"/>
    </row>
    <row r="625" spans="10:14" x14ac:dyDescent="0.2">
      <c r="J625" s="9"/>
      <c r="N625" s="9"/>
    </row>
    <row r="626" spans="10:14" x14ac:dyDescent="0.2">
      <c r="J626" s="9"/>
      <c r="N626" s="9"/>
    </row>
    <row r="627" spans="10:14" x14ac:dyDescent="0.2">
      <c r="J627" s="9"/>
      <c r="N627" s="9"/>
    </row>
    <row r="628" spans="10:14" x14ac:dyDescent="0.2">
      <c r="J628" s="9"/>
      <c r="N628" s="9"/>
    </row>
    <row r="629" spans="10:14" x14ac:dyDescent="0.2">
      <c r="J629" s="9"/>
      <c r="N629" s="9"/>
    </row>
    <row r="630" spans="10:14" x14ac:dyDescent="0.2">
      <c r="J630" s="9"/>
      <c r="N630" s="9"/>
    </row>
    <row r="631" spans="10:14" x14ac:dyDescent="0.2">
      <c r="J631" s="9"/>
      <c r="N631" s="9"/>
    </row>
    <row r="632" spans="10:14" x14ac:dyDescent="0.2">
      <c r="J632" s="9"/>
      <c r="N632" s="9"/>
    </row>
    <row r="633" spans="10:14" x14ac:dyDescent="0.2">
      <c r="J633" s="9"/>
      <c r="N633" s="9"/>
    </row>
    <row r="634" spans="10:14" x14ac:dyDescent="0.2">
      <c r="J634" s="9"/>
      <c r="N634" s="9"/>
    </row>
    <row r="635" spans="10:14" x14ac:dyDescent="0.2">
      <c r="J635" s="9"/>
      <c r="N635" s="9"/>
    </row>
    <row r="636" spans="10:14" x14ac:dyDescent="0.2">
      <c r="J636" s="9"/>
      <c r="N636" s="9"/>
    </row>
    <row r="637" spans="10:14" x14ac:dyDescent="0.2">
      <c r="J637" s="9"/>
      <c r="N637" s="9"/>
    </row>
    <row r="638" spans="10:14" x14ac:dyDescent="0.2">
      <c r="J638" s="9"/>
      <c r="N638" s="9"/>
    </row>
    <row r="639" spans="10:14" x14ac:dyDescent="0.2">
      <c r="J639" s="9"/>
      <c r="N639" s="9"/>
    </row>
    <row r="640" spans="10:14" x14ac:dyDescent="0.2">
      <c r="J640" s="9"/>
      <c r="N640" s="9"/>
    </row>
    <row r="641" spans="10:14" x14ac:dyDescent="0.2">
      <c r="J641" s="9"/>
      <c r="N641" s="9"/>
    </row>
    <row r="642" spans="10:14" x14ac:dyDescent="0.2">
      <c r="J642" s="9"/>
      <c r="N642" s="9"/>
    </row>
    <row r="643" spans="10:14" x14ac:dyDescent="0.2">
      <c r="J643" s="9"/>
      <c r="N643" s="9"/>
    </row>
    <row r="644" spans="10:14" x14ac:dyDescent="0.2">
      <c r="J644" s="9"/>
      <c r="N644" s="9"/>
    </row>
    <row r="645" spans="10:14" x14ac:dyDescent="0.2">
      <c r="J645" s="9"/>
      <c r="N645" s="9"/>
    </row>
    <row r="646" spans="10:14" x14ac:dyDescent="0.2">
      <c r="J646" s="9"/>
      <c r="N646" s="9"/>
    </row>
    <row r="647" spans="10:14" x14ac:dyDescent="0.2">
      <c r="J647" s="9"/>
      <c r="N647" s="9"/>
    </row>
    <row r="648" spans="10:14" x14ac:dyDescent="0.2">
      <c r="J648" s="9"/>
      <c r="N648" s="9"/>
    </row>
    <row r="649" spans="10:14" x14ac:dyDescent="0.2">
      <c r="J649" s="9"/>
      <c r="N649" s="9"/>
    </row>
    <row r="650" spans="10:14" x14ac:dyDescent="0.2">
      <c r="J650" s="9"/>
      <c r="N650" s="9"/>
    </row>
    <row r="651" spans="10:14" x14ac:dyDescent="0.2">
      <c r="J651" s="9"/>
      <c r="N651" s="9"/>
    </row>
    <row r="652" spans="10:14" x14ac:dyDescent="0.2">
      <c r="J652" s="9"/>
      <c r="N652" s="9"/>
    </row>
    <row r="653" spans="10:14" x14ac:dyDescent="0.2">
      <c r="J653" s="9"/>
      <c r="N653" s="9"/>
    </row>
    <row r="654" spans="10:14" x14ac:dyDescent="0.2">
      <c r="J654" s="9"/>
      <c r="N654" s="9"/>
    </row>
    <row r="655" spans="10:14" x14ac:dyDescent="0.2">
      <c r="J655" s="9"/>
      <c r="N655" s="9"/>
    </row>
    <row r="656" spans="10:14" x14ac:dyDescent="0.2">
      <c r="J656" s="9"/>
      <c r="N656" s="9"/>
    </row>
    <row r="657" spans="10:14" x14ac:dyDescent="0.2">
      <c r="J657" s="9"/>
      <c r="N657" s="9"/>
    </row>
    <row r="658" spans="10:14" x14ac:dyDescent="0.2">
      <c r="J658" s="9"/>
      <c r="N658" s="9"/>
    </row>
    <row r="659" spans="10:14" x14ac:dyDescent="0.2">
      <c r="J659" s="9"/>
      <c r="N659" s="9"/>
    </row>
    <row r="660" spans="10:14" x14ac:dyDescent="0.2">
      <c r="J660" s="9"/>
      <c r="N660" s="9"/>
    </row>
    <row r="661" spans="10:14" x14ac:dyDescent="0.2">
      <c r="J661" s="9"/>
      <c r="N661" s="9"/>
    </row>
    <row r="662" spans="10:14" x14ac:dyDescent="0.2">
      <c r="J662" s="9"/>
      <c r="N662" s="9"/>
    </row>
    <row r="663" spans="10:14" x14ac:dyDescent="0.2">
      <c r="J663" s="9"/>
      <c r="N663" s="9"/>
    </row>
    <row r="664" spans="10:14" x14ac:dyDescent="0.2">
      <c r="J664" s="9"/>
      <c r="N664" s="9"/>
    </row>
    <row r="665" spans="10:14" x14ac:dyDescent="0.2">
      <c r="J665" s="9"/>
      <c r="N665" s="9"/>
    </row>
    <row r="666" spans="10:14" x14ac:dyDescent="0.2">
      <c r="J666" s="9"/>
      <c r="N666" s="9"/>
    </row>
    <row r="667" spans="10:14" x14ac:dyDescent="0.2">
      <c r="J667" s="9"/>
      <c r="N667" s="9"/>
    </row>
    <row r="668" spans="10:14" x14ac:dyDescent="0.2">
      <c r="J668" s="9"/>
      <c r="N668" s="9"/>
    </row>
    <row r="669" spans="10:14" x14ac:dyDescent="0.2">
      <c r="J669" s="9"/>
      <c r="N669" s="9"/>
    </row>
    <row r="670" spans="10:14" x14ac:dyDescent="0.2">
      <c r="J670" s="9"/>
      <c r="N670" s="9"/>
    </row>
    <row r="671" spans="10:14" x14ac:dyDescent="0.2">
      <c r="J671" s="9"/>
      <c r="N671" s="9"/>
    </row>
    <row r="672" spans="10:14" x14ac:dyDescent="0.2">
      <c r="J672" s="9"/>
      <c r="N672" s="9"/>
    </row>
    <row r="673" spans="10:14" x14ac:dyDescent="0.2">
      <c r="J673" s="9"/>
      <c r="N673" s="9"/>
    </row>
    <row r="674" spans="10:14" x14ac:dyDescent="0.2">
      <c r="J674" s="9"/>
      <c r="N674" s="9"/>
    </row>
    <row r="675" spans="10:14" x14ac:dyDescent="0.2">
      <c r="J675" s="9"/>
      <c r="N675" s="9"/>
    </row>
    <row r="676" spans="10:14" x14ac:dyDescent="0.2">
      <c r="J676" s="9"/>
      <c r="N676" s="9"/>
    </row>
    <row r="677" spans="10:14" x14ac:dyDescent="0.2">
      <c r="J677" s="9"/>
      <c r="N677" s="9"/>
    </row>
    <row r="678" spans="10:14" x14ac:dyDescent="0.2">
      <c r="J678" s="9"/>
      <c r="N678" s="9"/>
    </row>
    <row r="679" spans="10:14" x14ac:dyDescent="0.2">
      <c r="J679" s="9"/>
      <c r="N679" s="9"/>
    </row>
    <row r="680" spans="10:14" x14ac:dyDescent="0.2">
      <c r="J680" s="9"/>
      <c r="N680" s="9"/>
    </row>
    <row r="681" spans="10:14" x14ac:dyDescent="0.2">
      <c r="J681" s="9"/>
      <c r="N681" s="9"/>
    </row>
    <row r="682" spans="10:14" x14ac:dyDescent="0.2">
      <c r="J682" s="9"/>
      <c r="N682" s="9"/>
    </row>
    <row r="683" spans="10:14" x14ac:dyDescent="0.2">
      <c r="J683" s="9"/>
      <c r="N683" s="9"/>
    </row>
    <row r="684" spans="10:14" x14ac:dyDescent="0.2">
      <c r="J684" s="9"/>
      <c r="N684" s="9"/>
    </row>
    <row r="685" spans="10:14" x14ac:dyDescent="0.2">
      <c r="J685" s="9"/>
      <c r="N685" s="9"/>
    </row>
    <row r="686" spans="10:14" x14ac:dyDescent="0.2">
      <c r="J686" s="9"/>
      <c r="N686" s="9"/>
    </row>
    <row r="687" spans="10:14" x14ac:dyDescent="0.2">
      <c r="J687" s="9"/>
      <c r="N687" s="9"/>
    </row>
    <row r="688" spans="10:14" x14ac:dyDescent="0.2">
      <c r="J688" s="9"/>
      <c r="N688" s="9"/>
    </row>
    <row r="689" spans="10:14" x14ac:dyDescent="0.2">
      <c r="J689" s="9"/>
      <c r="N689" s="9"/>
    </row>
    <row r="690" spans="10:14" x14ac:dyDescent="0.2">
      <c r="J690" s="9"/>
      <c r="N690" s="9"/>
    </row>
    <row r="691" spans="10:14" x14ac:dyDescent="0.2">
      <c r="J691" s="9"/>
      <c r="N691" s="9"/>
    </row>
    <row r="692" spans="10:14" x14ac:dyDescent="0.2">
      <c r="J692" s="9"/>
      <c r="N692" s="9"/>
    </row>
    <row r="693" spans="10:14" x14ac:dyDescent="0.2">
      <c r="J693" s="9"/>
      <c r="N693" s="9"/>
    </row>
    <row r="694" spans="10:14" x14ac:dyDescent="0.2">
      <c r="J694" s="9"/>
      <c r="N694" s="9"/>
    </row>
    <row r="695" spans="10:14" x14ac:dyDescent="0.2">
      <c r="J695" s="9"/>
      <c r="N695" s="9"/>
    </row>
    <row r="696" spans="10:14" x14ac:dyDescent="0.2">
      <c r="J696" s="9"/>
      <c r="N696" s="9"/>
    </row>
    <row r="697" spans="10:14" x14ac:dyDescent="0.2">
      <c r="J697" s="9"/>
      <c r="N697" s="9"/>
    </row>
    <row r="698" spans="10:14" x14ac:dyDescent="0.2">
      <c r="J698" s="9"/>
      <c r="N698" s="9"/>
    </row>
    <row r="699" spans="10:14" x14ac:dyDescent="0.2">
      <c r="J699" s="9"/>
      <c r="N699" s="9"/>
    </row>
    <row r="700" spans="10:14" x14ac:dyDescent="0.2">
      <c r="J700" s="9"/>
      <c r="N700" s="9"/>
    </row>
    <row r="701" spans="10:14" x14ac:dyDescent="0.2">
      <c r="J701" s="9"/>
      <c r="N701" s="9"/>
    </row>
    <row r="702" spans="10:14" x14ac:dyDescent="0.2">
      <c r="J702" s="9"/>
      <c r="N702" s="9"/>
    </row>
    <row r="703" spans="10:14" x14ac:dyDescent="0.2">
      <c r="J703" s="9"/>
      <c r="N703" s="9"/>
    </row>
    <row r="704" spans="10:14" x14ac:dyDescent="0.2">
      <c r="J704" s="9"/>
      <c r="N704" s="9"/>
    </row>
    <row r="705" spans="10:14" x14ac:dyDescent="0.2">
      <c r="J705" s="9"/>
      <c r="N705" s="9"/>
    </row>
    <row r="706" spans="10:14" x14ac:dyDescent="0.2">
      <c r="J706" s="9"/>
      <c r="N706" s="9"/>
    </row>
    <row r="707" spans="10:14" x14ac:dyDescent="0.2">
      <c r="J707" s="9"/>
      <c r="N707" s="9"/>
    </row>
    <row r="708" spans="10:14" x14ac:dyDescent="0.2">
      <c r="J708" s="9"/>
      <c r="N708" s="9"/>
    </row>
    <row r="709" spans="10:14" x14ac:dyDescent="0.2">
      <c r="J709" s="9"/>
      <c r="N709" s="9"/>
    </row>
    <row r="710" spans="10:14" x14ac:dyDescent="0.2">
      <c r="J710" s="9"/>
      <c r="N710" s="9"/>
    </row>
    <row r="711" spans="10:14" x14ac:dyDescent="0.2">
      <c r="J711" s="9"/>
      <c r="N711" s="9"/>
    </row>
    <row r="712" spans="10:14" x14ac:dyDescent="0.2">
      <c r="J712" s="9"/>
      <c r="N712" s="9"/>
    </row>
    <row r="713" spans="10:14" x14ac:dyDescent="0.2">
      <c r="J713" s="9"/>
      <c r="N713" s="9"/>
    </row>
    <row r="714" spans="10:14" x14ac:dyDescent="0.2">
      <c r="J714" s="9"/>
      <c r="N714" s="9"/>
    </row>
    <row r="715" spans="10:14" x14ac:dyDescent="0.2">
      <c r="J715" s="9"/>
      <c r="N715" s="9"/>
    </row>
    <row r="716" spans="10:14" x14ac:dyDescent="0.2">
      <c r="J716" s="9"/>
      <c r="N716" s="9"/>
    </row>
    <row r="717" spans="10:14" x14ac:dyDescent="0.2">
      <c r="J717" s="9"/>
      <c r="N717" s="9"/>
    </row>
    <row r="718" spans="10:14" x14ac:dyDescent="0.2">
      <c r="J718" s="9"/>
      <c r="N718" s="9"/>
    </row>
    <row r="719" spans="10:14" x14ac:dyDescent="0.2">
      <c r="J719" s="9"/>
      <c r="N719" s="9"/>
    </row>
    <row r="720" spans="10:14" x14ac:dyDescent="0.2">
      <c r="J720" s="9"/>
      <c r="N720" s="9"/>
    </row>
    <row r="721" spans="10:14" x14ac:dyDescent="0.2">
      <c r="J721" s="9"/>
      <c r="N721" s="9"/>
    </row>
    <row r="722" spans="10:14" x14ac:dyDescent="0.2">
      <c r="J722" s="9"/>
      <c r="N722" s="9"/>
    </row>
    <row r="723" spans="10:14" x14ac:dyDescent="0.2">
      <c r="J723" s="9"/>
      <c r="N723" s="9"/>
    </row>
    <row r="724" spans="10:14" x14ac:dyDescent="0.2">
      <c r="J724" s="9"/>
      <c r="N724" s="9"/>
    </row>
    <row r="725" spans="10:14" x14ac:dyDescent="0.2">
      <c r="J725" s="9"/>
      <c r="N725" s="9"/>
    </row>
    <row r="726" spans="10:14" x14ac:dyDescent="0.2">
      <c r="J726" s="9"/>
      <c r="N726" s="9"/>
    </row>
    <row r="727" spans="10:14" x14ac:dyDescent="0.2">
      <c r="J727" s="9"/>
      <c r="N727" s="9"/>
    </row>
    <row r="728" spans="10:14" x14ac:dyDescent="0.2">
      <c r="J728" s="9"/>
      <c r="N728" s="9"/>
    </row>
    <row r="729" spans="10:14" x14ac:dyDescent="0.2">
      <c r="J729" s="9"/>
      <c r="N729" s="9"/>
    </row>
    <row r="730" spans="10:14" x14ac:dyDescent="0.2">
      <c r="J730" s="9"/>
      <c r="N730" s="9"/>
    </row>
    <row r="731" spans="10:14" x14ac:dyDescent="0.2">
      <c r="J731" s="9"/>
      <c r="N731" s="9"/>
    </row>
    <row r="732" spans="10:14" x14ac:dyDescent="0.2">
      <c r="J732" s="9"/>
      <c r="N732" s="9"/>
    </row>
    <row r="733" spans="10:14" x14ac:dyDescent="0.2">
      <c r="J733" s="9"/>
      <c r="N733" s="9"/>
    </row>
    <row r="734" spans="10:14" x14ac:dyDescent="0.2">
      <c r="J734" s="9"/>
      <c r="N734" s="9"/>
    </row>
    <row r="735" spans="10:14" x14ac:dyDescent="0.2">
      <c r="J735" s="9"/>
      <c r="N735" s="9"/>
    </row>
    <row r="736" spans="10:14" x14ac:dyDescent="0.2">
      <c r="J736" s="9"/>
      <c r="N736" s="9"/>
    </row>
    <row r="737" spans="10:14" x14ac:dyDescent="0.2">
      <c r="J737" s="9"/>
      <c r="N737" s="9"/>
    </row>
    <row r="738" spans="10:14" x14ac:dyDescent="0.2">
      <c r="J738" s="9"/>
      <c r="N738" s="9"/>
    </row>
    <row r="739" spans="10:14" x14ac:dyDescent="0.2">
      <c r="J739" s="9"/>
      <c r="N739" s="9"/>
    </row>
    <row r="740" spans="10:14" x14ac:dyDescent="0.2">
      <c r="J740" s="9"/>
      <c r="N740" s="9"/>
    </row>
    <row r="741" spans="10:14" x14ac:dyDescent="0.2">
      <c r="J741" s="9"/>
      <c r="N741" s="9"/>
    </row>
    <row r="742" spans="10:14" x14ac:dyDescent="0.2">
      <c r="J742" s="9"/>
      <c r="N742" s="9"/>
    </row>
    <row r="743" spans="10:14" x14ac:dyDescent="0.2">
      <c r="J743" s="9"/>
      <c r="N743" s="9"/>
    </row>
    <row r="744" spans="10:14" x14ac:dyDescent="0.2">
      <c r="J744" s="9"/>
      <c r="N744" s="9"/>
    </row>
    <row r="745" spans="10:14" x14ac:dyDescent="0.2">
      <c r="J745" s="9"/>
      <c r="N745" s="9"/>
    </row>
    <row r="746" spans="10:14" x14ac:dyDescent="0.2">
      <c r="J746" s="9"/>
      <c r="N746" s="9"/>
    </row>
    <row r="747" spans="10:14" x14ac:dyDescent="0.2">
      <c r="J747" s="9"/>
      <c r="N747" s="9"/>
    </row>
    <row r="748" spans="10:14" x14ac:dyDescent="0.2">
      <c r="J748" s="9"/>
      <c r="N748" s="9"/>
    </row>
    <row r="749" spans="10:14" x14ac:dyDescent="0.2">
      <c r="J749" s="9"/>
      <c r="N749" s="9"/>
    </row>
    <row r="750" spans="10:14" x14ac:dyDescent="0.2">
      <c r="J750" s="9"/>
      <c r="N750" s="9"/>
    </row>
    <row r="751" spans="10:14" x14ac:dyDescent="0.2">
      <c r="J751" s="9"/>
      <c r="N751" s="9"/>
    </row>
    <row r="752" spans="10:14" x14ac:dyDescent="0.2">
      <c r="J752" s="9"/>
      <c r="N752" s="9"/>
    </row>
    <row r="753" spans="10:14" x14ac:dyDescent="0.2">
      <c r="J753" s="9"/>
      <c r="N753" s="9"/>
    </row>
    <row r="754" spans="10:14" x14ac:dyDescent="0.2">
      <c r="J754" s="9"/>
      <c r="N754" s="9"/>
    </row>
    <row r="755" spans="10:14" x14ac:dyDescent="0.2">
      <c r="J755" s="9"/>
      <c r="N755" s="9"/>
    </row>
    <row r="756" spans="10:14" x14ac:dyDescent="0.2">
      <c r="J756" s="9"/>
      <c r="N756" s="9"/>
    </row>
    <row r="757" spans="10:14" x14ac:dyDescent="0.2">
      <c r="J757" s="9"/>
      <c r="N757" s="9"/>
    </row>
    <row r="758" spans="10:14" x14ac:dyDescent="0.2">
      <c r="J758" s="9"/>
      <c r="N758" s="9"/>
    </row>
    <row r="759" spans="10:14" x14ac:dyDescent="0.2">
      <c r="J759" s="9"/>
      <c r="N759" s="9"/>
    </row>
    <row r="760" spans="10:14" x14ac:dyDescent="0.2">
      <c r="J760" s="9"/>
      <c r="N760" s="9"/>
    </row>
    <row r="761" spans="10:14" x14ac:dyDescent="0.2">
      <c r="J761" s="9"/>
      <c r="N761" s="9"/>
    </row>
    <row r="762" spans="10:14" x14ac:dyDescent="0.2">
      <c r="J762" s="9"/>
      <c r="N762" s="9"/>
    </row>
    <row r="763" spans="10:14" x14ac:dyDescent="0.2">
      <c r="J763" s="9"/>
      <c r="N763" s="9"/>
    </row>
    <row r="764" spans="10:14" x14ac:dyDescent="0.2">
      <c r="J764" s="9"/>
      <c r="N764" s="9"/>
    </row>
    <row r="765" spans="10:14" x14ac:dyDescent="0.2">
      <c r="J765" s="9"/>
      <c r="N765" s="9"/>
    </row>
    <row r="766" spans="10:14" x14ac:dyDescent="0.2">
      <c r="J766" s="9"/>
      <c r="N766" s="9"/>
    </row>
    <row r="767" spans="10:14" x14ac:dyDescent="0.2">
      <c r="J767" s="9"/>
      <c r="N767" s="9"/>
    </row>
    <row r="768" spans="10:14" x14ac:dyDescent="0.2">
      <c r="J768" s="9"/>
      <c r="N768" s="9"/>
    </row>
    <row r="769" spans="10:14" x14ac:dyDescent="0.2">
      <c r="J769" s="9"/>
      <c r="N769" s="9"/>
    </row>
    <row r="770" spans="10:14" x14ac:dyDescent="0.2">
      <c r="J770" s="9"/>
      <c r="N770" s="9"/>
    </row>
    <row r="771" spans="10:14" x14ac:dyDescent="0.2">
      <c r="J771" s="9"/>
      <c r="N771" s="9"/>
    </row>
    <row r="772" spans="10:14" x14ac:dyDescent="0.2">
      <c r="J772" s="9"/>
      <c r="N772" s="9"/>
    </row>
    <row r="773" spans="10:14" x14ac:dyDescent="0.2">
      <c r="J773" s="9"/>
      <c r="N773" s="9"/>
    </row>
    <row r="774" spans="10:14" x14ac:dyDescent="0.2">
      <c r="J774" s="9"/>
      <c r="N774" s="9"/>
    </row>
    <row r="775" spans="10:14" x14ac:dyDescent="0.2">
      <c r="J775" s="9"/>
      <c r="N775" s="9"/>
    </row>
    <row r="776" spans="10:14" x14ac:dyDescent="0.2">
      <c r="J776" s="9"/>
      <c r="N776" s="9"/>
    </row>
    <row r="777" spans="10:14" x14ac:dyDescent="0.2">
      <c r="J777" s="9"/>
      <c r="N777" s="9"/>
    </row>
    <row r="778" spans="10:14" x14ac:dyDescent="0.2">
      <c r="J778" s="9"/>
      <c r="N778" s="9"/>
    </row>
    <row r="779" spans="10:14" x14ac:dyDescent="0.2">
      <c r="J779" s="9"/>
      <c r="N779" s="9"/>
    </row>
    <row r="780" spans="10:14" x14ac:dyDescent="0.2">
      <c r="J780" s="9"/>
      <c r="N780" s="9"/>
    </row>
    <row r="781" spans="10:14" x14ac:dyDescent="0.2">
      <c r="J781" s="9"/>
      <c r="N781" s="9"/>
    </row>
    <row r="782" spans="10:14" x14ac:dyDescent="0.2">
      <c r="J782" s="9"/>
      <c r="N782" s="9"/>
    </row>
    <row r="783" spans="10:14" x14ac:dyDescent="0.2">
      <c r="J783" s="9"/>
      <c r="N783" s="9"/>
    </row>
    <row r="784" spans="10:14" x14ac:dyDescent="0.2">
      <c r="J784" s="9"/>
      <c r="N784" s="9"/>
    </row>
    <row r="785" spans="10:14" x14ac:dyDescent="0.2">
      <c r="J785" s="9"/>
      <c r="N785" s="9"/>
    </row>
    <row r="786" spans="10:14" x14ac:dyDescent="0.2">
      <c r="J786" s="9"/>
      <c r="N786" s="9"/>
    </row>
    <row r="787" spans="10:14" x14ac:dyDescent="0.2">
      <c r="J787" s="9"/>
      <c r="N787" s="9"/>
    </row>
    <row r="788" spans="10:14" x14ac:dyDescent="0.2">
      <c r="J788" s="9"/>
      <c r="N788" s="9"/>
    </row>
    <row r="789" spans="10:14" x14ac:dyDescent="0.2">
      <c r="J789" s="9"/>
      <c r="N789" s="9"/>
    </row>
    <row r="790" spans="10:14" x14ac:dyDescent="0.2">
      <c r="J790" s="9"/>
      <c r="N790" s="9"/>
    </row>
    <row r="791" spans="10:14" x14ac:dyDescent="0.2">
      <c r="J791" s="9"/>
      <c r="N791" s="9"/>
    </row>
    <row r="792" spans="10:14" x14ac:dyDescent="0.2">
      <c r="J792" s="9"/>
      <c r="N792" s="9"/>
    </row>
    <row r="793" spans="10:14" x14ac:dyDescent="0.2">
      <c r="J793" s="9"/>
      <c r="N793" s="9"/>
    </row>
    <row r="794" spans="10:14" x14ac:dyDescent="0.2">
      <c r="J794" s="9"/>
      <c r="N794" s="9"/>
    </row>
    <row r="795" spans="10:14" x14ac:dyDescent="0.2">
      <c r="J795" s="9"/>
      <c r="N795" s="9"/>
    </row>
    <row r="796" spans="10:14" x14ac:dyDescent="0.2">
      <c r="J796" s="9"/>
      <c r="N796" s="9"/>
    </row>
    <row r="797" spans="10:14" x14ac:dyDescent="0.2">
      <c r="J797" s="9"/>
      <c r="N797" s="9"/>
    </row>
    <row r="798" spans="10:14" x14ac:dyDescent="0.2">
      <c r="J798" s="9"/>
      <c r="N798" s="9"/>
    </row>
    <row r="799" spans="10:14" x14ac:dyDescent="0.2">
      <c r="J799" s="9"/>
      <c r="N799" s="9"/>
    </row>
    <row r="800" spans="10:14" x14ac:dyDescent="0.2">
      <c r="J800" s="9"/>
      <c r="N800" s="9"/>
    </row>
    <row r="801" spans="10:14" x14ac:dyDescent="0.2">
      <c r="J801" s="9"/>
      <c r="N801" s="9"/>
    </row>
    <row r="802" spans="10:14" x14ac:dyDescent="0.2">
      <c r="J802" s="9"/>
      <c r="N802" s="9"/>
    </row>
    <row r="803" spans="10:14" x14ac:dyDescent="0.2">
      <c r="J803" s="9"/>
      <c r="N803" s="9"/>
    </row>
    <row r="804" spans="10:14" x14ac:dyDescent="0.2">
      <c r="J804" s="9"/>
      <c r="N804" s="9"/>
    </row>
    <row r="805" spans="10:14" x14ac:dyDescent="0.2">
      <c r="J805" s="9"/>
      <c r="N805" s="9"/>
    </row>
    <row r="806" spans="10:14" x14ac:dyDescent="0.2">
      <c r="J806" s="9"/>
      <c r="N806" s="9"/>
    </row>
    <row r="807" spans="10:14" x14ac:dyDescent="0.2">
      <c r="J807" s="9"/>
      <c r="N807" s="9"/>
    </row>
    <row r="808" spans="10:14" x14ac:dyDescent="0.2">
      <c r="J808" s="9"/>
      <c r="N808" s="9"/>
    </row>
    <row r="809" spans="10:14" x14ac:dyDescent="0.2">
      <c r="J809" s="9"/>
      <c r="N809" s="9"/>
    </row>
    <row r="810" spans="10:14" x14ac:dyDescent="0.2">
      <c r="J810" s="9"/>
      <c r="N810" s="9"/>
    </row>
    <row r="811" spans="10:14" x14ac:dyDescent="0.2">
      <c r="J811" s="9"/>
      <c r="N811" s="9"/>
    </row>
    <row r="812" spans="10:14" x14ac:dyDescent="0.2">
      <c r="J812" s="9"/>
      <c r="N812" s="9"/>
    </row>
    <row r="813" spans="10:14" x14ac:dyDescent="0.2">
      <c r="J813" s="9"/>
      <c r="N813" s="9"/>
    </row>
    <row r="814" spans="10:14" x14ac:dyDescent="0.2">
      <c r="J814" s="9"/>
      <c r="N814" s="9"/>
    </row>
    <row r="815" spans="10:14" x14ac:dyDescent="0.2">
      <c r="J815" s="9"/>
      <c r="N815" s="9"/>
    </row>
    <row r="816" spans="10:14" x14ac:dyDescent="0.2">
      <c r="J816" s="9"/>
      <c r="N816" s="9"/>
    </row>
    <row r="817" spans="10:14" x14ac:dyDescent="0.2">
      <c r="J817" s="9"/>
      <c r="N817" s="9"/>
    </row>
    <row r="818" spans="10:14" x14ac:dyDescent="0.2">
      <c r="J818" s="9"/>
      <c r="N818" s="9"/>
    </row>
    <row r="819" spans="10:14" x14ac:dyDescent="0.2">
      <c r="J819" s="9"/>
      <c r="N819" s="9"/>
    </row>
    <row r="820" spans="10:14" x14ac:dyDescent="0.2">
      <c r="J820" s="9"/>
      <c r="N820" s="9"/>
    </row>
    <row r="821" spans="10:14" x14ac:dyDescent="0.2">
      <c r="J821" s="9"/>
      <c r="N821" s="9"/>
    </row>
    <row r="822" spans="10:14" x14ac:dyDescent="0.2">
      <c r="J822" s="9"/>
      <c r="N822" s="9"/>
    </row>
    <row r="823" spans="10:14" x14ac:dyDescent="0.2">
      <c r="J823" s="9"/>
      <c r="N823" s="9"/>
    </row>
    <row r="824" spans="10:14" x14ac:dyDescent="0.2">
      <c r="J824" s="9"/>
      <c r="N824" s="9"/>
    </row>
    <row r="825" spans="10:14" x14ac:dyDescent="0.2">
      <c r="J825" s="9"/>
      <c r="N825" s="9"/>
    </row>
    <row r="826" spans="10:14" x14ac:dyDescent="0.2">
      <c r="J826" s="9"/>
      <c r="N826" s="9"/>
    </row>
    <row r="827" spans="10:14" x14ac:dyDescent="0.2">
      <c r="J827" s="9"/>
      <c r="N827" s="9"/>
    </row>
    <row r="828" spans="10:14" x14ac:dyDescent="0.2">
      <c r="J828" s="9"/>
      <c r="N828" s="9"/>
    </row>
    <row r="829" spans="10:14" x14ac:dyDescent="0.2">
      <c r="J829" s="9"/>
      <c r="N829" s="9"/>
    </row>
    <row r="830" spans="10:14" x14ac:dyDescent="0.2">
      <c r="J830" s="9"/>
      <c r="N830" s="9"/>
    </row>
    <row r="831" spans="10:14" x14ac:dyDescent="0.2">
      <c r="J831" s="9"/>
      <c r="N831" s="9"/>
    </row>
    <row r="832" spans="10:14" x14ac:dyDescent="0.2">
      <c r="J832" s="9"/>
      <c r="N832" s="9"/>
    </row>
    <row r="833" spans="10:14" x14ac:dyDescent="0.2">
      <c r="J833" s="9"/>
      <c r="N833" s="9"/>
    </row>
    <row r="834" spans="10:14" x14ac:dyDescent="0.2">
      <c r="J834" s="9"/>
      <c r="N834" s="9"/>
    </row>
    <row r="835" spans="10:14" x14ac:dyDescent="0.2">
      <c r="J835" s="9"/>
      <c r="N835" s="9"/>
    </row>
    <row r="836" spans="10:14" x14ac:dyDescent="0.2">
      <c r="J836" s="9"/>
      <c r="N836" s="9"/>
    </row>
    <row r="837" spans="10:14" x14ac:dyDescent="0.2">
      <c r="J837" s="9"/>
      <c r="N837" s="9"/>
    </row>
    <row r="838" spans="10:14" x14ac:dyDescent="0.2">
      <c r="J838" s="9"/>
      <c r="N838" s="9"/>
    </row>
    <row r="839" spans="10:14" x14ac:dyDescent="0.2">
      <c r="J839" s="9"/>
      <c r="N839" s="9"/>
    </row>
    <row r="840" spans="10:14" x14ac:dyDescent="0.2">
      <c r="J840" s="9"/>
      <c r="N840" s="9"/>
    </row>
    <row r="841" spans="10:14" x14ac:dyDescent="0.2">
      <c r="J841" s="9"/>
      <c r="N841" s="9"/>
    </row>
    <row r="842" spans="10:14" x14ac:dyDescent="0.2">
      <c r="J842" s="9"/>
      <c r="N842" s="9"/>
    </row>
    <row r="843" spans="10:14" x14ac:dyDescent="0.2">
      <c r="J843" s="9"/>
      <c r="N843" s="9"/>
    </row>
    <row r="844" spans="10:14" x14ac:dyDescent="0.2">
      <c r="J844" s="9"/>
      <c r="N844" s="9"/>
    </row>
    <row r="845" spans="10:14" x14ac:dyDescent="0.2">
      <c r="J845" s="9"/>
      <c r="N845" s="9"/>
    </row>
    <row r="846" spans="10:14" x14ac:dyDescent="0.2">
      <c r="J846" s="9"/>
      <c r="N846" s="9"/>
    </row>
    <row r="847" spans="10:14" x14ac:dyDescent="0.2">
      <c r="J847" s="9"/>
      <c r="N847" s="9"/>
    </row>
    <row r="848" spans="10:14" x14ac:dyDescent="0.2">
      <c r="J848" s="9"/>
      <c r="N848" s="9"/>
    </row>
    <row r="849" spans="10:14" x14ac:dyDescent="0.2">
      <c r="J849" s="9"/>
      <c r="N849" s="9"/>
    </row>
    <row r="850" spans="10:14" x14ac:dyDescent="0.2">
      <c r="J850" s="9"/>
      <c r="N850" s="9"/>
    </row>
    <row r="851" spans="10:14" x14ac:dyDescent="0.2">
      <c r="J851" s="9"/>
      <c r="N851" s="9"/>
    </row>
    <row r="852" spans="10:14" x14ac:dyDescent="0.2">
      <c r="J852" s="9"/>
      <c r="N852" s="9"/>
    </row>
    <row r="853" spans="10:14" x14ac:dyDescent="0.2">
      <c r="J853" s="9"/>
      <c r="N853" s="9"/>
    </row>
    <row r="854" spans="10:14" x14ac:dyDescent="0.2">
      <c r="J854" s="9"/>
      <c r="N854" s="9"/>
    </row>
    <row r="855" spans="10:14" x14ac:dyDescent="0.2">
      <c r="J855" s="9"/>
      <c r="N855" s="9"/>
    </row>
    <row r="856" spans="10:14" x14ac:dyDescent="0.2">
      <c r="J856" s="9"/>
      <c r="N856" s="9"/>
    </row>
    <row r="857" spans="10:14" x14ac:dyDescent="0.2">
      <c r="J857" s="9"/>
      <c r="N857" s="9"/>
    </row>
    <row r="858" spans="10:14" x14ac:dyDescent="0.2">
      <c r="J858" s="9"/>
      <c r="N858" s="9"/>
    </row>
    <row r="859" spans="10:14" x14ac:dyDescent="0.2">
      <c r="J859" s="9"/>
      <c r="N859" s="9"/>
    </row>
    <row r="860" spans="10:14" x14ac:dyDescent="0.2">
      <c r="J860" s="9"/>
      <c r="N860" s="9"/>
    </row>
    <row r="861" spans="10:14" x14ac:dyDescent="0.2">
      <c r="J861" s="9"/>
      <c r="N861" s="9"/>
    </row>
    <row r="862" spans="10:14" x14ac:dyDescent="0.2">
      <c r="J862" s="9"/>
      <c r="N862" s="9"/>
    </row>
    <row r="863" spans="10:14" x14ac:dyDescent="0.2">
      <c r="J863" s="9"/>
      <c r="N863" s="9"/>
    </row>
    <row r="864" spans="10:14" x14ac:dyDescent="0.2">
      <c r="J864" s="9"/>
      <c r="N864" s="9"/>
    </row>
    <row r="865" spans="10:14" x14ac:dyDescent="0.2">
      <c r="J865" s="9"/>
      <c r="N865" s="9"/>
    </row>
    <row r="866" spans="10:14" x14ac:dyDescent="0.2">
      <c r="J866" s="9"/>
      <c r="N866" s="9"/>
    </row>
    <row r="867" spans="10:14" x14ac:dyDescent="0.2">
      <c r="J867" s="9"/>
      <c r="N867" s="9"/>
    </row>
    <row r="868" spans="10:14" x14ac:dyDescent="0.2">
      <c r="J868" s="9"/>
      <c r="N868" s="9"/>
    </row>
    <row r="869" spans="10:14" x14ac:dyDescent="0.2">
      <c r="J869" s="9"/>
      <c r="N869" s="9"/>
    </row>
    <row r="870" spans="10:14" x14ac:dyDescent="0.2">
      <c r="J870" s="9"/>
      <c r="N870" s="9"/>
    </row>
    <row r="871" spans="10:14" x14ac:dyDescent="0.2">
      <c r="J871" s="9"/>
      <c r="N871" s="9"/>
    </row>
    <row r="872" spans="10:14" x14ac:dyDescent="0.2">
      <c r="J872" s="9"/>
      <c r="N872" s="9"/>
    </row>
    <row r="873" spans="10:14" x14ac:dyDescent="0.2">
      <c r="J873" s="9"/>
      <c r="N873" s="9"/>
    </row>
    <row r="874" spans="10:14" x14ac:dyDescent="0.2">
      <c r="J874" s="9"/>
      <c r="N874" s="9"/>
    </row>
    <row r="875" spans="10:14" x14ac:dyDescent="0.2">
      <c r="J875" s="9"/>
      <c r="N875" s="9"/>
    </row>
    <row r="876" spans="10:14" x14ac:dyDescent="0.2">
      <c r="J876" s="9"/>
      <c r="N876" s="9"/>
    </row>
    <row r="877" spans="10:14" x14ac:dyDescent="0.2">
      <c r="J877" s="9"/>
      <c r="N877" s="9"/>
    </row>
    <row r="878" spans="10:14" x14ac:dyDescent="0.2">
      <c r="J878" s="9"/>
      <c r="N878" s="9"/>
    </row>
    <row r="879" spans="10:14" x14ac:dyDescent="0.2">
      <c r="J879" s="9"/>
      <c r="N879" s="9"/>
    </row>
    <row r="880" spans="10:14" x14ac:dyDescent="0.2">
      <c r="J880" s="9"/>
      <c r="N880" s="9"/>
    </row>
    <row r="881" spans="10:14" x14ac:dyDescent="0.2">
      <c r="J881" s="9"/>
      <c r="N881" s="9"/>
    </row>
    <row r="882" spans="10:14" x14ac:dyDescent="0.2">
      <c r="J882" s="9"/>
      <c r="N882" s="9"/>
    </row>
    <row r="883" spans="10:14" x14ac:dyDescent="0.2">
      <c r="J883" s="9"/>
      <c r="N883" s="9"/>
    </row>
    <row r="884" spans="10:14" x14ac:dyDescent="0.2">
      <c r="J884" s="9"/>
      <c r="N884" s="9"/>
    </row>
    <row r="885" spans="10:14" x14ac:dyDescent="0.2">
      <c r="J885" s="9"/>
      <c r="N885" s="9"/>
    </row>
    <row r="886" spans="10:14" x14ac:dyDescent="0.2">
      <c r="J886" s="9"/>
      <c r="N886" s="9"/>
    </row>
    <row r="887" spans="10:14" x14ac:dyDescent="0.2">
      <c r="J887" s="9"/>
      <c r="N887" s="9"/>
    </row>
    <row r="888" spans="10:14" x14ac:dyDescent="0.2">
      <c r="J888" s="9"/>
      <c r="N888" s="9"/>
    </row>
    <row r="889" spans="10:14" x14ac:dyDescent="0.2">
      <c r="J889" s="9"/>
      <c r="N889" s="9"/>
    </row>
    <row r="890" spans="10:14" x14ac:dyDescent="0.2">
      <c r="J890" s="9"/>
      <c r="N890" s="9"/>
    </row>
    <row r="891" spans="10:14" x14ac:dyDescent="0.2">
      <c r="J891" s="9"/>
      <c r="N891" s="9"/>
    </row>
    <row r="892" spans="10:14" x14ac:dyDescent="0.2">
      <c r="J892" s="9"/>
      <c r="N892" s="9"/>
    </row>
    <row r="893" spans="10:14" x14ac:dyDescent="0.2">
      <c r="J893" s="9"/>
      <c r="N893" s="9"/>
    </row>
    <row r="894" spans="10:14" x14ac:dyDescent="0.2">
      <c r="J894" s="9"/>
      <c r="N894" s="9"/>
    </row>
    <row r="895" spans="10:14" x14ac:dyDescent="0.2">
      <c r="J895" s="9"/>
      <c r="N895" s="9"/>
    </row>
    <row r="896" spans="10:14" x14ac:dyDescent="0.2">
      <c r="J896" s="9"/>
      <c r="N896" s="9"/>
    </row>
    <row r="897" spans="10:14" x14ac:dyDescent="0.2">
      <c r="J897" s="9"/>
      <c r="N897" s="9"/>
    </row>
    <row r="898" spans="10:14" x14ac:dyDescent="0.2">
      <c r="J898" s="9"/>
      <c r="N898" s="9"/>
    </row>
    <row r="899" spans="10:14" x14ac:dyDescent="0.2">
      <c r="J899" s="9"/>
      <c r="N899" s="9"/>
    </row>
    <row r="900" spans="10:14" x14ac:dyDescent="0.2">
      <c r="J900" s="9"/>
      <c r="N900" s="9"/>
    </row>
    <row r="901" spans="10:14" x14ac:dyDescent="0.2">
      <c r="J901" s="9"/>
      <c r="N901" s="9"/>
    </row>
    <row r="902" spans="10:14" x14ac:dyDescent="0.2">
      <c r="J902" s="9"/>
      <c r="N902" s="9"/>
    </row>
    <row r="903" spans="10:14" x14ac:dyDescent="0.2">
      <c r="J903" s="9"/>
      <c r="N903" s="9"/>
    </row>
    <row r="904" spans="10:14" x14ac:dyDescent="0.2">
      <c r="J904" s="9"/>
      <c r="N904" s="9"/>
    </row>
    <row r="905" spans="10:14" x14ac:dyDescent="0.2">
      <c r="J905" s="9"/>
      <c r="N905" s="9"/>
    </row>
    <row r="906" spans="10:14" x14ac:dyDescent="0.2">
      <c r="J906" s="9"/>
      <c r="N906" s="9"/>
    </row>
    <row r="907" spans="10:14" x14ac:dyDescent="0.2">
      <c r="J907" s="9"/>
      <c r="N907" s="9"/>
    </row>
    <row r="908" spans="10:14" x14ac:dyDescent="0.2">
      <c r="J908" s="9"/>
      <c r="N908" s="9"/>
    </row>
    <row r="909" spans="10:14" x14ac:dyDescent="0.2">
      <c r="J909" s="9"/>
      <c r="N909" s="9"/>
    </row>
    <row r="910" spans="10:14" x14ac:dyDescent="0.2">
      <c r="J910" s="9"/>
      <c r="N910" s="9"/>
    </row>
    <row r="911" spans="10:14" x14ac:dyDescent="0.2">
      <c r="J911" s="9"/>
      <c r="N911" s="9"/>
    </row>
    <row r="912" spans="10:14" x14ac:dyDescent="0.2">
      <c r="J912" s="9"/>
      <c r="N912" s="9"/>
    </row>
    <row r="913" spans="10:14" x14ac:dyDescent="0.2">
      <c r="J913" s="9"/>
      <c r="N913" s="9"/>
    </row>
    <row r="914" spans="10:14" x14ac:dyDescent="0.2">
      <c r="J914" s="9"/>
      <c r="N914" s="9"/>
    </row>
    <row r="915" spans="10:14" x14ac:dyDescent="0.2">
      <c r="J915" s="9"/>
      <c r="N915" s="9"/>
    </row>
    <row r="916" spans="10:14" x14ac:dyDescent="0.2">
      <c r="J916" s="9"/>
      <c r="N916" s="9"/>
    </row>
    <row r="917" spans="10:14" x14ac:dyDescent="0.2">
      <c r="J917" s="9"/>
      <c r="N917" s="9"/>
    </row>
    <row r="918" spans="10:14" x14ac:dyDescent="0.2">
      <c r="J918" s="9"/>
      <c r="N918" s="9"/>
    </row>
    <row r="919" spans="10:14" x14ac:dyDescent="0.2">
      <c r="J919" s="9"/>
      <c r="N919" s="9"/>
    </row>
    <row r="920" spans="10:14" x14ac:dyDescent="0.2">
      <c r="J920" s="9"/>
      <c r="N920" s="9"/>
    </row>
    <row r="921" spans="10:14" x14ac:dyDescent="0.2">
      <c r="J921" s="9"/>
      <c r="N921" s="9"/>
    </row>
    <row r="922" spans="10:14" x14ac:dyDescent="0.2">
      <c r="J922" s="9"/>
      <c r="N922" s="9"/>
    </row>
    <row r="923" spans="10:14" x14ac:dyDescent="0.2">
      <c r="J923" s="9"/>
      <c r="N923" s="9"/>
    </row>
    <row r="924" spans="10:14" x14ac:dyDescent="0.2">
      <c r="J924" s="9"/>
      <c r="N924" s="9"/>
    </row>
    <row r="925" spans="10:14" x14ac:dyDescent="0.2">
      <c r="J925" s="9"/>
      <c r="N925" s="9"/>
    </row>
    <row r="926" spans="10:14" x14ac:dyDescent="0.2">
      <c r="J926" s="9"/>
      <c r="N926" s="9"/>
    </row>
    <row r="927" spans="10:14" x14ac:dyDescent="0.2">
      <c r="J927" s="9"/>
      <c r="N927" s="9"/>
    </row>
    <row r="928" spans="10:14" x14ac:dyDescent="0.2">
      <c r="J928" s="9"/>
      <c r="N928" s="9"/>
    </row>
    <row r="929" spans="10:14" x14ac:dyDescent="0.2">
      <c r="J929" s="9"/>
      <c r="N929" s="9"/>
    </row>
    <row r="930" spans="10:14" x14ac:dyDescent="0.2">
      <c r="J930" s="9"/>
      <c r="N930" s="9"/>
    </row>
    <row r="931" spans="10:14" x14ac:dyDescent="0.2">
      <c r="J931" s="9"/>
      <c r="N931" s="9"/>
    </row>
    <row r="932" spans="10:14" x14ac:dyDescent="0.2">
      <c r="J932" s="9"/>
      <c r="N932" s="9"/>
    </row>
    <row r="933" spans="10:14" x14ac:dyDescent="0.2">
      <c r="J933" s="9"/>
      <c r="N933" s="9"/>
    </row>
    <row r="934" spans="10:14" x14ac:dyDescent="0.2">
      <c r="J934" s="9"/>
      <c r="N934" s="9"/>
    </row>
    <row r="935" spans="10:14" x14ac:dyDescent="0.2">
      <c r="J935" s="9"/>
      <c r="N935" s="9"/>
    </row>
    <row r="936" spans="10:14" x14ac:dyDescent="0.2">
      <c r="J936" s="9"/>
      <c r="N936" s="9"/>
    </row>
    <row r="937" spans="10:14" x14ac:dyDescent="0.2">
      <c r="J937" s="9"/>
      <c r="N937" s="9"/>
    </row>
    <row r="938" spans="10:14" x14ac:dyDescent="0.2">
      <c r="J938" s="9"/>
      <c r="N938" s="9"/>
    </row>
    <row r="939" spans="10:14" x14ac:dyDescent="0.2">
      <c r="J939" s="9"/>
      <c r="N939" s="9"/>
    </row>
    <row r="940" spans="10:14" x14ac:dyDescent="0.2">
      <c r="J940" s="9"/>
      <c r="N940" s="9"/>
    </row>
    <row r="941" spans="10:14" x14ac:dyDescent="0.2">
      <c r="J941" s="9"/>
      <c r="N941" s="9"/>
    </row>
    <row r="942" spans="10:14" x14ac:dyDescent="0.2">
      <c r="J942" s="9"/>
      <c r="N942" s="9"/>
    </row>
    <row r="943" spans="10:14" x14ac:dyDescent="0.2">
      <c r="J943" s="9"/>
      <c r="N943" s="9"/>
    </row>
    <row r="944" spans="10:14" x14ac:dyDescent="0.2">
      <c r="J944" s="9"/>
      <c r="N944" s="9"/>
    </row>
    <row r="945" spans="10:14" x14ac:dyDescent="0.2">
      <c r="J945" s="9"/>
      <c r="N945" s="9"/>
    </row>
    <row r="946" spans="10:14" x14ac:dyDescent="0.2">
      <c r="J946" s="9"/>
      <c r="N946" s="9"/>
    </row>
    <row r="947" spans="10:14" x14ac:dyDescent="0.2">
      <c r="J947" s="9"/>
      <c r="N947" s="9"/>
    </row>
    <row r="948" spans="10:14" x14ac:dyDescent="0.2">
      <c r="J948" s="9"/>
      <c r="N948" s="9"/>
    </row>
    <row r="949" spans="10:14" x14ac:dyDescent="0.2">
      <c r="J949" s="9"/>
      <c r="N949" s="9"/>
    </row>
    <row r="950" spans="10:14" x14ac:dyDescent="0.2">
      <c r="J950" s="9"/>
      <c r="N950" s="9"/>
    </row>
    <row r="951" spans="10:14" x14ac:dyDescent="0.2">
      <c r="J951" s="9"/>
      <c r="N951" s="9"/>
    </row>
    <row r="952" spans="10:14" x14ac:dyDescent="0.2">
      <c r="J952" s="9"/>
      <c r="N952" s="9"/>
    </row>
    <row r="953" spans="10:14" x14ac:dyDescent="0.2">
      <c r="J953" s="9"/>
      <c r="N953" s="9"/>
    </row>
    <row r="954" spans="10:14" x14ac:dyDescent="0.2">
      <c r="J954" s="9"/>
      <c r="N954" s="9"/>
    </row>
    <row r="955" spans="10:14" x14ac:dyDescent="0.2">
      <c r="J955" s="9"/>
      <c r="N955" s="9"/>
    </row>
    <row r="956" spans="10:14" x14ac:dyDescent="0.2">
      <c r="J956" s="9"/>
      <c r="N956" s="9"/>
    </row>
    <row r="957" spans="10:14" x14ac:dyDescent="0.2">
      <c r="J957" s="9"/>
      <c r="N957" s="9"/>
    </row>
    <row r="958" spans="10:14" x14ac:dyDescent="0.2">
      <c r="J958" s="9"/>
      <c r="N958" s="9"/>
    </row>
    <row r="959" spans="10:14" x14ac:dyDescent="0.2">
      <c r="J959" s="9"/>
      <c r="N959" s="9"/>
    </row>
    <row r="960" spans="10:14" x14ac:dyDescent="0.2">
      <c r="J960" s="9"/>
      <c r="N960" s="9"/>
    </row>
    <row r="961" spans="10:14" x14ac:dyDescent="0.2">
      <c r="J961" s="9"/>
      <c r="N961" s="9"/>
    </row>
    <row r="962" spans="10:14" x14ac:dyDescent="0.2">
      <c r="J962" s="9"/>
      <c r="N962" s="9"/>
    </row>
    <row r="963" spans="10:14" x14ac:dyDescent="0.2">
      <c r="J963" s="9"/>
      <c r="N963" s="9"/>
    </row>
    <row r="964" spans="10:14" x14ac:dyDescent="0.2">
      <c r="J964" s="9"/>
      <c r="N964" s="9"/>
    </row>
    <row r="965" spans="10:14" x14ac:dyDescent="0.2">
      <c r="J965" s="9"/>
      <c r="N965" s="9"/>
    </row>
    <row r="966" spans="10:14" x14ac:dyDescent="0.2">
      <c r="J966" s="9"/>
      <c r="N966" s="9"/>
    </row>
    <row r="967" spans="10:14" x14ac:dyDescent="0.2">
      <c r="J967" s="9"/>
      <c r="N967" s="9"/>
    </row>
    <row r="968" spans="10:14" x14ac:dyDescent="0.2">
      <c r="J968" s="9"/>
      <c r="N968" s="9"/>
    </row>
    <row r="969" spans="10:14" x14ac:dyDescent="0.2">
      <c r="J969" s="9"/>
      <c r="N969" s="9"/>
    </row>
    <row r="970" spans="10:14" x14ac:dyDescent="0.2">
      <c r="J970" s="9"/>
      <c r="N970" s="9"/>
    </row>
    <row r="971" spans="10:14" x14ac:dyDescent="0.2">
      <c r="J971" s="9"/>
      <c r="N971" s="9"/>
    </row>
    <row r="972" spans="10:14" x14ac:dyDescent="0.2">
      <c r="J972" s="9"/>
      <c r="N972" s="9"/>
    </row>
    <row r="973" spans="10:14" x14ac:dyDescent="0.2">
      <c r="J973" s="9"/>
      <c r="N973" s="9"/>
    </row>
    <row r="974" spans="10:14" x14ac:dyDescent="0.2">
      <c r="J974" s="9"/>
      <c r="N974" s="9"/>
    </row>
    <row r="975" spans="10:14" x14ac:dyDescent="0.2">
      <c r="J975" s="9"/>
      <c r="N975" s="9"/>
    </row>
    <row r="976" spans="10:14" x14ac:dyDescent="0.2">
      <c r="J976" s="9"/>
      <c r="N976" s="9"/>
    </row>
    <row r="977" spans="10:14" x14ac:dyDescent="0.2">
      <c r="J977" s="9"/>
      <c r="N977" s="9"/>
    </row>
    <row r="978" spans="10:14" x14ac:dyDescent="0.2">
      <c r="J978" s="9"/>
      <c r="N978" s="9"/>
    </row>
    <row r="979" spans="10:14" x14ac:dyDescent="0.2">
      <c r="J979" s="9"/>
      <c r="N979" s="9"/>
    </row>
    <row r="980" spans="10:14" x14ac:dyDescent="0.2">
      <c r="J980" s="9"/>
      <c r="N980" s="9"/>
    </row>
    <row r="981" spans="10:14" x14ac:dyDescent="0.2">
      <c r="J981" s="9"/>
      <c r="N981" s="9"/>
    </row>
    <row r="982" spans="10:14" x14ac:dyDescent="0.2">
      <c r="J982" s="9"/>
      <c r="N982" s="9"/>
    </row>
    <row r="983" spans="10:14" x14ac:dyDescent="0.2">
      <c r="J983" s="9"/>
      <c r="N983" s="9"/>
    </row>
    <row r="984" spans="10:14" x14ac:dyDescent="0.2">
      <c r="J984" s="9"/>
      <c r="N984" s="9"/>
    </row>
    <row r="985" spans="10:14" x14ac:dyDescent="0.2">
      <c r="J985" s="9"/>
      <c r="N985" s="9"/>
    </row>
    <row r="986" spans="10:14" x14ac:dyDescent="0.2">
      <c r="J986" s="9"/>
      <c r="N986" s="9"/>
    </row>
    <row r="987" spans="10:14" x14ac:dyDescent="0.2">
      <c r="J987" s="9"/>
      <c r="N987" s="9"/>
    </row>
    <row r="988" spans="10:14" x14ac:dyDescent="0.2">
      <c r="J988" s="9"/>
      <c r="N988" s="9"/>
    </row>
    <row r="989" spans="10:14" x14ac:dyDescent="0.2">
      <c r="J989" s="9"/>
      <c r="N989" s="9"/>
    </row>
    <row r="990" spans="10:14" x14ac:dyDescent="0.2">
      <c r="J990" s="9"/>
      <c r="N990" s="9"/>
    </row>
    <row r="991" spans="10:14" x14ac:dyDescent="0.2">
      <c r="J991" s="9"/>
      <c r="N991" s="9"/>
    </row>
    <row r="992" spans="10:14" x14ac:dyDescent="0.2">
      <c r="J992" s="9"/>
      <c r="N992" s="9"/>
    </row>
    <row r="993" spans="10:14" x14ac:dyDescent="0.2">
      <c r="J993" s="9"/>
      <c r="N993" s="9"/>
    </row>
    <row r="994" spans="10:14" x14ac:dyDescent="0.2">
      <c r="J994" s="9"/>
      <c r="N994" s="9"/>
    </row>
    <row r="995" spans="10:14" x14ac:dyDescent="0.2">
      <c r="J995" s="9"/>
      <c r="N995" s="9"/>
    </row>
    <row r="996" spans="10:14" x14ac:dyDescent="0.2">
      <c r="J996" s="9"/>
      <c r="N996" s="9"/>
    </row>
    <row r="997" spans="10:14" x14ac:dyDescent="0.2">
      <c r="J997" s="9"/>
      <c r="N997" s="9"/>
    </row>
    <row r="998" spans="10:14" x14ac:dyDescent="0.2">
      <c r="J998" s="9"/>
      <c r="N998" s="9"/>
    </row>
    <row r="999" spans="10:14" x14ac:dyDescent="0.2">
      <c r="J999" s="9"/>
      <c r="N999" s="9"/>
    </row>
    <row r="1000" spans="10:14" x14ac:dyDescent="0.2">
      <c r="J1000" s="9"/>
      <c r="N1000" s="9"/>
    </row>
    <row r="1001" spans="10:14" x14ac:dyDescent="0.2">
      <c r="J1001" s="9"/>
      <c r="N1001" s="9"/>
    </row>
    <row r="1002" spans="10:14" x14ac:dyDescent="0.2">
      <c r="J1002" s="9"/>
      <c r="N1002" s="9"/>
    </row>
    <row r="1003" spans="10:14" x14ac:dyDescent="0.2">
      <c r="J1003" s="9"/>
      <c r="N1003" s="9"/>
    </row>
    <row r="1004" spans="10:14" x14ac:dyDescent="0.2">
      <c r="J1004" s="9"/>
      <c r="N1004" s="9"/>
    </row>
    <row r="1005" spans="10:14" x14ac:dyDescent="0.2">
      <c r="J1005" s="9"/>
      <c r="N1005" s="9"/>
    </row>
    <row r="1006" spans="10:14" x14ac:dyDescent="0.2">
      <c r="J1006" s="9"/>
      <c r="N1006" s="9"/>
    </row>
    <row r="1007" spans="10:14" x14ac:dyDescent="0.2">
      <c r="J1007" s="9"/>
      <c r="N1007" s="9"/>
    </row>
    <row r="1008" spans="10:14" x14ac:dyDescent="0.2">
      <c r="J1008" s="9"/>
      <c r="N1008" s="9"/>
    </row>
    <row r="1009" spans="10:14" x14ac:dyDescent="0.2">
      <c r="J1009" s="9"/>
      <c r="N1009" s="9"/>
    </row>
    <row r="1010" spans="10:14" x14ac:dyDescent="0.2">
      <c r="J1010" s="9"/>
      <c r="N1010" s="9"/>
    </row>
    <row r="1011" spans="10:14" x14ac:dyDescent="0.2">
      <c r="J1011" s="9"/>
      <c r="N1011" s="9"/>
    </row>
    <row r="1012" spans="10:14" x14ac:dyDescent="0.2">
      <c r="J1012" s="9"/>
      <c r="N1012" s="9"/>
    </row>
    <row r="1013" spans="10:14" x14ac:dyDescent="0.2">
      <c r="J1013" s="9"/>
      <c r="N1013" s="9"/>
    </row>
    <row r="1014" spans="10:14" x14ac:dyDescent="0.2">
      <c r="J1014" s="9"/>
      <c r="N1014" s="9"/>
    </row>
    <row r="1015" spans="10:14" x14ac:dyDescent="0.2">
      <c r="J1015" s="9"/>
      <c r="N1015" s="9"/>
    </row>
  </sheetData>
  <mergeCells count="50">
    <mergeCell ref="H252:I252"/>
    <mergeCell ref="H253:I253"/>
    <mergeCell ref="C244:D244"/>
    <mergeCell ref="C245:D245"/>
    <mergeCell ref="C246:D246"/>
    <mergeCell ref="H247:I247"/>
    <mergeCell ref="H248:I248"/>
    <mergeCell ref="H249:I249"/>
    <mergeCell ref="H250:I250"/>
    <mergeCell ref="H251:I251"/>
    <mergeCell ref="F251:G251"/>
    <mergeCell ref="F253:G253"/>
    <mergeCell ref="F252:G252"/>
    <mergeCell ref="F247:G247"/>
    <mergeCell ref="F248:G248"/>
    <mergeCell ref="F249:G249"/>
    <mergeCell ref="C233:D233"/>
    <mergeCell ref="C234:D234"/>
    <mergeCell ref="C235:D235"/>
    <mergeCell ref="C236:D236"/>
    <mergeCell ref="C237:D237"/>
    <mergeCell ref="F250:G250"/>
    <mergeCell ref="C238:D238"/>
    <mergeCell ref="C239:D239"/>
    <mergeCell ref="C243:D243"/>
    <mergeCell ref="C240:D240"/>
    <mergeCell ref="C241:D241"/>
    <mergeCell ref="C242:D242"/>
    <mergeCell ref="V88:W88"/>
    <mergeCell ref="F213:J213"/>
    <mergeCell ref="W99:X99"/>
    <mergeCell ref="F88:J88"/>
    <mergeCell ref="F149:J149"/>
    <mergeCell ref="W133:X133"/>
    <mergeCell ref="K1:N1"/>
    <mergeCell ref="F36:J36"/>
    <mergeCell ref="K36:N36"/>
    <mergeCell ref="C37:D37"/>
    <mergeCell ref="I2:J2"/>
    <mergeCell ref="C2:D2"/>
    <mergeCell ref="F1:J1"/>
    <mergeCell ref="C89:D89"/>
    <mergeCell ref="C150:D150"/>
    <mergeCell ref="F110:J110"/>
    <mergeCell ref="C111:D111"/>
    <mergeCell ref="C232:D232"/>
    <mergeCell ref="F182:J182"/>
    <mergeCell ref="C183:D183"/>
    <mergeCell ref="B231:I231"/>
    <mergeCell ref="C214:D214"/>
  </mergeCells>
  <pageMargins left="0.7" right="0.7" top="0.78740157499999996" bottom="0.78740157499999996" header="0.3" footer="0.3"/>
  <pageSetup paperSize="9" scale="34" orientation="portrait" r:id="rId1"/>
  <ignoredErrors>
    <ignoredError sqref="L216" evalError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94C5-2753-49D6-AC97-D67D7E93AE39}">
  <sheetPr codeName="Tabelle5"/>
  <dimension ref="A1:I31"/>
  <sheetViews>
    <sheetView zoomScale="160" zoomScaleNormal="160" workbookViewId="0">
      <selection activeCell="A13" sqref="A13"/>
    </sheetView>
  </sheetViews>
  <sheetFormatPr baseColWidth="10" defaultRowHeight="14.25" x14ac:dyDescent="0.2"/>
  <cols>
    <col min="1" max="1" width="28.125" style="253" customWidth="1"/>
    <col min="2" max="2" width="12.875" style="253" customWidth="1"/>
    <col min="3" max="3" width="15.75" style="253" customWidth="1"/>
    <col min="4" max="4" width="52.5" style="253" bestFit="1" customWidth="1"/>
    <col min="5" max="16384" width="11" style="253"/>
  </cols>
  <sheetData>
    <row r="1" spans="1:4" ht="16.5" x14ac:dyDescent="0.3">
      <c r="A1" s="331" t="s">
        <v>310</v>
      </c>
      <c r="B1" s="332"/>
      <c r="C1" s="333"/>
      <c r="D1" s="252"/>
    </row>
    <row r="2" spans="1:4" ht="14.25" customHeight="1" thickBot="1" x14ac:dyDescent="0.25">
      <c r="A2" s="334" t="s">
        <v>347</v>
      </c>
      <c r="B2" s="335"/>
      <c r="C2" s="336"/>
      <c r="D2" s="252"/>
    </row>
    <row r="3" spans="1:4" ht="18.75" customHeight="1" x14ac:dyDescent="0.2">
      <c r="A3" s="254" t="s">
        <v>276</v>
      </c>
      <c r="B3" s="205">
        <v>3430</v>
      </c>
      <c r="C3" s="255" t="s">
        <v>282</v>
      </c>
      <c r="D3" s="260" t="s">
        <v>311</v>
      </c>
    </row>
    <row r="4" spans="1:4" ht="4.5" customHeight="1" x14ac:dyDescent="0.2">
      <c r="A4" s="325"/>
      <c r="B4" s="326"/>
      <c r="C4" s="327"/>
      <c r="D4" s="257"/>
    </row>
    <row r="5" spans="1:4" ht="18.75" customHeight="1" x14ac:dyDescent="0.2">
      <c r="A5" s="254" t="s">
        <v>301</v>
      </c>
      <c r="B5" s="205">
        <v>250</v>
      </c>
      <c r="C5" s="255" t="s">
        <v>304</v>
      </c>
      <c r="D5" s="260" t="s">
        <v>345</v>
      </c>
    </row>
    <row r="6" spans="1:4" ht="4.5" customHeight="1" x14ac:dyDescent="0.2">
      <c r="A6" s="325"/>
      <c r="B6" s="326"/>
      <c r="C6" s="327"/>
      <c r="D6" s="279"/>
    </row>
    <row r="7" spans="1:4" ht="22.5" x14ac:dyDescent="0.2">
      <c r="A7" s="254" t="s">
        <v>308</v>
      </c>
      <c r="B7" s="205">
        <v>100</v>
      </c>
      <c r="C7" s="255" t="s">
        <v>281</v>
      </c>
      <c r="D7" s="262" t="s">
        <v>319</v>
      </c>
    </row>
    <row r="8" spans="1:4" ht="18.75" customHeight="1" x14ac:dyDescent="0.2">
      <c r="A8" s="263" t="s">
        <v>312</v>
      </c>
      <c r="B8" s="251">
        <f>'Calculations MIP-DW'!H20</f>
        <v>188.65000000000003</v>
      </c>
      <c r="C8" s="264" t="s">
        <v>200</v>
      </c>
      <c r="D8" s="260" t="s">
        <v>302</v>
      </c>
    </row>
    <row r="9" spans="1:4" ht="4.5" customHeight="1" x14ac:dyDescent="0.2">
      <c r="A9" s="325"/>
      <c r="B9" s="326"/>
      <c r="C9" s="327"/>
      <c r="D9" s="279"/>
    </row>
    <row r="10" spans="1:4" ht="18.75" customHeight="1" x14ac:dyDescent="0.2">
      <c r="A10" s="254" t="s">
        <v>309</v>
      </c>
      <c r="B10" s="205">
        <v>20</v>
      </c>
      <c r="C10" s="255" t="s">
        <v>281</v>
      </c>
      <c r="D10" s="260" t="s">
        <v>320</v>
      </c>
    </row>
    <row r="11" spans="1:4" ht="18.75" customHeight="1" x14ac:dyDescent="0.2">
      <c r="A11" s="263" t="s">
        <v>313</v>
      </c>
      <c r="B11" s="251">
        <f>'Calculations MIP-DW'!H22</f>
        <v>37.730000000000004</v>
      </c>
      <c r="C11" s="264" t="s">
        <v>200</v>
      </c>
      <c r="D11" s="260" t="s">
        <v>302</v>
      </c>
    </row>
    <row r="12" spans="1:4" ht="4.5" customHeight="1" x14ac:dyDescent="0.2">
      <c r="A12" s="325"/>
      <c r="B12" s="326"/>
      <c r="C12" s="327"/>
      <c r="D12" s="279"/>
    </row>
    <row r="13" spans="1:4" ht="22.5" customHeight="1" x14ac:dyDescent="0.2">
      <c r="A13" s="258" t="s">
        <v>305</v>
      </c>
      <c r="B13" s="205">
        <v>750</v>
      </c>
      <c r="C13" s="259" t="s">
        <v>303</v>
      </c>
      <c r="D13" s="262" t="s">
        <v>322</v>
      </c>
    </row>
    <row r="14" spans="1:4" ht="4.5" customHeight="1" x14ac:dyDescent="0.2">
      <c r="A14" s="325"/>
      <c r="B14" s="326"/>
      <c r="C14" s="327"/>
      <c r="D14" s="279"/>
    </row>
    <row r="15" spans="1:4" ht="18.75" customHeight="1" x14ac:dyDescent="0.2">
      <c r="A15" s="258" t="s">
        <v>314</v>
      </c>
      <c r="B15" s="205">
        <v>80</v>
      </c>
      <c r="C15" s="259" t="s">
        <v>161</v>
      </c>
      <c r="D15" s="260" t="s">
        <v>323</v>
      </c>
    </row>
    <row r="16" spans="1:4" ht="4.5" customHeight="1" x14ac:dyDescent="0.2">
      <c r="A16" s="325"/>
      <c r="B16" s="326"/>
      <c r="C16" s="327"/>
      <c r="D16" s="279"/>
    </row>
    <row r="17" spans="1:9" ht="18.75" customHeight="1" x14ac:dyDescent="0.2">
      <c r="A17" s="258" t="s">
        <v>306</v>
      </c>
      <c r="B17" s="205">
        <v>250</v>
      </c>
      <c r="C17" s="259" t="s">
        <v>307</v>
      </c>
      <c r="D17" s="260" t="s">
        <v>316</v>
      </c>
    </row>
    <row r="18" spans="1:9" ht="4.5" customHeight="1" x14ac:dyDescent="0.2">
      <c r="A18" s="325"/>
      <c r="B18" s="326"/>
      <c r="C18" s="327"/>
      <c r="D18" s="279"/>
    </row>
    <row r="19" spans="1:9" ht="33" customHeight="1" thickBot="1" x14ac:dyDescent="0.25">
      <c r="A19" s="280" t="s">
        <v>318</v>
      </c>
      <c r="B19" s="226">
        <v>35</v>
      </c>
      <c r="C19" s="281" t="s">
        <v>279</v>
      </c>
      <c r="D19" s="282" t="s">
        <v>317</v>
      </c>
      <c r="E19" s="283"/>
      <c r="F19" s="283"/>
      <c r="G19" s="283"/>
      <c r="H19" s="283"/>
      <c r="I19" s="283"/>
    </row>
    <row r="20" spans="1:9" ht="14.25" customHeight="1" thickBot="1" x14ac:dyDescent="0.25">
      <c r="A20" s="328"/>
      <c r="B20" s="329"/>
      <c r="C20" s="330"/>
      <c r="D20" s="252"/>
    </row>
    <row r="21" spans="1:9" ht="18.75" customHeight="1" thickBot="1" x14ac:dyDescent="0.25">
      <c r="A21" s="268" t="s">
        <v>327</v>
      </c>
      <c r="B21" s="269">
        <f>SUM(B24:B30)</f>
        <v>129.67797553333332</v>
      </c>
      <c r="C21" s="270" t="s">
        <v>328</v>
      </c>
      <c r="D21" s="271"/>
    </row>
    <row r="22" spans="1:9" ht="9" customHeight="1" x14ac:dyDescent="0.2">
      <c r="A22" s="359"/>
      <c r="B22" s="359"/>
      <c r="C22" s="359"/>
      <c r="D22" s="252"/>
    </row>
    <row r="23" spans="1:9" ht="18.75" x14ac:dyDescent="0.35">
      <c r="A23" s="272" t="s">
        <v>329</v>
      </c>
      <c r="B23" s="273" t="s">
        <v>328</v>
      </c>
      <c r="C23" s="252"/>
      <c r="D23" s="252"/>
    </row>
    <row r="24" spans="1:9" x14ac:dyDescent="0.2">
      <c r="A24" s="274" t="s">
        <v>111</v>
      </c>
      <c r="B24" s="275">
        <f>'Calculations MIP-DW'!L23</f>
        <v>72.688354200000006</v>
      </c>
      <c r="C24" s="252"/>
      <c r="D24" s="252"/>
    </row>
    <row r="25" spans="1:9" x14ac:dyDescent="0.2">
      <c r="A25" s="274" t="s">
        <v>112</v>
      </c>
      <c r="B25" s="275">
        <f>'Calculations MIP-DW'!L57</f>
        <v>2.4356</v>
      </c>
      <c r="C25" s="276"/>
      <c r="D25" s="252"/>
    </row>
    <row r="26" spans="1:9" x14ac:dyDescent="0.2">
      <c r="A26" s="274" t="s">
        <v>110</v>
      </c>
      <c r="B26" s="275">
        <f>'Calculations MIP-DW'!L99</f>
        <v>3.3464</v>
      </c>
      <c r="C26" s="252"/>
      <c r="D26" s="252"/>
    </row>
    <row r="27" spans="1:9" x14ac:dyDescent="0.2">
      <c r="A27" s="274" t="s">
        <v>324</v>
      </c>
      <c r="B27" s="275">
        <f>'Calculations MIP-DW'!J135</f>
        <v>6.7081653333333326</v>
      </c>
      <c r="C27" s="252"/>
      <c r="D27" s="252"/>
    </row>
    <row r="28" spans="1:9" x14ac:dyDescent="0.2">
      <c r="A28" s="274" t="s">
        <v>325</v>
      </c>
      <c r="B28" s="275">
        <f>'Calculations MIP-DW'!L169</f>
        <v>38.426975999999996</v>
      </c>
      <c r="C28" s="252"/>
      <c r="D28" s="252"/>
    </row>
    <row r="29" spans="1:9" x14ac:dyDescent="0.2">
      <c r="A29" s="274" t="s">
        <v>163</v>
      </c>
      <c r="B29" s="277">
        <f>'Calculations MIP-DW'!L203</f>
        <v>4.92</v>
      </c>
      <c r="C29" s="278"/>
      <c r="D29" s="252"/>
    </row>
    <row r="30" spans="1:9" x14ac:dyDescent="0.2">
      <c r="A30" s="274" t="s">
        <v>326</v>
      </c>
      <c r="B30" s="277">
        <f>'Calculations MIP-DW'!L222</f>
        <v>1.1524799999999999</v>
      </c>
      <c r="C30" s="252"/>
      <c r="D30" s="252"/>
    </row>
    <row r="31" spans="1:9" x14ac:dyDescent="0.2">
      <c r="A31" s="252"/>
      <c r="B31" s="252"/>
      <c r="C31" s="252"/>
      <c r="D31" s="252"/>
    </row>
  </sheetData>
  <sheetProtection algorithmName="SHA-512" hashValue="N8Zn1DO5etzMN7nORqBFsOdNvcxUo38Sit/WvghP75OMpgXXzSY6sMf+za5S+4qKOV1jCeS+atGvxjQaAznynA==" saltValue="5E+RZKONg7g3R2kwNeh3RQ==" spinCount="100000" sheet="1" formatCells="0" formatColumns="0" formatRows="0" insertColumns="0" insertRows="0" insertHyperlinks="0" deleteColumns="0" deleteRows="0" sort="0" autoFilter="0" pivotTables="0"/>
  <mergeCells count="11">
    <mergeCell ref="A12:C12"/>
    <mergeCell ref="A1:C1"/>
    <mergeCell ref="A2:C2"/>
    <mergeCell ref="A4:C4"/>
    <mergeCell ref="A6:C6"/>
    <mergeCell ref="A9:C9"/>
    <mergeCell ref="A14:C14"/>
    <mergeCell ref="A16:C16"/>
    <mergeCell ref="A18:C18"/>
    <mergeCell ref="A20:C20"/>
    <mergeCell ref="A22:C22"/>
  </mergeCells>
  <pageMargins left="0.7" right="0.7" top="0.78740157499999996" bottom="0.78740157499999996" header="0.3" footer="0.3"/>
  <pageSetup paperSize="9" scale="73" orientation="portrait" r:id="rId1"/>
  <ignoredErrors>
    <ignoredError sqref="B21 B8 B11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E75-FF85-4200-8B75-CDB3A98FBE8B}">
  <sheetPr codeName="Tabelle6">
    <pageSetUpPr fitToPage="1"/>
  </sheetPr>
  <dimension ref="A1:AD1015"/>
  <sheetViews>
    <sheetView topLeftCell="A121" zoomScale="85" zoomScaleNormal="85" workbookViewId="0">
      <selection activeCell="C168" sqref="C168"/>
    </sheetView>
  </sheetViews>
  <sheetFormatPr baseColWidth="10" defaultRowHeight="14.25" x14ac:dyDescent="0.2"/>
  <cols>
    <col min="1" max="1" width="16" style="234" customWidth="1"/>
    <col min="2" max="2" width="28.75" style="234" customWidth="1"/>
    <col min="3" max="3" width="17" style="234" customWidth="1"/>
    <col min="4" max="4" width="7.25" style="234" customWidth="1"/>
    <col min="5" max="5" width="35.125" style="12" customWidth="1"/>
    <col min="6" max="6" width="11.625" style="234" customWidth="1"/>
    <col min="7" max="7" width="10.75" style="234" customWidth="1"/>
    <col min="8" max="8" width="9.625" style="234" customWidth="1"/>
    <col min="9" max="9" width="10" style="234" customWidth="1"/>
    <col min="10" max="10" width="15.25" style="20" customWidth="1"/>
    <col min="11" max="11" width="11" style="234"/>
    <col min="12" max="12" width="9" style="234" customWidth="1"/>
    <col min="13" max="13" width="18.625" style="234" customWidth="1"/>
    <col min="14" max="14" width="26.25" style="20" customWidth="1"/>
    <col min="15" max="15" width="11" style="234"/>
    <col min="16" max="16" width="10.625" style="234" customWidth="1"/>
    <col min="17" max="17" width="25.375" style="234" customWidth="1"/>
    <col min="18" max="18" width="20.625" style="234" customWidth="1"/>
    <col min="19" max="19" width="17.75" style="234" customWidth="1"/>
    <col min="20" max="21" width="11" style="234"/>
    <col min="22" max="22" width="31.5" style="234" customWidth="1"/>
    <col min="23" max="23" width="21" style="234" customWidth="1"/>
    <col min="24" max="24" width="17.125" style="234" customWidth="1"/>
    <col min="25" max="25" width="17.5" style="234" customWidth="1"/>
    <col min="26" max="26" width="22.375" style="234" customWidth="1"/>
    <col min="27" max="27" width="22.5" style="234" customWidth="1"/>
    <col min="28" max="28" width="20.5" style="234" customWidth="1"/>
    <col min="29" max="16384" width="11" style="234"/>
  </cols>
  <sheetData>
    <row r="1" spans="1:27" ht="18.75" thickBot="1" x14ac:dyDescent="0.25">
      <c r="B1" s="16"/>
      <c r="C1" s="16"/>
      <c r="D1" s="16"/>
      <c r="E1" s="16"/>
      <c r="F1" s="355" t="s">
        <v>111</v>
      </c>
      <c r="G1" s="355"/>
      <c r="H1" s="355"/>
      <c r="I1" s="355"/>
      <c r="J1" s="355"/>
      <c r="K1" s="351" t="s">
        <v>40</v>
      </c>
      <c r="L1" s="351"/>
      <c r="M1" s="351"/>
      <c r="N1" s="351"/>
    </row>
    <row r="2" spans="1:27" ht="57" x14ac:dyDescent="0.2">
      <c r="A2" s="1" t="s">
        <v>33</v>
      </c>
      <c r="B2" s="2"/>
      <c r="C2" s="356" t="s">
        <v>0</v>
      </c>
      <c r="D2" s="357"/>
      <c r="E2" s="242" t="s">
        <v>19</v>
      </c>
      <c r="F2" s="2" t="s">
        <v>1</v>
      </c>
      <c r="G2" s="2" t="s">
        <v>24</v>
      </c>
      <c r="H2" s="2" t="s">
        <v>22</v>
      </c>
      <c r="I2" s="356" t="s">
        <v>35</v>
      </c>
      <c r="J2" s="358"/>
      <c r="K2" s="243" t="s">
        <v>2</v>
      </c>
      <c r="L2" s="2" t="s">
        <v>3</v>
      </c>
      <c r="M2" s="2" t="s">
        <v>4</v>
      </c>
      <c r="N2" s="10" t="s">
        <v>5</v>
      </c>
      <c r="Z2" s="234" t="s">
        <v>134</v>
      </c>
      <c r="AA2" s="234" t="s">
        <v>131</v>
      </c>
    </row>
    <row r="3" spans="1:27" ht="16.5" thickBot="1" x14ac:dyDescent="0.25">
      <c r="A3" s="5"/>
      <c r="B3" s="6"/>
      <c r="C3" s="7" t="s">
        <v>35</v>
      </c>
      <c r="D3" s="37" t="s">
        <v>115</v>
      </c>
      <c r="E3" s="11"/>
      <c r="F3" s="6" t="s">
        <v>6</v>
      </c>
      <c r="G3" s="6" t="s">
        <v>23</v>
      </c>
      <c r="H3" s="6"/>
      <c r="I3" s="7" t="s">
        <v>35</v>
      </c>
      <c r="J3" s="37" t="s">
        <v>115</v>
      </c>
      <c r="K3" s="18" t="s">
        <v>34</v>
      </c>
      <c r="L3" s="6" t="s">
        <v>7</v>
      </c>
      <c r="M3" s="6"/>
      <c r="N3" s="8"/>
    </row>
    <row r="4" spans="1:27" x14ac:dyDescent="0.2">
      <c r="A4" s="147"/>
      <c r="B4" s="147"/>
      <c r="C4" s="147"/>
      <c r="D4" s="147"/>
      <c r="E4" s="148"/>
      <c r="F4" s="238"/>
      <c r="K4" s="17"/>
      <c r="L4" s="13"/>
      <c r="N4" s="234"/>
      <c r="U4" s="234" t="s">
        <v>124</v>
      </c>
      <c r="W4" s="234">
        <v>300</v>
      </c>
      <c r="X4" s="234" t="s">
        <v>130</v>
      </c>
      <c r="Y4" s="234" t="s">
        <v>125</v>
      </c>
      <c r="Z4" s="234">
        <v>466</v>
      </c>
      <c r="AA4" s="234">
        <f>W4/1000*Z4/1000</f>
        <v>0.13979999999999998</v>
      </c>
    </row>
    <row r="5" spans="1:27" ht="14.25" hidden="1" customHeight="1" x14ac:dyDescent="0.2">
      <c r="A5" s="161" t="s">
        <v>239</v>
      </c>
      <c r="B5" s="147" t="s">
        <v>14</v>
      </c>
      <c r="C5" s="147">
        <f>1395+927+1122</f>
        <v>3444</v>
      </c>
      <c r="D5" s="147" t="s">
        <v>10</v>
      </c>
      <c r="E5" s="149" t="s">
        <v>262</v>
      </c>
      <c r="F5" s="238">
        <f>C5</f>
        <v>3444</v>
      </c>
      <c r="I5" s="234">
        <f>C5</f>
        <v>3444</v>
      </c>
      <c r="J5" s="20" t="s">
        <v>10</v>
      </c>
      <c r="K5" s="17">
        <f>AA25</f>
        <v>0.15598800000000002</v>
      </c>
      <c r="L5" s="238">
        <f t="shared" ref="L5:L9" si="0">I5*K5</f>
        <v>537.2226720000001</v>
      </c>
      <c r="N5" s="234" t="s">
        <v>49</v>
      </c>
      <c r="W5" s="234">
        <v>100</v>
      </c>
      <c r="X5" s="234" t="s">
        <v>130</v>
      </c>
      <c r="Y5" s="234" t="s">
        <v>126</v>
      </c>
      <c r="Z5" s="234">
        <v>0.1</v>
      </c>
      <c r="AA5" s="234">
        <f t="shared" ref="AA5:AA10" si="1">W5/1000*Z5/1000</f>
        <v>1.0000000000000003E-5</v>
      </c>
    </row>
    <row r="6" spans="1:27" hidden="1" x14ac:dyDescent="0.2">
      <c r="A6" s="147"/>
      <c r="B6" s="147" t="s">
        <v>247</v>
      </c>
      <c r="C6" s="150">
        <v>198</v>
      </c>
      <c r="D6" s="147" t="s">
        <v>12</v>
      </c>
      <c r="E6" s="149" t="s">
        <v>38</v>
      </c>
      <c r="F6" s="238">
        <f>C6*0.4</f>
        <v>79.2</v>
      </c>
      <c r="I6" s="238">
        <f>F6</f>
        <v>79.2</v>
      </c>
      <c r="J6" s="20" t="s">
        <v>10</v>
      </c>
      <c r="K6" s="17">
        <f>AA12</f>
        <v>0.14654999999999999</v>
      </c>
      <c r="L6" s="238">
        <f t="shared" si="0"/>
        <v>11.60676</v>
      </c>
      <c r="N6" s="234" t="s">
        <v>49</v>
      </c>
      <c r="W6" s="234">
        <f>650+340+680</f>
        <v>1670</v>
      </c>
      <c r="X6" s="234" t="s">
        <v>130</v>
      </c>
      <c r="Y6" s="234" t="s">
        <v>127</v>
      </c>
      <c r="Z6" s="234">
        <v>4</v>
      </c>
      <c r="AA6" s="234">
        <f t="shared" si="1"/>
        <v>6.6799999999999993E-3</v>
      </c>
    </row>
    <row r="7" spans="1:27" hidden="1" x14ac:dyDescent="0.2">
      <c r="A7" s="147"/>
      <c r="B7" s="147" t="s">
        <v>249</v>
      </c>
      <c r="C7" s="147">
        <v>233</v>
      </c>
      <c r="D7" s="147" t="s">
        <v>11</v>
      </c>
      <c r="E7" s="149"/>
      <c r="F7" s="238" t="s">
        <v>25</v>
      </c>
      <c r="H7" s="234">
        <f>C7</f>
        <v>233</v>
      </c>
      <c r="I7" s="234">
        <f>H7</f>
        <v>233</v>
      </c>
      <c r="J7" s="20" t="s">
        <v>11</v>
      </c>
      <c r="K7" s="234">
        <v>0.65600000000000003</v>
      </c>
      <c r="L7" s="238">
        <f t="shared" si="0"/>
        <v>152.84800000000001</v>
      </c>
      <c r="M7" s="234" t="s">
        <v>41</v>
      </c>
      <c r="N7" s="234" t="s">
        <v>194</v>
      </c>
      <c r="W7" s="234">
        <f>200</f>
        <v>200</v>
      </c>
      <c r="X7" s="234" t="s">
        <v>130</v>
      </c>
      <c r="Y7" s="234" t="s">
        <v>128</v>
      </c>
      <c r="Z7" s="234">
        <v>0.3</v>
      </c>
      <c r="AA7" s="234">
        <f t="shared" si="1"/>
        <v>5.9999999999999995E-5</v>
      </c>
    </row>
    <row r="8" spans="1:27" hidden="1" x14ac:dyDescent="0.2">
      <c r="A8" s="147"/>
      <c r="B8" s="147" t="s">
        <v>188</v>
      </c>
      <c r="C8" s="147">
        <v>18</v>
      </c>
      <c r="D8" s="147" t="s">
        <v>11</v>
      </c>
      <c r="E8" s="149"/>
      <c r="F8" s="238"/>
      <c r="H8" s="150">
        <f>C8</f>
        <v>18</v>
      </c>
      <c r="I8" s="150">
        <f>H8</f>
        <v>18</v>
      </c>
      <c r="J8" s="20" t="s">
        <v>11</v>
      </c>
      <c r="K8" s="234">
        <v>2.5049999999999999</v>
      </c>
      <c r="L8" s="238">
        <f t="shared" si="0"/>
        <v>45.089999999999996</v>
      </c>
      <c r="M8" s="234" t="s">
        <v>193</v>
      </c>
      <c r="N8" s="234" t="s">
        <v>194</v>
      </c>
    </row>
    <row r="9" spans="1:27" hidden="1" x14ac:dyDescent="0.2">
      <c r="A9" s="147"/>
      <c r="B9" s="147" t="s">
        <v>189</v>
      </c>
      <c r="C9" s="147">
        <v>2906</v>
      </c>
      <c r="D9" s="147" t="s">
        <v>191</v>
      </c>
      <c r="E9" s="149" t="s">
        <v>192</v>
      </c>
      <c r="F9" s="238"/>
      <c r="I9" s="238">
        <f>C9*22/1000</f>
        <v>63.932000000000002</v>
      </c>
      <c r="J9" s="20" t="s">
        <v>11</v>
      </c>
      <c r="K9" s="234">
        <v>0.86</v>
      </c>
      <c r="L9" s="238">
        <f t="shared" si="0"/>
        <v>54.981520000000003</v>
      </c>
      <c r="M9" s="234" t="s">
        <v>48</v>
      </c>
      <c r="N9" s="234" t="s">
        <v>49</v>
      </c>
    </row>
    <row r="10" spans="1:27" ht="15" hidden="1" thickBot="1" x14ac:dyDescent="0.25">
      <c r="A10" s="39"/>
      <c r="E10" s="40"/>
      <c r="F10" s="238"/>
      <c r="J10" s="26"/>
      <c r="L10" s="36">
        <f>SUM(L4:L9)</f>
        <v>801.74895200000026</v>
      </c>
      <c r="N10" s="234"/>
      <c r="W10" s="234">
        <v>2.5</v>
      </c>
      <c r="X10" s="234" t="s">
        <v>130</v>
      </c>
      <c r="Y10" s="234" t="s">
        <v>129</v>
      </c>
      <c r="AA10" s="234">
        <f t="shared" si="1"/>
        <v>0</v>
      </c>
    </row>
    <row r="11" spans="1:27" ht="13.5" hidden="1" customHeight="1" x14ac:dyDescent="0.2">
      <c r="A11" s="39"/>
      <c r="B11" s="39">
        <v>0.9</v>
      </c>
      <c r="C11" s="39">
        <f>B11*C6*8</f>
        <v>1425.6000000000001</v>
      </c>
      <c r="D11" s="39"/>
      <c r="E11" s="39"/>
      <c r="J11" s="26"/>
      <c r="N11" s="234"/>
    </row>
    <row r="12" spans="1:27" hidden="1" x14ac:dyDescent="0.2">
      <c r="A12" s="39"/>
      <c r="B12" s="39"/>
      <c r="C12" s="39"/>
      <c r="D12" s="39"/>
      <c r="E12" s="39"/>
      <c r="J12" s="26"/>
      <c r="N12" s="234"/>
      <c r="Z12" s="55" t="s">
        <v>132</v>
      </c>
      <c r="AA12" s="56">
        <f>SUM(AA4:AA10)</f>
        <v>0.14654999999999999</v>
      </c>
    </row>
    <row r="13" spans="1:27" hidden="1" x14ac:dyDescent="0.2">
      <c r="A13" s="39" t="s">
        <v>91</v>
      </c>
      <c r="B13" s="39" t="s">
        <v>16</v>
      </c>
      <c r="C13" s="39">
        <v>0</v>
      </c>
      <c r="D13" s="39" t="s">
        <v>10</v>
      </c>
      <c r="E13" s="40" t="s">
        <v>39</v>
      </c>
      <c r="F13" s="50">
        <f>C13</f>
        <v>0</v>
      </c>
      <c r="G13" s="39"/>
      <c r="H13" s="39"/>
      <c r="I13" s="39">
        <v>0</v>
      </c>
      <c r="J13" s="157" t="s">
        <v>10</v>
      </c>
      <c r="K13" s="158">
        <f>AA36</f>
        <v>0.16428880000000001</v>
      </c>
      <c r="L13" s="50">
        <f>I13*K13</f>
        <v>0</v>
      </c>
      <c r="M13" s="39"/>
      <c r="N13" s="39"/>
    </row>
    <row r="14" spans="1:27" hidden="1" x14ac:dyDescent="0.2">
      <c r="A14" s="39"/>
      <c r="B14" s="39" t="s">
        <v>17</v>
      </c>
      <c r="C14" s="39">
        <v>0</v>
      </c>
      <c r="D14" s="39" t="s">
        <v>18</v>
      </c>
      <c r="E14" s="40" t="s">
        <v>190</v>
      </c>
      <c r="F14" s="50" t="s">
        <v>25</v>
      </c>
      <c r="G14" s="39"/>
      <c r="H14" s="39"/>
      <c r="I14" s="39">
        <f>15/1000*C14</f>
        <v>0</v>
      </c>
      <c r="J14" s="157" t="s">
        <v>11</v>
      </c>
      <c r="K14" s="39">
        <v>2.3140000000000001</v>
      </c>
      <c r="L14" s="50">
        <f>I14*K14</f>
        <v>0</v>
      </c>
      <c r="M14" s="39" t="s">
        <v>42</v>
      </c>
      <c r="N14" s="39" t="s">
        <v>194</v>
      </c>
    </row>
    <row r="15" spans="1:27" hidden="1" x14ac:dyDescent="0.2">
      <c r="A15" s="39"/>
      <c r="B15" s="39" t="s">
        <v>20</v>
      </c>
      <c r="C15" s="39">
        <v>0</v>
      </c>
      <c r="D15" s="39" t="s">
        <v>12</v>
      </c>
      <c r="E15" s="40"/>
      <c r="F15" s="49">
        <f>PI()*0.025^2*C15</f>
        <v>0</v>
      </c>
      <c r="G15" s="39">
        <v>7.8</v>
      </c>
      <c r="H15" s="49">
        <f>C15*21/1000</f>
        <v>0</v>
      </c>
      <c r="I15" s="49">
        <f>H15</f>
        <v>0</v>
      </c>
      <c r="J15" s="157" t="s">
        <v>11</v>
      </c>
      <c r="K15" s="39">
        <v>2.266</v>
      </c>
      <c r="L15" s="50">
        <f>I15*K15</f>
        <v>0</v>
      </c>
      <c r="M15" s="39" t="s">
        <v>41</v>
      </c>
      <c r="N15" s="39" t="s">
        <v>194</v>
      </c>
    </row>
    <row r="16" spans="1:27" ht="14.25" hidden="1" customHeight="1" thickBot="1" x14ac:dyDescent="0.25">
      <c r="A16" s="39"/>
      <c r="B16" s="39" t="s">
        <v>9</v>
      </c>
      <c r="C16" s="39">
        <v>0</v>
      </c>
      <c r="D16" s="39" t="s">
        <v>11</v>
      </c>
      <c r="E16" s="40" t="s">
        <v>21</v>
      </c>
      <c r="F16" s="49"/>
      <c r="G16" s="39"/>
      <c r="H16" s="49">
        <f>C16</f>
        <v>0</v>
      </c>
      <c r="I16" s="49">
        <f>H16</f>
        <v>0</v>
      </c>
      <c r="J16" s="157" t="s">
        <v>11</v>
      </c>
      <c r="K16" s="39">
        <v>0.91300000000000003</v>
      </c>
      <c r="L16" s="50">
        <f>I16*K16</f>
        <v>0</v>
      </c>
      <c r="M16" s="39" t="s">
        <v>48</v>
      </c>
      <c r="N16" s="39" t="s">
        <v>49</v>
      </c>
      <c r="Z16" s="234" t="s">
        <v>134</v>
      </c>
      <c r="AA16" s="234" t="s">
        <v>131</v>
      </c>
    </row>
    <row r="17" spans="1:27" ht="15" hidden="1" thickBot="1" x14ac:dyDescent="0.25">
      <c r="A17" s="39"/>
      <c r="B17" s="39"/>
      <c r="C17" s="39"/>
      <c r="D17" s="39"/>
      <c r="E17" s="40"/>
      <c r="F17" s="49"/>
      <c r="G17" s="39"/>
      <c r="H17" s="39"/>
      <c r="I17" s="39"/>
      <c r="J17" s="159"/>
      <c r="K17" s="39"/>
      <c r="L17" s="160">
        <f>SUM(L13:L16)</f>
        <v>0</v>
      </c>
      <c r="M17" s="39"/>
      <c r="N17" s="39"/>
    </row>
    <row r="18" spans="1:27" x14ac:dyDescent="0.2">
      <c r="A18" s="39"/>
      <c r="B18" s="39"/>
      <c r="C18" s="39"/>
      <c r="D18" s="39"/>
      <c r="E18" s="39"/>
      <c r="J18" s="26"/>
      <c r="N18" s="234"/>
      <c r="U18" s="234" t="s">
        <v>133</v>
      </c>
      <c r="W18" s="234">
        <v>320</v>
      </c>
      <c r="X18" s="234" t="s">
        <v>130</v>
      </c>
      <c r="Y18" s="234" t="s">
        <v>125</v>
      </c>
      <c r="Z18" s="234">
        <v>466</v>
      </c>
      <c r="AA18" s="234">
        <f>W18/1000*Z18/1000</f>
        <v>0.14912</v>
      </c>
    </row>
    <row r="19" spans="1:27" x14ac:dyDescent="0.2">
      <c r="A19" s="39"/>
      <c r="B19" s="39"/>
      <c r="C19" s="39"/>
      <c r="D19" s="39"/>
      <c r="E19" s="39"/>
      <c r="J19" s="26"/>
      <c r="N19" s="234"/>
      <c r="W19" s="234">
        <v>80</v>
      </c>
      <c r="X19" s="234" t="s">
        <v>130</v>
      </c>
      <c r="Y19" s="234" t="s">
        <v>126</v>
      </c>
      <c r="Z19" s="234">
        <v>0.1</v>
      </c>
      <c r="AA19" s="234">
        <f t="shared" ref="AA19:AA23" si="2">W19/1000*Z19/1000</f>
        <v>7.9999999999999996E-6</v>
      </c>
    </row>
    <row r="20" spans="1:27" x14ac:dyDescent="0.2">
      <c r="A20" s="147" t="s">
        <v>92</v>
      </c>
      <c r="B20" s="147" t="s">
        <v>28</v>
      </c>
      <c r="C20" s="198">
        <f>'MIP550-Dichtwand'!B3</f>
        <v>3430</v>
      </c>
      <c r="D20" s="147" t="s">
        <v>26</v>
      </c>
      <c r="E20" s="149" t="s">
        <v>260</v>
      </c>
      <c r="F20" s="154" t="s">
        <v>25</v>
      </c>
      <c r="G20" s="147"/>
      <c r="H20" s="156">
        <f>'MIP550-Dichtwand'!B3*(('MIP550-Dichtwand'!B7/1000)*0.55)</f>
        <v>188.65000000000003</v>
      </c>
      <c r="I20" s="154">
        <f>H20</f>
        <v>188.65000000000003</v>
      </c>
      <c r="J20" s="155" t="s">
        <v>11</v>
      </c>
      <c r="K20" s="17">
        <f>0.27*0.86+0.73*0.0796</f>
        <v>0.29030800000000001</v>
      </c>
      <c r="L20" s="238">
        <f>I20*K20</f>
        <v>54.76660420000001</v>
      </c>
      <c r="M20" s="234" t="s">
        <v>137</v>
      </c>
      <c r="N20" s="234" t="s">
        <v>49</v>
      </c>
      <c r="W20" s="234">
        <f>677+341+682</f>
        <v>1700</v>
      </c>
      <c r="X20" s="234" t="s">
        <v>130</v>
      </c>
      <c r="Y20" s="234" t="s">
        <v>127</v>
      </c>
      <c r="Z20" s="234">
        <v>4</v>
      </c>
      <c r="AA20" s="234">
        <f t="shared" si="2"/>
        <v>6.7999999999999996E-3</v>
      </c>
    </row>
    <row r="21" spans="1:27" ht="15" x14ac:dyDescent="0.2">
      <c r="A21" s="161" t="s">
        <v>240</v>
      </c>
      <c r="B21" s="147" t="s">
        <v>76</v>
      </c>
      <c r="C21" s="198">
        <v>0</v>
      </c>
      <c r="D21" s="147" t="s">
        <v>11</v>
      </c>
      <c r="E21" s="149" t="s">
        <v>261</v>
      </c>
      <c r="F21" s="154" t="s">
        <v>25</v>
      </c>
      <c r="G21" s="147"/>
      <c r="H21" s="147"/>
      <c r="I21" s="147">
        <f>C21</f>
        <v>0</v>
      </c>
      <c r="J21" s="155" t="s">
        <v>11</v>
      </c>
      <c r="K21" s="234">
        <v>0.67300000000000004</v>
      </c>
      <c r="L21" s="238">
        <f>I21*K21</f>
        <v>0</v>
      </c>
      <c r="M21" s="234" t="s">
        <v>42</v>
      </c>
      <c r="N21" s="234" t="s">
        <v>194</v>
      </c>
      <c r="W21" s="234">
        <f>200</f>
        <v>200</v>
      </c>
      <c r="X21" s="234" t="s">
        <v>130</v>
      </c>
      <c r="Y21" s="234" t="s">
        <v>128</v>
      </c>
      <c r="Z21" s="234">
        <v>0.3</v>
      </c>
      <c r="AA21" s="234">
        <f t="shared" si="2"/>
        <v>5.9999999999999995E-5</v>
      </c>
    </row>
    <row r="22" spans="1:27" ht="15" thickBot="1" x14ac:dyDescent="0.25">
      <c r="A22" s="147"/>
      <c r="B22" s="147" t="s">
        <v>202</v>
      </c>
      <c r="C22" s="150">
        <f>C20</f>
        <v>3430</v>
      </c>
      <c r="D22" s="147" t="s">
        <v>26</v>
      </c>
      <c r="E22" s="149" t="s">
        <v>203</v>
      </c>
      <c r="F22" s="156"/>
      <c r="G22" s="147"/>
      <c r="H22" s="156">
        <f>'MIP550-Dichtwand'!B3*(('MIP550-Dichtwand'!B10/1000)*0.55)</f>
        <v>37.730000000000004</v>
      </c>
      <c r="I22" s="156">
        <f>H22</f>
        <v>37.730000000000004</v>
      </c>
      <c r="J22" s="155" t="s">
        <v>11</v>
      </c>
      <c r="K22" s="234">
        <v>0.47499999999999998</v>
      </c>
      <c r="L22" s="238">
        <f>I22*K22</f>
        <v>17.921749999999999</v>
      </c>
      <c r="M22" s="234" t="s">
        <v>204</v>
      </c>
      <c r="N22" s="234" t="s">
        <v>194</v>
      </c>
    </row>
    <row r="23" spans="1:27" ht="15" thickBot="1" x14ac:dyDescent="0.25">
      <c r="A23" s="39"/>
      <c r="B23" s="39"/>
      <c r="C23" s="39"/>
      <c r="D23" s="39"/>
      <c r="E23" s="40"/>
      <c r="F23" s="13"/>
      <c r="J23" s="26"/>
      <c r="L23" s="36">
        <f>SUM(L20:L22)</f>
        <v>72.688354200000006</v>
      </c>
      <c r="N23" s="234"/>
      <c r="W23" s="234">
        <v>2.5</v>
      </c>
      <c r="X23" s="234" t="s">
        <v>130</v>
      </c>
      <c r="Y23" s="234" t="s">
        <v>129</v>
      </c>
      <c r="AA23" s="234">
        <f t="shared" si="2"/>
        <v>0</v>
      </c>
    </row>
    <row r="24" spans="1:27" ht="13.5" customHeight="1" x14ac:dyDescent="0.2">
      <c r="A24" s="39"/>
      <c r="B24" s="39"/>
      <c r="C24" s="39"/>
      <c r="D24" s="39"/>
      <c r="E24" s="39"/>
      <c r="J24" s="26"/>
      <c r="N24" s="234"/>
    </row>
    <row r="25" spans="1:27" hidden="1" x14ac:dyDescent="0.2">
      <c r="A25" s="39"/>
      <c r="B25" s="39"/>
      <c r="C25" s="39"/>
      <c r="D25" s="39"/>
      <c r="E25" s="39"/>
      <c r="J25" s="26"/>
      <c r="N25" s="234"/>
      <c r="Z25" s="55" t="s">
        <v>135</v>
      </c>
      <c r="AA25" s="56">
        <f>SUM(AA18:AA23)</f>
        <v>0.15598800000000002</v>
      </c>
    </row>
    <row r="26" spans="1:27" hidden="1" x14ac:dyDescent="0.2">
      <c r="A26" s="39" t="s">
        <v>93</v>
      </c>
      <c r="B26" s="39" t="s">
        <v>27</v>
      </c>
      <c r="C26" s="39">
        <v>0</v>
      </c>
      <c r="D26" s="39" t="s">
        <v>26</v>
      </c>
      <c r="E26" s="40" t="s">
        <v>75</v>
      </c>
      <c r="F26" s="49" t="s">
        <v>25</v>
      </c>
      <c r="G26" s="39"/>
      <c r="H26" s="39"/>
      <c r="I26" s="39">
        <f>C26*0.233</f>
        <v>0</v>
      </c>
      <c r="J26" s="157" t="s">
        <v>11</v>
      </c>
      <c r="K26" s="39">
        <v>0.91300000000000003</v>
      </c>
      <c r="L26" s="50">
        <f>I26*K26</f>
        <v>0</v>
      </c>
      <c r="M26" s="39" t="s">
        <v>48</v>
      </c>
      <c r="N26" s="39" t="s">
        <v>49</v>
      </c>
    </row>
    <row r="27" spans="1:27" ht="15" hidden="1" thickBo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159"/>
      <c r="K27" s="39"/>
      <c r="L27" s="160">
        <f>SUM(L26)</f>
        <v>0</v>
      </c>
      <c r="M27" s="39"/>
      <c r="N27" s="39"/>
    </row>
    <row r="28" spans="1:27" ht="13.5" hidden="1" customHeight="1" x14ac:dyDescent="0.2">
      <c r="A28" s="39"/>
      <c r="B28" s="39"/>
      <c r="C28" s="39"/>
      <c r="D28" s="39"/>
      <c r="E28" s="39"/>
      <c r="F28" s="39"/>
      <c r="G28" s="39"/>
      <c r="H28" s="39"/>
      <c r="I28" s="39"/>
      <c r="J28" s="159"/>
      <c r="K28" s="39"/>
      <c r="L28" s="39"/>
      <c r="M28" s="39"/>
      <c r="N28" s="39"/>
      <c r="U28" s="234" t="s">
        <v>136</v>
      </c>
      <c r="Z28" s="234" t="s">
        <v>134</v>
      </c>
      <c r="AA28" s="234" t="s">
        <v>131</v>
      </c>
    </row>
    <row r="29" spans="1:27" hidden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159"/>
      <c r="K29" s="39"/>
      <c r="L29" s="39"/>
      <c r="M29" s="39"/>
      <c r="N29" s="39"/>
    </row>
    <row r="30" spans="1:27" hidden="1" x14ac:dyDescent="0.2">
      <c r="A30" s="39" t="s">
        <v>94</v>
      </c>
      <c r="B30" s="39" t="s">
        <v>43</v>
      </c>
      <c r="C30" s="39" t="s">
        <v>31</v>
      </c>
      <c r="D30" s="39" t="s">
        <v>71</v>
      </c>
      <c r="E30" s="40" t="s">
        <v>29</v>
      </c>
      <c r="F30" s="49" t="s">
        <v>25</v>
      </c>
      <c r="G30" s="39"/>
      <c r="H30" s="39">
        <v>0</v>
      </c>
      <c r="I30" s="39">
        <f>H30</f>
        <v>0</v>
      </c>
      <c r="J30" s="157" t="s">
        <v>11</v>
      </c>
      <c r="K30" s="39">
        <v>0.91300000000000003</v>
      </c>
      <c r="L30" s="50">
        <f>I30*K30</f>
        <v>0</v>
      </c>
      <c r="M30" s="39" t="s">
        <v>48</v>
      </c>
      <c r="N30" s="39" t="s">
        <v>49</v>
      </c>
      <c r="W30" s="234">
        <v>320</v>
      </c>
      <c r="X30" s="234" t="s">
        <v>130</v>
      </c>
      <c r="Y30" s="234" t="s">
        <v>125</v>
      </c>
      <c r="Z30" s="234">
        <v>485</v>
      </c>
      <c r="AA30" s="234">
        <f>W30/1000*Z30/1000</f>
        <v>0.1552</v>
      </c>
    </row>
    <row r="31" spans="1:27" hidden="1" x14ac:dyDescent="0.2">
      <c r="A31" s="39"/>
      <c r="B31" s="39" t="s">
        <v>44</v>
      </c>
      <c r="C31" s="39">
        <v>0</v>
      </c>
      <c r="D31" s="39" t="s">
        <v>10</v>
      </c>
      <c r="E31" s="40" t="s">
        <v>30</v>
      </c>
      <c r="F31" s="49" t="s">
        <v>25</v>
      </c>
      <c r="G31" s="39"/>
      <c r="H31" s="39">
        <v>0</v>
      </c>
      <c r="I31" s="39">
        <f>H31</f>
        <v>0</v>
      </c>
      <c r="J31" s="157" t="s">
        <v>11</v>
      </c>
      <c r="K31" s="39">
        <v>0.28000000000000003</v>
      </c>
      <c r="L31" s="50">
        <f>I31*K31</f>
        <v>0</v>
      </c>
      <c r="M31" s="39"/>
      <c r="N31" s="39" t="s">
        <v>50</v>
      </c>
      <c r="W31" s="234">
        <v>130</v>
      </c>
      <c r="X31" s="234" t="s">
        <v>130</v>
      </c>
      <c r="Y31" s="234" t="s">
        <v>126</v>
      </c>
      <c r="Z31" s="234">
        <v>4</v>
      </c>
      <c r="AA31" s="234">
        <f t="shared" ref="AA31:AA34" si="3">W31/1000*Z31/1000</f>
        <v>5.2000000000000006E-4</v>
      </c>
    </row>
    <row r="32" spans="1:27" hidden="1" x14ac:dyDescent="0.2">
      <c r="A32" s="39"/>
      <c r="B32" s="39" t="s">
        <v>45</v>
      </c>
      <c r="C32" s="39">
        <f>47500</f>
        <v>47500</v>
      </c>
      <c r="D32" s="39" t="s">
        <v>12</v>
      </c>
      <c r="E32" s="40" t="s">
        <v>32</v>
      </c>
      <c r="F32" s="49">
        <f>C32*PI()*(0.008^2-0.005^2)</f>
        <v>5.8198003907750913</v>
      </c>
      <c r="G32" s="39">
        <v>1.4</v>
      </c>
      <c r="H32" s="49">
        <v>0</v>
      </c>
      <c r="I32" s="49">
        <f>H32</f>
        <v>0</v>
      </c>
      <c r="J32" s="157" t="s">
        <v>11</v>
      </c>
      <c r="K32" s="39">
        <v>3.23</v>
      </c>
      <c r="L32" s="50">
        <f>I32*K32</f>
        <v>0</v>
      </c>
      <c r="M32" s="39" t="s">
        <v>47</v>
      </c>
      <c r="N32" s="39" t="s">
        <v>46</v>
      </c>
      <c r="W32" s="234">
        <f>677+341+682</f>
        <v>1700</v>
      </c>
      <c r="X32" s="234" t="s">
        <v>130</v>
      </c>
      <c r="Y32" s="234" t="s">
        <v>127</v>
      </c>
      <c r="Z32" s="234">
        <v>5</v>
      </c>
      <c r="AA32" s="234">
        <f t="shared" si="3"/>
        <v>8.5000000000000006E-3</v>
      </c>
    </row>
    <row r="33" spans="1:27" ht="15" hidden="1" thickBot="1" x14ac:dyDescent="0.25">
      <c r="A33" s="39"/>
      <c r="B33" s="39"/>
      <c r="C33" s="39"/>
      <c r="D33" s="39"/>
      <c r="E33" s="40"/>
      <c r="I33" s="39"/>
      <c r="J33" s="157"/>
      <c r="K33" s="39"/>
      <c r="L33" s="160">
        <f>SUM(L30:L32)</f>
        <v>0</v>
      </c>
      <c r="M33" s="39"/>
      <c r="N33" s="39"/>
      <c r="W33" s="234">
        <f>200</f>
        <v>200</v>
      </c>
      <c r="X33" s="234" t="s">
        <v>130</v>
      </c>
      <c r="Y33" s="234" t="s">
        <v>128</v>
      </c>
      <c r="Z33" s="234">
        <v>0.34399999999999997</v>
      </c>
      <c r="AA33" s="234">
        <f t="shared" si="3"/>
        <v>6.8800000000000005E-5</v>
      </c>
    </row>
    <row r="34" spans="1:27" x14ac:dyDescent="0.2">
      <c r="A34" s="39"/>
      <c r="B34" s="39"/>
      <c r="C34" s="39"/>
      <c r="D34" s="39"/>
      <c r="E34" s="40"/>
      <c r="N34" s="234"/>
      <c r="W34" s="234">
        <v>2.5</v>
      </c>
      <c r="X34" s="234" t="s">
        <v>130</v>
      </c>
      <c r="Y34" s="234" t="s">
        <v>129</v>
      </c>
      <c r="AA34" s="234">
        <f t="shared" si="3"/>
        <v>0</v>
      </c>
    </row>
    <row r="35" spans="1:27" x14ac:dyDescent="0.2">
      <c r="A35" s="39"/>
      <c r="B35" s="40"/>
      <c r="C35" s="40"/>
      <c r="D35" s="40"/>
      <c r="E35" s="40"/>
      <c r="F35" s="12"/>
      <c r="G35" s="12"/>
      <c r="H35" s="12"/>
      <c r="I35" s="12"/>
      <c r="J35" s="26"/>
      <c r="N35" s="234"/>
    </row>
    <row r="36" spans="1:27" ht="18.75" thickBot="1" x14ac:dyDescent="0.25">
      <c r="A36" s="39"/>
      <c r="B36" s="41"/>
      <c r="C36" s="41"/>
      <c r="D36" s="41"/>
      <c r="E36" s="41"/>
      <c r="F36" s="349" t="s">
        <v>112</v>
      </c>
      <c r="G36" s="349"/>
      <c r="H36" s="349"/>
      <c r="I36" s="349"/>
      <c r="J36" s="350"/>
      <c r="K36" s="351" t="s">
        <v>40</v>
      </c>
      <c r="L36" s="351"/>
      <c r="M36" s="351"/>
      <c r="N36" s="351"/>
      <c r="Z36" s="55" t="s">
        <v>136</v>
      </c>
      <c r="AA36" s="56">
        <f>SUM(AA30:AA34)</f>
        <v>0.16428880000000001</v>
      </c>
    </row>
    <row r="37" spans="1:27" ht="42.75" x14ac:dyDescent="0.2">
      <c r="A37" s="162" t="s">
        <v>33</v>
      </c>
      <c r="B37" s="163"/>
      <c r="C37" s="353" t="s">
        <v>54</v>
      </c>
      <c r="D37" s="354"/>
      <c r="E37" s="163" t="s">
        <v>19</v>
      </c>
      <c r="F37" s="22" t="s">
        <v>56</v>
      </c>
      <c r="G37" s="24" t="s">
        <v>57</v>
      </c>
      <c r="H37" s="24" t="s">
        <v>58</v>
      </c>
      <c r="I37" s="2" t="s">
        <v>74</v>
      </c>
      <c r="J37" s="28" t="s">
        <v>73</v>
      </c>
      <c r="K37" s="243" t="s">
        <v>2</v>
      </c>
      <c r="L37" s="2" t="s">
        <v>3</v>
      </c>
      <c r="M37" s="27" t="s">
        <v>72</v>
      </c>
      <c r="N37" s="10" t="s">
        <v>5</v>
      </c>
      <c r="O37" s="2" t="s">
        <v>64</v>
      </c>
    </row>
    <row r="38" spans="1:27" ht="16.5" thickBot="1" x14ac:dyDescent="0.25">
      <c r="A38" s="44"/>
      <c r="B38" s="45"/>
      <c r="C38" s="46"/>
      <c r="D38" s="47"/>
      <c r="E38" s="48"/>
      <c r="F38" s="6" t="s">
        <v>23</v>
      </c>
      <c r="G38" s="23" t="s">
        <v>7</v>
      </c>
      <c r="H38" s="6" t="s">
        <v>59</v>
      </c>
      <c r="I38" s="6" t="s">
        <v>156</v>
      </c>
      <c r="J38" s="19" t="s">
        <v>60</v>
      </c>
      <c r="K38" s="18" t="s">
        <v>62</v>
      </c>
      <c r="L38" s="6" t="s">
        <v>7</v>
      </c>
      <c r="M38" s="21" t="s">
        <v>40</v>
      </c>
      <c r="N38" s="8"/>
      <c r="O38" s="182" t="s">
        <v>63</v>
      </c>
    </row>
    <row r="39" spans="1:27" hidden="1" x14ac:dyDescent="0.2">
      <c r="A39" s="152" t="s">
        <v>90</v>
      </c>
      <c r="B39" s="152" t="s">
        <v>248</v>
      </c>
      <c r="C39" s="153">
        <f>I5+I6</f>
        <v>3523.2</v>
      </c>
      <c r="D39" s="152" t="s">
        <v>10</v>
      </c>
      <c r="E39" s="164"/>
      <c r="F39" s="152">
        <v>2.2999999999999998</v>
      </c>
      <c r="G39" s="238">
        <f>F39*C39</f>
        <v>8103.3599999999988</v>
      </c>
      <c r="H39" s="234">
        <v>24</v>
      </c>
      <c r="I39" s="234">
        <v>8</v>
      </c>
      <c r="J39" s="20">
        <v>20</v>
      </c>
      <c r="K39" s="29">
        <f>IF(N39="Road Rigid &gt; 17t",0.00122,0.0012)</f>
        <v>1.1999999999999999E-3</v>
      </c>
      <c r="L39" s="234">
        <f>J39*M39*K39*(1+O39/100)</f>
        <v>21.167999999999999</v>
      </c>
      <c r="M39" s="234">
        <f>IF($M$38&lt;&gt;0,ROUNDUP(C39/I39,0),ROUNDUP(G39/H39,0))</f>
        <v>441</v>
      </c>
      <c r="N39" s="234" t="s">
        <v>65</v>
      </c>
      <c r="O39" s="234">
        <v>100</v>
      </c>
    </row>
    <row r="40" spans="1:27" hidden="1" x14ac:dyDescent="0.2">
      <c r="A40" s="152"/>
      <c r="B40" s="152" t="s">
        <v>8</v>
      </c>
      <c r="C40" s="153">
        <f>I7</f>
        <v>233</v>
      </c>
      <c r="D40" s="152" t="s">
        <v>11</v>
      </c>
      <c r="E40" s="164"/>
      <c r="F40" s="152" t="s">
        <v>25</v>
      </c>
      <c r="G40" s="13">
        <f>C40</f>
        <v>233</v>
      </c>
      <c r="H40" s="234">
        <v>25</v>
      </c>
      <c r="I40" s="234">
        <f>IF(N40="Road Rigid &gt; 17t",7.5,15)</f>
        <v>15</v>
      </c>
      <c r="J40" s="20">
        <v>300</v>
      </c>
      <c r="K40" s="29">
        <f t="shared" ref="K40:K43" si="4">IF(N40="Road Rigid &gt; 17t",0.00122,0.0012)</f>
        <v>1.1999999999999999E-3</v>
      </c>
      <c r="L40" s="234">
        <f>J40*M40*K40*(1+O40/100)</f>
        <v>11.52</v>
      </c>
      <c r="M40" s="234">
        <f>IF($M$38&lt;&gt;0,ROUNDUP(G40/I40,0),ROUNDUP(G40/H40,0))</f>
        <v>16</v>
      </c>
      <c r="N40" s="234" t="s">
        <v>65</v>
      </c>
      <c r="O40" s="234">
        <v>100</v>
      </c>
    </row>
    <row r="41" spans="1:27" hidden="1" x14ac:dyDescent="0.2">
      <c r="A41" s="152"/>
      <c r="B41" s="152" t="s">
        <v>188</v>
      </c>
      <c r="C41" s="153">
        <f>I8</f>
        <v>18</v>
      </c>
      <c r="D41" s="152" t="s">
        <v>11</v>
      </c>
      <c r="E41" s="164"/>
      <c r="F41" s="152"/>
      <c r="G41" s="13">
        <f t="shared" ref="G41:G42" si="5">C41</f>
        <v>18</v>
      </c>
      <c r="H41" s="234">
        <v>25</v>
      </c>
      <c r="I41" s="234">
        <f>IF(N41="Road Rigid &gt; 17t",7.5,15)</f>
        <v>15</v>
      </c>
      <c r="J41" s="20">
        <v>300</v>
      </c>
      <c r="K41" s="29">
        <f t="shared" si="4"/>
        <v>1.1999999999999999E-3</v>
      </c>
      <c r="L41" s="234">
        <f>J41*M41*K41*(1+O41/100)</f>
        <v>1.44</v>
      </c>
      <c r="M41" s="234">
        <f>IF($M$38&lt;&gt;0,ROUNDUP(G41/I41,0),ROUNDUP(G41/H41,0))</f>
        <v>2</v>
      </c>
      <c r="N41" s="234" t="s">
        <v>65</v>
      </c>
      <c r="O41" s="234">
        <v>100</v>
      </c>
    </row>
    <row r="42" spans="1:27" hidden="1" x14ac:dyDescent="0.2">
      <c r="A42" s="152"/>
      <c r="B42" s="152" t="s">
        <v>189</v>
      </c>
      <c r="C42" s="153">
        <f>I9</f>
        <v>63.932000000000002</v>
      </c>
      <c r="D42" s="152" t="s">
        <v>11</v>
      </c>
      <c r="E42" s="164"/>
      <c r="F42" s="152"/>
      <c r="G42" s="13">
        <f t="shared" si="5"/>
        <v>63.932000000000002</v>
      </c>
      <c r="H42" s="234">
        <v>25</v>
      </c>
      <c r="I42" s="234">
        <f>IF(N42="Road Rigid &gt; 17t",7.5,15)</f>
        <v>15</v>
      </c>
      <c r="J42" s="20">
        <v>20</v>
      </c>
      <c r="K42" s="29">
        <f t="shared" si="4"/>
        <v>1.1999999999999999E-3</v>
      </c>
      <c r="L42" s="234">
        <f>J42*M42*K42*(1+O42/100)</f>
        <v>0.24</v>
      </c>
      <c r="M42" s="234">
        <f>IF($M$38&lt;&gt;0,ROUNDUP(G42/I42,0),ROUNDUP(G42/H42,0))</f>
        <v>5</v>
      </c>
      <c r="N42" s="234" t="s">
        <v>65</v>
      </c>
      <c r="O42" s="234">
        <v>100</v>
      </c>
    </row>
    <row r="43" spans="1:27" hidden="1" x14ac:dyDescent="0.2">
      <c r="A43" s="152"/>
      <c r="B43" s="152" t="s">
        <v>208</v>
      </c>
      <c r="C43" s="199">
        <f>C153+C154+C155</f>
        <v>14437.125</v>
      </c>
      <c r="D43" s="152" t="s">
        <v>70</v>
      </c>
      <c r="E43" s="164"/>
      <c r="F43" s="152"/>
      <c r="G43" s="238">
        <f>C43</f>
        <v>14437.125</v>
      </c>
      <c r="H43" s="234">
        <v>25</v>
      </c>
      <c r="I43" s="234">
        <v>800</v>
      </c>
      <c r="J43" s="20">
        <v>10</v>
      </c>
      <c r="K43" s="29">
        <f t="shared" si="4"/>
        <v>1.2199999999999999E-3</v>
      </c>
      <c r="L43" s="234">
        <f>J43*M43*K43*(1+O43/100)</f>
        <v>0.46359999999999996</v>
      </c>
      <c r="M43" s="234">
        <f>IF($M$38&lt;&gt;0,ROUNDUP(G43/I43,0),ROUNDUP(G43/H43,0))</f>
        <v>19</v>
      </c>
      <c r="N43" s="234" t="s">
        <v>61</v>
      </c>
      <c r="O43" s="234">
        <v>100</v>
      </c>
    </row>
    <row r="44" spans="1:27" ht="15" hidden="1" thickBot="1" x14ac:dyDescent="0.25">
      <c r="A44" s="39"/>
      <c r="B44" s="39"/>
      <c r="C44" s="39"/>
      <c r="D44" s="39"/>
      <c r="E44" s="40"/>
      <c r="L44" s="36">
        <f>SUM(L39:L43)</f>
        <v>34.831600000000002</v>
      </c>
      <c r="M44" s="36">
        <f>SUM(M39:M43)</f>
        <v>483</v>
      </c>
      <c r="N44" s="234"/>
    </row>
    <row r="45" spans="1:27" hidden="1" x14ac:dyDescent="0.2">
      <c r="A45" s="39"/>
      <c r="B45" s="39"/>
      <c r="C45" s="39"/>
      <c r="D45" s="39"/>
      <c r="E45" s="40"/>
      <c r="N45" s="234"/>
    </row>
    <row r="46" spans="1:27" hidden="1" x14ac:dyDescent="0.2">
      <c r="A46" s="39"/>
      <c r="B46" s="39"/>
      <c r="C46" s="39"/>
      <c r="D46" s="39"/>
      <c r="E46" s="40"/>
      <c r="N46" s="234"/>
    </row>
    <row r="47" spans="1:27" hidden="1" x14ac:dyDescent="0.2">
      <c r="A47" s="39" t="s">
        <v>91</v>
      </c>
      <c r="B47" s="39" t="s">
        <v>51</v>
      </c>
      <c r="C47" s="39">
        <f>C13</f>
        <v>0</v>
      </c>
      <c r="D47" s="39" t="s">
        <v>10</v>
      </c>
      <c r="E47" s="40" t="s">
        <v>113</v>
      </c>
      <c r="F47" s="39">
        <v>2.2999999999999998</v>
      </c>
      <c r="G47" s="39">
        <f>F47*C47</f>
        <v>0</v>
      </c>
      <c r="H47" s="39">
        <v>24</v>
      </c>
      <c r="I47" s="39">
        <v>8</v>
      </c>
      <c r="J47" s="157">
        <v>20</v>
      </c>
      <c r="K47" s="165">
        <f t="shared" ref="K47:K48" si="6">IF(N47="Road Rigid &gt; 17t",0.00122,0.0012)</f>
        <v>1.1999999999999999E-3</v>
      </c>
      <c r="L47" s="39">
        <f>J47*M47*K47*(1+O47/100)</f>
        <v>0</v>
      </c>
      <c r="M47" s="39">
        <f>IF($M$38&lt;&gt;0,ROUNDUP(C47/I47,0),ROUNDUP(G47/H47,0))</f>
        <v>0</v>
      </c>
      <c r="N47" s="39" t="s">
        <v>65</v>
      </c>
      <c r="O47" s="39">
        <v>100</v>
      </c>
    </row>
    <row r="48" spans="1:27" hidden="1" x14ac:dyDescent="0.2">
      <c r="A48" s="39"/>
      <c r="B48" s="39" t="s">
        <v>67</v>
      </c>
      <c r="C48" s="49">
        <f>I14+I15</f>
        <v>0</v>
      </c>
      <c r="D48" s="39" t="s">
        <v>11</v>
      </c>
      <c r="E48" s="40" t="s">
        <v>114</v>
      </c>
      <c r="F48" s="39" t="s">
        <v>25</v>
      </c>
      <c r="G48" s="49">
        <f>C48</f>
        <v>0</v>
      </c>
      <c r="H48" s="39">
        <v>25</v>
      </c>
      <c r="I48" s="39">
        <f>IF(N48="Road Rigid &gt; 17t",7.5,15)</f>
        <v>15</v>
      </c>
      <c r="J48" s="157">
        <v>300</v>
      </c>
      <c r="K48" s="165">
        <f t="shared" si="6"/>
        <v>1.1999999999999999E-3</v>
      </c>
      <c r="L48" s="39">
        <f>J48*M48*K48*(1+O48/100)</f>
        <v>0</v>
      </c>
      <c r="M48" s="39">
        <f>IF($M$38&lt;&gt;0,ROUNDUP(G48/I48,0),ROUNDUP(G48/H48,0))</f>
        <v>0</v>
      </c>
      <c r="N48" s="39" t="s">
        <v>65</v>
      </c>
      <c r="O48" s="39">
        <v>100</v>
      </c>
    </row>
    <row r="49" spans="1:15" hidden="1" x14ac:dyDescent="0.2">
      <c r="A49" s="39"/>
      <c r="B49" s="39" t="s">
        <v>52</v>
      </c>
      <c r="C49" s="49">
        <f>I16</f>
        <v>0</v>
      </c>
      <c r="D49" s="39" t="s">
        <v>11</v>
      </c>
      <c r="E49" s="40"/>
      <c r="F49" s="39" t="s">
        <v>25</v>
      </c>
      <c r="G49" s="49">
        <f t="shared" ref="G49" si="7">C49</f>
        <v>0</v>
      </c>
      <c r="H49" s="39">
        <v>25</v>
      </c>
      <c r="I49" s="39">
        <f>IF(N49="Road Rigid &gt; 17t",7.5,15)</f>
        <v>15</v>
      </c>
      <c r="J49" s="157">
        <v>20</v>
      </c>
      <c r="K49" s="165">
        <f>IF(N49="Road Rigid &gt; 17t",0.00122,0.0012)</f>
        <v>1.1999999999999999E-3</v>
      </c>
      <c r="L49" s="39">
        <f>J49*M49*K49*(1+O49/100)</f>
        <v>0</v>
      </c>
      <c r="M49" s="39">
        <f>IF($M$38&lt;&gt;0,ROUNDUP(G49/I49,0),ROUNDUP(G49/H49,0))</f>
        <v>0</v>
      </c>
      <c r="N49" s="39" t="s">
        <v>65</v>
      </c>
      <c r="O49" s="39">
        <v>100</v>
      </c>
    </row>
    <row r="50" spans="1:15" ht="15" hidden="1" thickBot="1" x14ac:dyDescent="0.25">
      <c r="A50" s="39"/>
      <c r="B50" s="39"/>
      <c r="C50" s="49"/>
      <c r="D50" s="39"/>
      <c r="E50" s="40"/>
      <c r="F50" s="39"/>
      <c r="G50" s="49"/>
      <c r="H50" s="39"/>
      <c r="I50" s="39"/>
      <c r="J50" s="157"/>
      <c r="K50" s="165"/>
      <c r="L50" s="160">
        <f>SUM(L47:L49)</f>
        <v>0</v>
      </c>
      <c r="M50" s="160">
        <f>SUM(M47:M49)</f>
        <v>0</v>
      </c>
      <c r="N50" s="39"/>
      <c r="O50" s="39"/>
    </row>
    <row r="51" spans="1:15" hidden="1" x14ac:dyDescent="0.2">
      <c r="A51" s="39"/>
      <c r="B51" s="39"/>
      <c r="C51" s="49"/>
      <c r="D51" s="39"/>
      <c r="E51" s="40"/>
      <c r="G51" s="13"/>
      <c r="K51" s="29"/>
      <c r="N51" s="234"/>
    </row>
    <row r="52" spans="1:15" x14ac:dyDescent="0.2">
      <c r="A52" s="39"/>
      <c r="B52" s="39"/>
      <c r="C52" s="39"/>
      <c r="D52" s="39"/>
      <c r="E52" s="40"/>
      <c r="N52" s="234"/>
    </row>
    <row r="53" spans="1:15" x14ac:dyDescent="0.2">
      <c r="A53" s="147" t="s">
        <v>92</v>
      </c>
      <c r="B53" s="147" t="s">
        <v>66</v>
      </c>
      <c r="C53" s="156">
        <f>I20</f>
        <v>188.65000000000003</v>
      </c>
      <c r="D53" s="147" t="s">
        <v>11</v>
      </c>
      <c r="E53" s="147"/>
      <c r="F53" s="147" t="s">
        <v>25</v>
      </c>
      <c r="G53" s="238">
        <f>C53</f>
        <v>188.65000000000003</v>
      </c>
      <c r="H53" s="234">
        <v>25</v>
      </c>
      <c r="I53" s="234">
        <f>IF(N53="Road Rigid &gt; 17t",7.5,15)</f>
        <v>15</v>
      </c>
      <c r="J53" s="20">
        <v>20</v>
      </c>
      <c r="K53" s="29">
        <f>IF(N53="Road Rigid &gt; 17t",0.00098,0.00094)</f>
        <v>9.3999999999999997E-4</v>
      </c>
      <c r="L53" s="234">
        <f t="shared" ref="L53:L56" si="8">J53*M53*K53*(1+O53/100)</f>
        <v>0.48880000000000001</v>
      </c>
      <c r="M53" s="234">
        <f t="shared" ref="M53:M56" si="9">IF($M$38&lt;&gt;0,ROUNDUP(G53/I53,0),ROUNDUP(G53/H53,0))</f>
        <v>13</v>
      </c>
      <c r="N53" s="234" t="s">
        <v>65</v>
      </c>
      <c r="O53" s="234">
        <v>100</v>
      </c>
    </row>
    <row r="54" spans="1:15" x14ac:dyDescent="0.2">
      <c r="A54" s="147"/>
      <c r="B54" s="147" t="s">
        <v>67</v>
      </c>
      <c r="C54" s="147">
        <f>I21</f>
        <v>0</v>
      </c>
      <c r="D54" s="147" t="s">
        <v>11</v>
      </c>
      <c r="E54" s="147"/>
      <c r="F54" s="147" t="s">
        <v>25</v>
      </c>
      <c r="G54" s="234">
        <f>C54</f>
        <v>0</v>
      </c>
      <c r="H54" s="234">
        <v>25</v>
      </c>
      <c r="I54" s="234">
        <f>IF(N54="Road Rigid &gt; 17t",7.5,15)</f>
        <v>15</v>
      </c>
      <c r="J54" s="20">
        <v>300</v>
      </c>
      <c r="K54" s="29">
        <f>IF(N54="Road Rigid &gt; 17t",0.00098,0.00094)</f>
        <v>9.3999999999999997E-4</v>
      </c>
      <c r="L54" s="234">
        <f t="shared" si="8"/>
        <v>0</v>
      </c>
      <c r="M54" s="234">
        <f t="shared" si="9"/>
        <v>0</v>
      </c>
      <c r="N54" s="234" t="s">
        <v>65</v>
      </c>
      <c r="O54" s="234">
        <v>100</v>
      </c>
    </row>
    <row r="55" spans="1:15" x14ac:dyDescent="0.2">
      <c r="A55" s="147"/>
      <c r="B55" s="147" t="s">
        <v>202</v>
      </c>
      <c r="C55" s="156">
        <f>I22</f>
        <v>37.730000000000004</v>
      </c>
      <c r="D55" s="147" t="s">
        <v>11</v>
      </c>
      <c r="E55" s="149"/>
      <c r="F55" s="147"/>
      <c r="G55" s="13">
        <f t="shared" ref="G55" si="10">C55</f>
        <v>37.730000000000004</v>
      </c>
      <c r="H55" s="234">
        <v>25</v>
      </c>
      <c r="I55" s="234">
        <v>15</v>
      </c>
      <c r="J55" s="20">
        <v>300</v>
      </c>
      <c r="K55" s="29">
        <f>IF(N55="Road Rigid &gt; 17t",0.00098,0.00094)</f>
        <v>9.3999999999999997E-4</v>
      </c>
      <c r="L55" s="234">
        <f t="shared" si="8"/>
        <v>1.6919999999999999</v>
      </c>
      <c r="M55" s="234">
        <f t="shared" si="9"/>
        <v>3</v>
      </c>
      <c r="N55" s="234" t="s">
        <v>65</v>
      </c>
      <c r="O55" s="234">
        <v>100</v>
      </c>
    </row>
    <row r="56" spans="1:15" ht="15" thickBot="1" x14ac:dyDescent="0.25">
      <c r="A56" s="147"/>
      <c r="B56" s="147" t="s">
        <v>208</v>
      </c>
      <c r="C56" s="198">
        <f>C165</f>
        <v>10290</v>
      </c>
      <c r="D56" s="147" t="s">
        <v>70</v>
      </c>
      <c r="E56" s="149"/>
      <c r="F56" s="147"/>
      <c r="G56" s="238">
        <f>C56</f>
        <v>10290</v>
      </c>
      <c r="H56" s="234">
        <v>25</v>
      </c>
      <c r="I56" s="234">
        <v>800</v>
      </c>
      <c r="J56" s="20">
        <v>10</v>
      </c>
      <c r="K56" s="29">
        <f>IF(N56="Road Rigid &gt; 17t",0.00098,0.00094)</f>
        <v>9.7999999999999997E-4</v>
      </c>
      <c r="L56" s="234">
        <f t="shared" si="8"/>
        <v>0.25479999999999997</v>
      </c>
      <c r="M56" s="234">
        <f t="shared" si="9"/>
        <v>13</v>
      </c>
      <c r="N56" s="234" t="s">
        <v>61</v>
      </c>
      <c r="O56" s="234">
        <v>100</v>
      </c>
    </row>
    <row r="57" spans="1:15" ht="15" thickBot="1" x14ac:dyDescent="0.25">
      <c r="A57" s="39"/>
      <c r="B57" s="39"/>
      <c r="C57" s="39"/>
      <c r="D57" s="39"/>
      <c r="E57" s="39"/>
      <c r="K57" s="29"/>
      <c r="L57" s="36">
        <f>SUM(L53:L56)</f>
        <v>2.4356</v>
      </c>
      <c r="M57" s="36">
        <f>SUM(M53:M56)</f>
        <v>29</v>
      </c>
      <c r="N57" s="234"/>
    </row>
    <row r="58" spans="1:15" x14ac:dyDescent="0.2">
      <c r="A58" s="39"/>
      <c r="B58" s="39"/>
      <c r="C58" s="39"/>
      <c r="D58" s="39"/>
      <c r="E58" s="39"/>
      <c r="K58" s="29"/>
      <c r="N58" s="234"/>
    </row>
    <row r="59" spans="1:15" hidden="1" x14ac:dyDescent="0.2">
      <c r="A59" s="39"/>
      <c r="B59" s="39"/>
      <c r="C59" s="39"/>
      <c r="D59" s="39"/>
      <c r="E59" s="39"/>
      <c r="K59" s="29"/>
      <c r="N59" s="234"/>
    </row>
    <row r="60" spans="1:15" hidden="1" x14ac:dyDescent="0.2">
      <c r="A60" s="39" t="s">
        <v>93</v>
      </c>
      <c r="B60" s="39" t="s">
        <v>68</v>
      </c>
      <c r="C60" s="39">
        <f>I26</f>
        <v>0</v>
      </c>
      <c r="D60" s="39" t="s">
        <v>11</v>
      </c>
      <c r="E60" s="39"/>
      <c r="F60" s="39" t="s">
        <v>25</v>
      </c>
      <c r="G60" s="39">
        <f>C60</f>
        <v>0</v>
      </c>
      <c r="H60" s="39">
        <v>25</v>
      </c>
      <c r="I60" s="39">
        <f>IF(N60="Road Rigid &gt; 17t",7.5,15)</f>
        <v>15</v>
      </c>
      <c r="J60" s="157">
        <v>20</v>
      </c>
      <c r="K60" s="165">
        <f>IF(N60="Road Rigid &gt; 17t",0.00122,0.0012)</f>
        <v>1.1999999999999999E-3</v>
      </c>
      <c r="L60" s="39">
        <f>J60*M60*K60*(1+O60/100)</f>
        <v>0</v>
      </c>
      <c r="M60" s="39">
        <f>IF($M$38&lt;&gt;0,ROUNDUP(G60/I60,0),ROUNDUP(G60/H60,0))</f>
        <v>0</v>
      </c>
      <c r="N60" s="39" t="s">
        <v>65</v>
      </c>
      <c r="O60" s="39">
        <v>100</v>
      </c>
    </row>
    <row r="61" spans="1:15" hidden="1" x14ac:dyDescent="0.2">
      <c r="A61" s="39"/>
      <c r="B61" s="39" t="s">
        <v>208</v>
      </c>
      <c r="C61" s="50">
        <v>0</v>
      </c>
      <c r="D61" s="39" t="s">
        <v>70</v>
      </c>
      <c r="E61" s="40"/>
      <c r="F61" s="39"/>
      <c r="G61" s="49">
        <f>C61</f>
        <v>0</v>
      </c>
      <c r="H61" s="39">
        <v>25</v>
      </c>
      <c r="I61" s="39">
        <v>800</v>
      </c>
      <c r="J61" s="157">
        <v>0</v>
      </c>
      <c r="K61" s="165">
        <f t="shared" ref="K61" si="11">IF(N61="Road Rigid &gt; 17t",0.00122,0.0012)</f>
        <v>1.2199999999999999E-3</v>
      </c>
      <c r="L61" s="39">
        <f>J61*M61*K61*(1+O61/100)</f>
        <v>0</v>
      </c>
      <c r="M61" s="39">
        <f>IF($M$38&lt;&gt;0,ROUNDUP(G61/I61,0),ROUNDUP(G61/H61,0))</f>
        <v>0</v>
      </c>
      <c r="N61" s="39" t="s">
        <v>61</v>
      </c>
      <c r="O61" s="39">
        <v>100</v>
      </c>
    </row>
    <row r="62" spans="1:15" ht="15" hidden="1" thickBot="1" x14ac:dyDescent="0.25">
      <c r="A62" s="39"/>
      <c r="B62" s="39"/>
      <c r="C62" s="39"/>
      <c r="D62" s="39"/>
      <c r="E62" s="40"/>
      <c r="F62" s="39"/>
      <c r="G62" s="39"/>
      <c r="H62" s="39"/>
      <c r="I62" s="39"/>
      <c r="J62" s="157"/>
      <c r="K62" s="39"/>
      <c r="L62" s="160">
        <f>SUM(L60:L61)</f>
        <v>0</v>
      </c>
      <c r="M62" s="160">
        <f>SUM(M60:M61)</f>
        <v>0</v>
      </c>
      <c r="N62" s="39"/>
      <c r="O62" s="39"/>
    </row>
    <row r="63" spans="1:15" hidden="1" x14ac:dyDescent="0.2">
      <c r="A63" s="39"/>
      <c r="B63" s="39"/>
      <c r="C63" s="39"/>
      <c r="D63" s="39"/>
      <c r="E63" s="40"/>
      <c r="F63" s="39"/>
      <c r="G63" s="39"/>
      <c r="H63" s="39"/>
      <c r="I63" s="39"/>
      <c r="J63" s="157"/>
      <c r="K63" s="39"/>
      <c r="L63" s="39"/>
      <c r="M63" s="39"/>
      <c r="N63" s="39"/>
      <c r="O63" s="39"/>
    </row>
    <row r="64" spans="1:15" hidden="1" x14ac:dyDescent="0.2">
      <c r="A64" s="39"/>
      <c r="B64" s="39"/>
      <c r="C64" s="39"/>
      <c r="D64" s="39"/>
      <c r="E64" s="40"/>
      <c r="F64" s="39"/>
      <c r="G64" s="39"/>
      <c r="H64" s="39"/>
      <c r="I64" s="39"/>
      <c r="J64" s="157"/>
      <c r="K64" s="39"/>
      <c r="L64" s="39"/>
      <c r="M64" s="39"/>
      <c r="N64" s="39"/>
      <c r="O64" s="39"/>
    </row>
    <row r="65" spans="1:15" hidden="1" x14ac:dyDescent="0.2">
      <c r="A65" s="39" t="s">
        <v>94</v>
      </c>
      <c r="B65" s="39" t="s">
        <v>43</v>
      </c>
      <c r="C65" s="39">
        <f>I30</f>
        <v>0</v>
      </c>
      <c r="D65" s="39" t="s">
        <v>11</v>
      </c>
      <c r="E65" s="39"/>
      <c r="F65" s="39" t="s">
        <v>25</v>
      </c>
      <c r="G65" s="39">
        <f>C65</f>
        <v>0</v>
      </c>
      <c r="H65" s="39">
        <v>31</v>
      </c>
      <c r="I65" s="39">
        <f>IF(N65="Road Rigid &gt; 17t",7.5,15)</f>
        <v>15</v>
      </c>
      <c r="J65" s="157">
        <v>20</v>
      </c>
      <c r="K65" s="165">
        <f>IF(N65="Road Rigid &gt; 17t",0.00122,0.0012)</f>
        <v>1.1999999999999999E-3</v>
      </c>
      <c r="L65" s="39">
        <f>J65*M65*K65*(1+O65/100)</f>
        <v>0</v>
      </c>
      <c r="M65" s="39">
        <f>IF($M$38&lt;&gt;0,ROUNDUP(G65/I65,0),ROUNDUP(G65/H65,0))</f>
        <v>0</v>
      </c>
      <c r="N65" s="39" t="s">
        <v>65</v>
      </c>
      <c r="O65" s="39">
        <v>100</v>
      </c>
    </row>
    <row r="66" spans="1:15" hidden="1" x14ac:dyDescent="0.2">
      <c r="A66" s="39"/>
      <c r="B66" s="39" t="s">
        <v>44</v>
      </c>
      <c r="C66" s="39">
        <f>I31</f>
        <v>0</v>
      </c>
      <c r="D66" s="39" t="s">
        <v>11</v>
      </c>
      <c r="E66" s="39"/>
      <c r="F66" s="39" t="s">
        <v>25</v>
      </c>
      <c r="G66" s="39">
        <f>C66</f>
        <v>0</v>
      </c>
      <c r="H66" s="39">
        <v>32</v>
      </c>
      <c r="I66" s="39">
        <f>IF(N66="Road Rigid &gt; 17t",7.5,15)</f>
        <v>15</v>
      </c>
      <c r="J66" s="157">
        <v>300</v>
      </c>
      <c r="K66" s="165">
        <f>IF(N66="Road Rigid &gt; 17t",0.00122,0.0012)</f>
        <v>1.1999999999999999E-3</v>
      </c>
      <c r="L66" s="39">
        <f>J66*M66*K66*(1+O66/100)</f>
        <v>0</v>
      </c>
      <c r="M66" s="39">
        <f>IF($M$38&lt;&gt;0,ROUNDUP(G66/I66,0),ROUNDUP(G66/H66,0))</f>
        <v>0</v>
      </c>
      <c r="N66" s="39" t="s">
        <v>65</v>
      </c>
      <c r="O66" s="39">
        <v>100</v>
      </c>
    </row>
    <row r="67" spans="1:15" hidden="1" x14ac:dyDescent="0.2">
      <c r="A67" s="39"/>
      <c r="B67" s="39" t="s">
        <v>45</v>
      </c>
      <c r="C67" s="49">
        <f>I32</f>
        <v>0</v>
      </c>
      <c r="D67" s="39" t="s">
        <v>11</v>
      </c>
      <c r="E67" s="39"/>
      <c r="F67" s="39" t="s">
        <v>25</v>
      </c>
      <c r="G67" s="39">
        <f>C67</f>
        <v>0</v>
      </c>
      <c r="H67" s="39">
        <v>33</v>
      </c>
      <c r="I67" s="39">
        <f>IF(N67="Road Rigid &gt; 17t",7.5,15)</f>
        <v>15</v>
      </c>
      <c r="J67" s="157">
        <v>300</v>
      </c>
      <c r="K67" s="165">
        <f>IF(N67="Road Rigid &gt; 17t",0.00122,0.0012)</f>
        <v>1.1999999999999999E-3</v>
      </c>
      <c r="L67" s="39">
        <f>J67*M67*K67*(1+O67/100)</f>
        <v>0</v>
      </c>
      <c r="M67" s="39">
        <f>IF($M$38&lt;&gt;0,ROUNDUP(G67/I67,0),ROUNDUP(G67/H67,0))</f>
        <v>0</v>
      </c>
      <c r="N67" s="39" t="s">
        <v>65</v>
      </c>
      <c r="O67" s="39">
        <v>100</v>
      </c>
    </row>
    <row r="68" spans="1:15" hidden="1" x14ac:dyDescent="0.2">
      <c r="A68" s="39"/>
      <c r="B68" s="39" t="s">
        <v>208</v>
      </c>
      <c r="C68" s="50">
        <v>0</v>
      </c>
      <c r="D68" s="39" t="s">
        <v>70</v>
      </c>
      <c r="E68" s="40"/>
      <c r="F68" s="39"/>
      <c r="G68" s="49">
        <f>C68</f>
        <v>0</v>
      </c>
      <c r="H68" s="39">
        <v>25</v>
      </c>
      <c r="I68" s="39">
        <v>800</v>
      </c>
      <c r="J68" s="157">
        <v>50</v>
      </c>
      <c r="K68" s="165">
        <f t="shared" ref="K68" si="12">IF(N68="Road Rigid &gt; 17t",0.00122,0.0012)</f>
        <v>1.2199999999999999E-3</v>
      </c>
      <c r="L68" s="39">
        <f>J68*M68*K68*(1+O68/100)</f>
        <v>0</v>
      </c>
      <c r="M68" s="39">
        <f>IF($M$38&lt;&gt;0,ROUNDUP(G68/I68,0),ROUNDUP(G68/H68,0))</f>
        <v>0</v>
      </c>
      <c r="N68" s="39" t="s">
        <v>61</v>
      </c>
      <c r="O68" s="39">
        <v>100</v>
      </c>
    </row>
    <row r="69" spans="1:15" ht="15" hidden="1" thickBot="1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157"/>
      <c r="K69" s="165"/>
      <c r="L69" s="160">
        <f>SUM(L65:L68)</f>
        <v>0</v>
      </c>
      <c r="M69" s="160">
        <f>SUM(M65:M68)</f>
        <v>0</v>
      </c>
      <c r="N69" s="39"/>
      <c r="O69" s="39"/>
    </row>
    <row r="70" spans="1:15" hidden="1" x14ac:dyDescent="0.2">
      <c r="A70" s="39"/>
      <c r="B70" s="39"/>
      <c r="C70" s="39"/>
      <c r="D70" s="39"/>
      <c r="E70" s="39"/>
      <c r="K70" s="29"/>
      <c r="N70" s="234"/>
    </row>
    <row r="71" spans="1:15" hidden="1" x14ac:dyDescent="0.2">
      <c r="B71" s="39" t="s">
        <v>139</v>
      </c>
      <c r="C71" s="39">
        <v>0</v>
      </c>
      <c r="D71" s="39" t="s">
        <v>10</v>
      </c>
      <c r="E71" s="39" t="s">
        <v>138</v>
      </c>
      <c r="F71" s="39" t="s">
        <v>125</v>
      </c>
      <c r="G71" s="39">
        <v>0</v>
      </c>
      <c r="H71" s="39"/>
      <c r="I71" s="39">
        <v>15</v>
      </c>
      <c r="J71" s="157">
        <v>20</v>
      </c>
      <c r="K71" s="29">
        <f>IF(N71="Road Rigid &gt; 17t",0.00122,0.0012)</f>
        <v>1.2199999999999999E-3</v>
      </c>
      <c r="L71" s="234">
        <f>J71*M71*K71*(1+O71/100)</f>
        <v>0</v>
      </c>
      <c r="M71" s="234">
        <f>IF($M$38&lt;&gt;0,ROUNDUP(G71/I71,0),ROUNDUP(G71/H71,0))</f>
        <v>0</v>
      </c>
      <c r="N71" s="234" t="s">
        <v>61</v>
      </c>
      <c r="O71" s="234">
        <v>100</v>
      </c>
    </row>
    <row r="72" spans="1:15" hidden="1" x14ac:dyDescent="0.2">
      <c r="B72" s="39"/>
      <c r="C72" s="39"/>
      <c r="D72" s="39"/>
      <c r="E72" s="39"/>
      <c r="F72" s="39" t="s">
        <v>141</v>
      </c>
      <c r="G72" s="39">
        <v>0</v>
      </c>
      <c r="H72" s="39"/>
      <c r="I72" s="39">
        <v>15</v>
      </c>
      <c r="J72" s="157">
        <v>300</v>
      </c>
      <c r="K72" s="29">
        <f t="shared" ref="K72:K74" si="13">IF(N72="Road Rigid &gt; 17t",0.00122,0.0012)</f>
        <v>1.2199999999999999E-3</v>
      </c>
      <c r="L72" s="234">
        <f>J72*M72*K72*(1+O72/100)</f>
        <v>0</v>
      </c>
      <c r="M72" s="234">
        <f>IF($M$38&lt;&gt;0,ROUNDUP(G72/I72,0),ROUNDUP(G72/H72,0))</f>
        <v>0</v>
      </c>
      <c r="N72" s="234" t="s">
        <v>61</v>
      </c>
      <c r="O72" s="234">
        <v>100</v>
      </c>
    </row>
    <row r="73" spans="1:15" hidden="1" x14ac:dyDescent="0.2">
      <c r="B73" s="39"/>
      <c r="C73" s="39"/>
      <c r="D73" s="39"/>
      <c r="E73" s="39"/>
      <c r="F73" s="39" t="s">
        <v>127</v>
      </c>
      <c r="G73" s="39">
        <v>0</v>
      </c>
      <c r="H73" s="39"/>
      <c r="I73" s="39">
        <v>15</v>
      </c>
      <c r="J73" s="157">
        <v>20</v>
      </c>
      <c r="K73" s="29">
        <f t="shared" si="13"/>
        <v>1.1999999999999999E-3</v>
      </c>
      <c r="L73" s="234">
        <f>J73*M73*K73*(1+O73/100)</f>
        <v>0</v>
      </c>
      <c r="M73" s="234">
        <f>IF($M$38&lt;&gt;0,ROUNDUP(G73/I73,0),ROUNDUP(G73/H73,0))</f>
        <v>0</v>
      </c>
      <c r="N73" s="234" t="s">
        <v>65</v>
      </c>
      <c r="O73" s="234">
        <v>100</v>
      </c>
    </row>
    <row r="74" spans="1:15" hidden="1" x14ac:dyDescent="0.2">
      <c r="B74" s="39"/>
      <c r="C74" s="39"/>
      <c r="D74" s="39"/>
      <c r="E74" s="39"/>
      <c r="F74" s="39" t="s">
        <v>142</v>
      </c>
      <c r="G74" s="39">
        <v>0</v>
      </c>
      <c r="H74" s="39"/>
      <c r="I74" s="39">
        <v>1</v>
      </c>
      <c r="J74" s="157">
        <v>0</v>
      </c>
      <c r="K74" s="29">
        <f t="shared" si="13"/>
        <v>1.1999999999999999E-3</v>
      </c>
      <c r="L74" s="234">
        <f>J74*M74*K74*(1+O74/100)</f>
        <v>0</v>
      </c>
      <c r="M74" s="234">
        <f>IF($M$38&lt;&gt;0,ROUNDUP(G74/I74,0),ROUNDUP(G74/H74,0))</f>
        <v>0</v>
      </c>
      <c r="N74" s="234" t="s">
        <v>65</v>
      </c>
      <c r="O74" s="234">
        <v>100</v>
      </c>
    </row>
    <row r="75" spans="1:15" ht="15" hidden="1" thickBot="1" x14ac:dyDescent="0.25">
      <c r="B75" s="39"/>
      <c r="C75" s="39"/>
      <c r="D75" s="39"/>
      <c r="E75" s="39"/>
      <c r="K75" s="29"/>
      <c r="L75" s="36">
        <f>SUM(L71:L74)</f>
        <v>0</v>
      </c>
      <c r="M75" s="36">
        <f>SUM(M71:M73)</f>
        <v>0</v>
      </c>
      <c r="N75" s="234"/>
    </row>
    <row r="76" spans="1:15" hidden="1" x14ac:dyDescent="0.2">
      <c r="B76" s="39"/>
      <c r="C76" s="39"/>
      <c r="D76" s="39"/>
      <c r="E76" s="39"/>
      <c r="K76" s="29"/>
      <c r="N76" s="234"/>
    </row>
    <row r="77" spans="1:15" hidden="1" x14ac:dyDescent="0.2">
      <c r="A77" s="39"/>
      <c r="B77" s="147" t="s">
        <v>140</v>
      </c>
      <c r="C77" s="147">
        <f>C5</f>
        <v>3444</v>
      </c>
      <c r="D77" s="147" t="s">
        <v>10</v>
      </c>
      <c r="E77" s="147" t="s">
        <v>138</v>
      </c>
      <c r="F77" s="234" t="s">
        <v>125</v>
      </c>
      <c r="G77" s="13">
        <f>(W18*$C$77)/1000</f>
        <v>1102.08</v>
      </c>
      <c r="I77" s="234">
        <v>15</v>
      </c>
      <c r="J77" s="20">
        <v>20</v>
      </c>
      <c r="K77" s="29">
        <f>IF(N77="Road Rigid &gt; 17t",0.00122,0.0012)</f>
        <v>1.2199999999999999E-3</v>
      </c>
      <c r="L77" s="234">
        <f>J77*M77*K77*(1+O77/100)</f>
        <v>3.6111999999999997</v>
      </c>
      <c r="M77" s="234">
        <f>IF($M$38&lt;&gt;0,ROUNDUP(G77/I77,0),ROUNDUP(G77/H77,0))</f>
        <v>74</v>
      </c>
      <c r="N77" s="234" t="s">
        <v>61</v>
      </c>
      <c r="O77" s="234">
        <v>100</v>
      </c>
    </row>
    <row r="78" spans="1:15" hidden="1" x14ac:dyDescent="0.2">
      <c r="A78" s="39"/>
      <c r="B78" s="147"/>
      <c r="C78" s="147"/>
      <c r="D78" s="147"/>
      <c r="E78" s="147"/>
      <c r="F78" s="234" t="s">
        <v>141</v>
      </c>
      <c r="G78" s="13">
        <f>(W19*$C$77)/1000</f>
        <v>275.52</v>
      </c>
      <c r="I78" s="234">
        <v>15</v>
      </c>
      <c r="J78" s="20">
        <v>300</v>
      </c>
      <c r="K78" s="29">
        <f t="shared" ref="K78:K80" si="14">IF(N78="Road Rigid &gt; 17t",0.00122,0.0012)</f>
        <v>1.2199999999999999E-3</v>
      </c>
      <c r="L78" s="234">
        <f>J78*M78*K78*(1+O78/100)</f>
        <v>13.907999999999999</v>
      </c>
      <c r="M78" s="234">
        <f>IF($M$38&lt;&gt;0,ROUNDUP(G78/I78,0),ROUNDUP(G78/H78,0))</f>
        <v>19</v>
      </c>
      <c r="N78" s="234" t="s">
        <v>61</v>
      </c>
      <c r="O78" s="234">
        <v>100</v>
      </c>
    </row>
    <row r="79" spans="1:15" hidden="1" x14ac:dyDescent="0.2">
      <c r="A79" s="39"/>
      <c r="B79" s="147"/>
      <c r="C79" s="147"/>
      <c r="D79" s="147"/>
      <c r="E79" s="147"/>
      <c r="F79" s="234" t="s">
        <v>127</v>
      </c>
      <c r="G79" s="13">
        <f>(W20*$C$77)/1000</f>
        <v>5854.8</v>
      </c>
      <c r="I79" s="234">
        <v>15</v>
      </c>
      <c r="J79" s="20">
        <v>20</v>
      </c>
      <c r="K79" s="29">
        <f t="shared" si="14"/>
        <v>1.1999999999999999E-3</v>
      </c>
      <c r="L79" s="234">
        <f>J79*M79*K79*(1+O79/100)</f>
        <v>18.767999999999997</v>
      </c>
      <c r="M79" s="234">
        <f>IF($M$38&lt;&gt;0,ROUNDUP(G79/I79,0),ROUNDUP(G79/H79,0))</f>
        <v>391</v>
      </c>
      <c r="N79" s="234" t="s">
        <v>65</v>
      </c>
      <c r="O79" s="234">
        <v>100</v>
      </c>
    </row>
    <row r="80" spans="1:15" hidden="1" x14ac:dyDescent="0.2">
      <c r="A80" s="39"/>
      <c r="B80" s="147"/>
      <c r="C80" s="147"/>
      <c r="D80" s="147"/>
      <c r="E80" s="147"/>
      <c r="F80" s="234" t="s">
        <v>142</v>
      </c>
      <c r="G80" s="13">
        <f>(W21*$C$77)/1000</f>
        <v>688.8</v>
      </c>
      <c r="I80" s="234">
        <v>1</v>
      </c>
      <c r="J80" s="20">
        <v>0</v>
      </c>
      <c r="K80" s="29">
        <f t="shared" si="14"/>
        <v>1.1999999999999999E-3</v>
      </c>
      <c r="L80" s="234">
        <f>J80*M80*K80*(1+O80/100)</f>
        <v>0</v>
      </c>
      <c r="M80" s="234">
        <f>IF($M$38&lt;&gt;0,ROUNDUP(G80/I80,0),ROUNDUP(G80/H80,0))</f>
        <v>689</v>
      </c>
      <c r="N80" s="234" t="s">
        <v>65</v>
      </c>
      <c r="O80" s="234">
        <v>100</v>
      </c>
    </row>
    <row r="81" spans="1:30" ht="15" hidden="1" thickBot="1" x14ac:dyDescent="0.25">
      <c r="A81" s="39"/>
      <c r="B81" s="39"/>
      <c r="C81" s="39"/>
      <c r="D81" s="39"/>
      <c r="E81" s="39"/>
      <c r="K81" s="29"/>
      <c r="L81" s="36">
        <f>SUM(L77:L80)</f>
        <v>36.287199999999999</v>
      </c>
      <c r="M81" s="36">
        <f>SUM(M77:M79)</f>
        <v>484</v>
      </c>
      <c r="N81" s="234"/>
    </row>
    <row r="82" spans="1:30" x14ac:dyDescent="0.2">
      <c r="A82" s="39"/>
      <c r="B82" s="39"/>
      <c r="C82" s="39"/>
      <c r="D82" s="39"/>
      <c r="E82" s="39"/>
      <c r="K82" s="29"/>
      <c r="L82" s="235"/>
      <c r="N82" s="234"/>
    </row>
    <row r="83" spans="1:30" hidden="1" x14ac:dyDescent="0.2">
      <c r="A83" s="39"/>
      <c r="B83" s="39" t="s">
        <v>16</v>
      </c>
      <c r="C83" s="39">
        <v>9500</v>
      </c>
      <c r="D83" s="39" t="s">
        <v>10</v>
      </c>
      <c r="E83" s="39" t="s">
        <v>138</v>
      </c>
      <c r="F83" s="39" t="s">
        <v>125</v>
      </c>
      <c r="G83" s="39">
        <v>0</v>
      </c>
      <c r="H83" s="39"/>
      <c r="I83" s="39">
        <v>15</v>
      </c>
      <c r="J83" s="157">
        <v>20</v>
      </c>
      <c r="K83" s="29">
        <f>IF(N83="Road Rigid &gt; 17t",0.00122,0.0012)</f>
        <v>1.2199999999999999E-3</v>
      </c>
      <c r="L83" s="234">
        <f>J83*M83*K83*(1+O83/100)</f>
        <v>0</v>
      </c>
      <c r="M83" s="234">
        <f>IF($M$38&lt;&gt;0,ROUNDUP(G83/I83,0),ROUNDUP(G83/H83,0))</f>
        <v>0</v>
      </c>
      <c r="N83" s="234" t="s">
        <v>61</v>
      </c>
      <c r="O83" s="234">
        <v>100</v>
      </c>
    </row>
    <row r="84" spans="1:30" hidden="1" x14ac:dyDescent="0.2">
      <c r="A84" s="39"/>
      <c r="B84" s="39"/>
      <c r="C84" s="39"/>
      <c r="D84" s="39"/>
      <c r="E84" s="39"/>
      <c r="F84" s="39" t="s">
        <v>141</v>
      </c>
      <c r="G84" s="39">
        <v>0</v>
      </c>
      <c r="H84" s="39"/>
      <c r="I84" s="39">
        <v>15</v>
      </c>
      <c r="J84" s="157">
        <v>300</v>
      </c>
      <c r="K84" s="29">
        <f t="shared" ref="K84:K86" si="15">IF(N84="Road Rigid &gt; 17t",0.00122,0.0012)</f>
        <v>1.2199999999999999E-3</v>
      </c>
      <c r="L84" s="234">
        <f>J84*M84*K84*(1+O84/100)</f>
        <v>0</v>
      </c>
      <c r="M84" s="234">
        <f>IF($M$38&lt;&gt;0,ROUNDUP(G84/I84,0),ROUNDUP(G84/H84,0))</f>
        <v>0</v>
      </c>
      <c r="N84" s="234" t="s">
        <v>61</v>
      </c>
      <c r="O84" s="234">
        <v>100</v>
      </c>
    </row>
    <row r="85" spans="1:30" hidden="1" x14ac:dyDescent="0.2">
      <c r="A85" s="39"/>
      <c r="B85" s="39"/>
      <c r="C85" s="39"/>
      <c r="D85" s="39"/>
      <c r="E85" s="39"/>
      <c r="F85" s="39" t="s">
        <v>127</v>
      </c>
      <c r="G85" s="39">
        <v>0</v>
      </c>
      <c r="H85" s="39"/>
      <c r="I85" s="39">
        <v>15</v>
      </c>
      <c r="J85" s="157">
        <v>20</v>
      </c>
      <c r="K85" s="29">
        <f t="shared" si="15"/>
        <v>1.1999999999999999E-3</v>
      </c>
      <c r="L85" s="234">
        <f>J85*M85*K85*(1+O85/100)</f>
        <v>0</v>
      </c>
      <c r="M85" s="234">
        <f>IF($M$38&lt;&gt;0,ROUNDUP(G85/I85,0),ROUNDUP(G85/H85,0))</f>
        <v>0</v>
      </c>
      <c r="N85" s="234" t="s">
        <v>65</v>
      </c>
      <c r="O85" s="234">
        <v>100</v>
      </c>
    </row>
    <row r="86" spans="1:30" hidden="1" x14ac:dyDescent="0.2">
      <c r="A86" s="39"/>
      <c r="B86" s="39"/>
      <c r="C86" s="39"/>
      <c r="D86" s="39"/>
      <c r="E86" s="39"/>
      <c r="F86" s="39" t="s">
        <v>142</v>
      </c>
      <c r="G86" s="39">
        <v>0</v>
      </c>
      <c r="H86" s="39"/>
      <c r="I86" s="39">
        <v>1</v>
      </c>
      <c r="J86" s="157">
        <v>0</v>
      </c>
      <c r="K86" s="29">
        <f t="shared" si="15"/>
        <v>1.1999999999999999E-3</v>
      </c>
      <c r="L86" s="234">
        <f>J86*M86*K86*(1+O86/100)</f>
        <v>0</v>
      </c>
      <c r="M86" s="234">
        <f>IF($M$38&lt;&gt;0,ROUNDUP(G86/I86,0),ROUNDUP(G86/H86,0))</f>
        <v>0</v>
      </c>
      <c r="N86" s="234" t="s">
        <v>65</v>
      </c>
      <c r="O86" s="234">
        <v>100</v>
      </c>
      <c r="V86" s="234">
        <f>0.29781*4952+3477</f>
        <v>4951.7551199999998</v>
      </c>
      <c r="W86" s="238">
        <f>SUM(W90:W96)</f>
        <v>991.80302715000028</v>
      </c>
      <c r="X86" s="238">
        <f>SUM(X90:X96)</f>
        <v>129.67797553333332</v>
      </c>
      <c r="Y86" s="238">
        <f>W86-X86</f>
        <v>862.12505161666695</v>
      </c>
      <c r="Z86" s="234">
        <f>1-(X86/W86)</f>
        <v>0.86925027250020603</v>
      </c>
    </row>
    <row r="87" spans="1:30" ht="15" hidden="1" thickBot="1" x14ac:dyDescent="0.25">
      <c r="A87" s="39"/>
      <c r="B87" s="39"/>
      <c r="C87" s="39"/>
      <c r="D87" s="39"/>
      <c r="E87" s="40"/>
      <c r="K87" s="29"/>
      <c r="L87" s="36">
        <f>SUM(L83:L86)</f>
        <v>0</v>
      </c>
      <c r="M87" s="36">
        <f>SUM(M83:M85)</f>
        <v>0</v>
      </c>
      <c r="N87" s="234"/>
    </row>
    <row r="88" spans="1:30" ht="18.75" customHeight="1" thickBot="1" x14ac:dyDescent="0.25">
      <c r="A88" s="39"/>
      <c r="B88" s="41"/>
      <c r="C88" s="41"/>
      <c r="D88" s="41"/>
      <c r="E88" s="41"/>
      <c r="F88" s="349" t="s">
        <v>110</v>
      </c>
      <c r="G88" s="349"/>
      <c r="H88" s="349"/>
      <c r="I88" s="349"/>
      <c r="J88" s="350"/>
      <c r="K88" s="240" t="s">
        <v>40</v>
      </c>
      <c r="L88" s="240"/>
      <c r="M88" s="240"/>
      <c r="N88" s="240"/>
      <c r="V88" s="344"/>
      <c r="W88" s="345"/>
      <c r="X88" s="236"/>
    </row>
    <row r="89" spans="1:30" ht="34.5" customHeight="1" thickBot="1" x14ac:dyDescent="0.25">
      <c r="A89" s="166" t="s">
        <v>33</v>
      </c>
      <c r="B89" s="167"/>
      <c r="C89" s="346" t="s">
        <v>54</v>
      </c>
      <c r="D89" s="347"/>
      <c r="E89" s="167" t="s">
        <v>19</v>
      </c>
      <c r="F89" s="22" t="s">
        <v>56</v>
      </c>
      <c r="G89" s="24" t="s">
        <v>57</v>
      </c>
      <c r="H89" s="24" t="s">
        <v>58</v>
      </c>
      <c r="I89" s="2" t="s">
        <v>74</v>
      </c>
      <c r="J89" s="28" t="s">
        <v>73</v>
      </c>
      <c r="K89" s="243" t="s">
        <v>2</v>
      </c>
      <c r="L89" s="2" t="s">
        <v>3</v>
      </c>
      <c r="M89" s="27" t="s">
        <v>72</v>
      </c>
      <c r="N89" s="10" t="s">
        <v>5</v>
      </c>
      <c r="O89" s="2" t="s">
        <v>64</v>
      </c>
      <c r="Q89" s="234" t="s">
        <v>236</v>
      </c>
      <c r="R89" s="234" t="s">
        <v>237</v>
      </c>
      <c r="S89" s="234" t="s">
        <v>238</v>
      </c>
      <c r="T89" s="234" t="s">
        <v>178</v>
      </c>
      <c r="U89" s="236"/>
      <c r="V89" s="104" t="s">
        <v>218</v>
      </c>
      <c r="W89" s="108" t="s">
        <v>219</v>
      </c>
      <c r="X89" s="116" t="s">
        <v>235</v>
      </c>
      <c r="Y89" s="112" t="s">
        <v>222</v>
      </c>
      <c r="AA89" s="12" t="s">
        <v>182</v>
      </c>
      <c r="AB89" s="12" t="s">
        <v>181</v>
      </c>
    </row>
    <row r="90" spans="1:30" ht="16.5" thickBot="1" x14ac:dyDescent="0.25">
      <c r="A90" s="168"/>
      <c r="B90" s="169"/>
      <c r="C90" s="170"/>
      <c r="D90" s="171"/>
      <c r="E90" s="172"/>
      <c r="F90" s="6" t="s">
        <v>23</v>
      </c>
      <c r="G90" s="23" t="s">
        <v>7</v>
      </c>
      <c r="H90" s="6" t="s">
        <v>59</v>
      </c>
      <c r="I90" s="6" t="s">
        <v>59</v>
      </c>
      <c r="J90" s="19" t="s">
        <v>60</v>
      </c>
      <c r="K90" s="18" t="s">
        <v>62</v>
      </c>
      <c r="L90" s="6" t="s">
        <v>7</v>
      </c>
      <c r="M90" s="21" t="s">
        <v>77</v>
      </c>
      <c r="N90" s="8"/>
      <c r="O90" s="182" t="s">
        <v>63</v>
      </c>
      <c r="Q90" s="234" t="s">
        <v>151</v>
      </c>
      <c r="R90" s="238">
        <f>M44+M50+M75+M81+M87</f>
        <v>967</v>
      </c>
      <c r="S90" s="238">
        <f>M94</f>
        <v>597</v>
      </c>
      <c r="U90" s="236"/>
      <c r="V90" s="105" t="s">
        <v>211</v>
      </c>
      <c r="W90" s="109">
        <f>B240</f>
        <v>801.74895200000026</v>
      </c>
      <c r="X90" s="109">
        <f>B241</f>
        <v>72.688354200000006</v>
      </c>
      <c r="Y90" s="113">
        <f>1-(X90/W90)</f>
        <v>0.90933776212781381</v>
      </c>
      <c r="Z90" s="238">
        <f>B242</f>
        <v>0</v>
      </c>
      <c r="AA90" s="66">
        <f t="shared" ref="AA90:AA96" si="16">1-(Y90/W90)</f>
        <v>0.99886580735795238</v>
      </c>
      <c r="AB90" s="66">
        <f t="shared" ref="AB90:AB96" si="17">1-(Y90/X90)</f>
        <v>0.98748991125007735</v>
      </c>
    </row>
    <row r="91" spans="1:30" hidden="1" x14ac:dyDescent="0.2">
      <c r="A91" s="147" t="s">
        <v>90</v>
      </c>
      <c r="B91" s="39" t="s">
        <v>53</v>
      </c>
      <c r="C91" s="39">
        <v>0</v>
      </c>
      <c r="D91" s="39" t="s">
        <v>11</v>
      </c>
      <c r="E91" s="40"/>
      <c r="F91" s="234" t="s">
        <v>25</v>
      </c>
      <c r="G91" s="238">
        <f>C91</f>
        <v>0</v>
      </c>
      <c r="H91" s="234">
        <v>24</v>
      </c>
      <c r="I91" s="234">
        <f>IF(N91="Road Rigid &gt; 17t",7.5,15)</f>
        <v>15</v>
      </c>
      <c r="J91" s="20">
        <v>20</v>
      </c>
      <c r="K91" s="29">
        <f>IF(N91="Road Rigid &gt; 17t",0.00122,0.0012)</f>
        <v>1.1999999999999999E-3</v>
      </c>
      <c r="L91" s="234">
        <f>J91*M91*K91*(1+O91/100)</f>
        <v>0</v>
      </c>
      <c r="M91" s="234">
        <f>IF($M$38&lt;&gt;0,ROUNDUP(G91/I91,0),ROUNDUP(G91/H91,0))</f>
        <v>0</v>
      </c>
      <c r="N91" s="234" t="s">
        <v>65</v>
      </c>
      <c r="O91" s="234">
        <v>100</v>
      </c>
      <c r="Q91" s="234" t="s">
        <v>152</v>
      </c>
      <c r="R91" s="238">
        <f>M57+M62</f>
        <v>29</v>
      </c>
      <c r="S91" s="238">
        <f>M99+M103</f>
        <v>89</v>
      </c>
      <c r="U91" s="236"/>
      <c r="V91" s="106" t="s">
        <v>214</v>
      </c>
      <c r="W91" s="110">
        <f>C240</f>
        <v>57.959775000000008</v>
      </c>
      <c r="X91" s="110">
        <f>C241</f>
        <v>38.426975999999996</v>
      </c>
      <c r="Y91" s="114">
        <f t="shared" ref="Y91:Y96" si="18">1-(X91/W91)</f>
        <v>0.33700612191817525</v>
      </c>
      <c r="Z91" s="238">
        <f>C242</f>
        <v>0</v>
      </c>
      <c r="AA91" s="66">
        <f>1-(Y92/W92)</f>
        <v>0.98642056561769254</v>
      </c>
      <c r="AB91" s="67">
        <f>1-(Y92/X92)</f>
        <v>0.60348453032170846</v>
      </c>
      <c r="AD91" s="234" t="s">
        <v>183</v>
      </c>
    </row>
    <row r="92" spans="1:30" hidden="1" x14ac:dyDescent="0.2">
      <c r="A92" s="39"/>
      <c r="B92" s="39" t="s">
        <v>55</v>
      </c>
      <c r="C92" s="39">
        <v>0</v>
      </c>
      <c r="D92" s="39" t="s">
        <v>11</v>
      </c>
      <c r="E92" s="40"/>
      <c r="F92" s="234" t="s">
        <v>25</v>
      </c>
      <c r="G92" s="238">
        <f>C92</f>
        <v>0</v>
      </c>
      <c r="H92" s="234">
        <v>24</v>
      </c>
      <c r="I92" s="234">
        <f>IF(N92="Road Rigid &gt; 17t",7.5,15)</f>
        <v>15</v>
      </c>
      <c r="J92" s="20">
        <v>20</v>
      </c>
      <c r="K92" s="29">
        <f>IF(N92="Road Rigid &gt; 17t",0.00122,0.0012)</f>
        <v>1.1999999999999999E-3</v>
      </c>
      <c r="L92" s="234">
        <f>J92*M92*K92*(1+O92/100)</f>
        <v>0</v>
      </c>
      <c r="M92" s="234">
        <f>IF($M$38&lt;&gt;0,ROUNDUP(G92/I92,0),ROUNDUP(G92/H92,0))</f>
        <v>0</v>
      </c>
      <c r="N92" s="234" t="s">
        <v>65</v>
      </c>
      <c r="O92" s="234">
        <v>100</v>
      </c>
      <c r="Q92" s="234" t="s">
        <v>153</v>
      </c>
      <c r="R92" s="238">
        <f>M57+M69</f>
        <v>29</v>
      </c>
      <c r="S92" s="238">
        <f>M99+M107</f>
        <v>89</v>
      </c>
      <c r="U92" s="236"/>
      <c r="V92" s="106" t="s">
        <v>212</v>
      </c>
      <c r="W92" s="110">
        <f>E240</f>
        <v>71.118799999999993</v>
      </c>
      <c r="X92" s="110">
        <f>E241</f>
        <v>2.4356</v>
      </c>
      <c r="Y92" s="114">
        <f t="shared" si="18"/>
        <v>0.96575307794844678</v>
      </c>
      <c r="Z92" s="238">
        <f>E242</f>
        <v>0</v>
      </c>
      <c r="AA92" s="66">
        <f>1-(Y91/W91)</f>
        <v>0.99418551707769443</v>
      </c>
      <c r="AB92" s="66">
        <f>1-(Y91/X91)</f>
        <v>0.99122995986157814</v>
      </c>
    </row>
    <row r="93" spans="1:30" hidden="1" x14ac:dyDescent="0.2">
      <c r="A93" s="39"/>
      <c r="B93" s="147" t="s">
        <v>242</v>
      </c>
      <c r="C93" s="156">
        <f>C5*2.6</f>
        <v>8954.4</v>
      </c>
      <c r="D93" s="147" t="s">
        <v>11</v>
      </c>
      <c r="E93" s="39"/>
      <c r="G93" s="238">
        <f>C93</f>
        <v>8954.4</v>
      </c>
      <c r="H93" s="234">
        <v>24</v>
      </c>
      <c r="I93" s="234">
        <f>IF(N93="Road Rigid &gt; 17t",7.5,15)</f>
        <v>15</v>
      </c>
      <c r="J93" s="20">
        <v>20</v>
      </c>
      <c r="K93" s="29">
        <f>IF(N93="Road Rigid &gt; 17t",0.00122,0.0012)</f>
        <v>1.1999999999999999E-3</v>
      </c>
      <c r="L93" s="13">
        <f>J93*M93*K93*(1+O93/100)</f>
        <v>28.655999999999999</v>
      </c>
      <c r="M93" s="234">
        <f>IF($M$38&lt;&gt;0,ROUNDUP(G93/I93,0),ROUNDUP(G93/H93,0))</f>
        <v>597</v>
      </c>
      <c r="N93" s="234" t="s">
        <v>65</v>
      </c>
      <c r="O93" s="234">
        <v>100</v>
      </c>
      <c r="U93" s="236"/>
      <c r="V93" s="106" t="s">
        <v>220</v>
      </c>
      <c r="W93" s="110">
        <f>F240</f>
        <v>7.7</v>
      </c>
      <c r="X93" s="110">
        <f>F241</f>
        <v>4.92</v>
      </c>
      <c r="Y93" s="114">
        <f t="shared" si="18"/>
        <v>0.36103896103896105</v>
      </c>
      <c r="Z93" s="238">
        <f>F242</f>
        <v>0</v>
      </c>
      <c r="AA93" s="66">
        <f>1-(Y95/W95)</f>
        <v>0.96884904986624332</v>
      </c>
      <c r="AB93" s="67">
        <f>1-(Y95/X95)</f>
        <v>0.8952665663719952</v>
      </c>
      <c r="AD93" s="234" t="s">
        <v>184</v>
      </c>
    </row>
    <row r="94" spans="1:30" ht="15" hidden="1" thickBot="1" x14ac:dyDescent="0.25">
      <c r="A94" s="39"/>
      <c r="B94" s="39"/>
      <c r="C94" s="50"/>
      <c r="D94" s="39"/>
      <c r="E94" s="40"/>
      <c r="L94" s="36">
        <f>SUM(L91:L93)</f>
        <v>28.655999999999999</v>
      </c>
      <c r="M94" s="36">
        <f>SUM(M91:M93)</f>
        <v>597</v>
      </c>
      <c r="N94" s="234"/>
      <c r="U94" s="236"/>
      <c r="V94" s="106" t="s">
        <v>217</v>
      </c>
      <c r="W94" s="110">
        <f>G240</f>
        <v>2.0657999999999999</v>
      </c>
      <c r="X94" s="110">
        <f>G241</f>
        <v>1.1524799999999999</v>
      </c>
      <c r="Y94" s="114">
        <f t="shared" si="18"/>
        <v>0.44211443508568105</v>
      </c>
      <c r="Z94" s="238">
        <f>G242</f>
        <v>0</v>
      </c>
      <c r="AA94" s="66">
        <f>1-(Y93/W93)</f>
        <v>0.95311182324169341</v>
      </c>
      <c r="AB94" s="66">
        <f>1-(Y93/X93)</f>
        <v>0.9266180973498046</v>
      </c>
    </row>
    <row r="95" spans="1:30" x14ac:dyDescent="0.2">
      <c r="A95" s="39"/>
      <c r="B95" s="39"/>
      <c r="C95" s="50"/>
      <c r="D95" s="39"/>
      <c r="E95" s="40"/>
      <c r="N95" s="234"/>
      <c r="Q95" s="234" t="s">
        <v>92</v>
      </c>
      <c r="R95" s="238">
        <f>M57</f>
        <v>29</v>
      </c>
      <c r="S95" s="238">
        <f>M99</f>
        <v>89</v>
      </c>
      <c r="U95" s="236"/>
      <c r="V95" s="106" t="s">
        <v>213</v>
      </c>
      <c r="W95" s="110">
        <f>H240</f>
        <v>22.553700150000001</v>
      </c>
      <c r="X95" s="110">
        <f>H241</f>
        <v>6.7081653333333326</v>
      </c>
      <c r="Y95" s="114">
        <f t="shared" si="18"/>
        <v>0.70256918870434959</v>
      </c>
      <c r="Z95" s="238">
        <f>H242</f>
        <v>0</v>
      </c>
      <c r="AA95" s="66">
        <f>1-(Y94/W94)</f>
        <v>0.78598391176024729</v>
      </c>
      <c r="AB95" s="67">
        <f>1-(Y94/X94)</f>
        <v>0.61637995012001845</v>
      </c>
      <c r="AD95" s="234" t="s">
        <v>184</v>
      </c>
    </row>
    <row r="96" spans="1:30" ht="15" thickBot="1" x14ac:dyDescent="0.25">
      <c r="A96" s="147" t="s">
        <v>92</v>
      </c>
      <c r="B96" s="147" t="s">
        <v>243</v>
      </c>
      <c r="C96" s="156">
        <f>'MIP550-Dichtwand'!B3*(0.55)*('MIP550-Dichtwand'!B19/100)*2</f>
        <v>1320.5500000000002</v>
      </c>
      <c r="D96" s="147" t="s">
        <v>11</v>
      </c>
      <c r="E96" s="39"/>
      <c r="F96" s="234" t="s">
        <v>25</v>
      </c>
      <c r="G96" s="238">
        <f t="shared" ref="G96:G97" si="19">C96</f>
        <v>1320.5500000000002</v>
      </c>
      <c r="H96" s="234">
        <v>24</v>
      </c>
      <c r="I96" s="234">
        <f>IF(N96="Road Rigid &gt; 17t",7.5,15)</f>
        <v>15</v>
      </c>
      <c r="J96" s="20">
        <v>20</v>
      </c>
      <c r="K96" s="29">
        <f>IF(N96="Road Rigid &gt; 17t",0.00098,0.00094)</f>
        <v>9.3999999999999997E-4</v>
      </c>
      <c r="L96" s="13">
        <f>J96*M96*K96*(1+O96/100)</f>
        <v>3.3464</v>
      </c>
      <c r="M96" s="234">
        <f>IF($M$38&lt;&gt;0,ROUNDUP(G96/I96,0),ROUNDUP(G96/H96,0))</f>
        <v>89</v>
      </c>
      <c r="N96" s="234" t="s">
        <v>65</v>
      </c>
      <c r="O96" s="234">
        <v>100</v>
      </c>
      <c r="Q96" s="234" t="s">
        <v>93</v>
      </c>
      <c r="R96" s="238">
        <f>M62</f>
        <v>0</v>
      </c>
      <c r="S96" s="238">
        <f>M103</f>
        <v>0</v>
      </c>
      <c r="U96" s="236"/>
      <c r="V96" s="107" t="s">
        <v>210</v>
      </c>
      <c r="W96" s="111">
        <f>I240</f>
        <v>28.655999999999999</v>
      </c>
      <c r="X96" s="111">
        <f>I241</f>
        <v>3.3464</v>
      </c>
      <c r="Y96" s="115">
        <f t="shared" si="18"/>
        <v>0.88322166387493017</v>
      </c>
      <c r="Z96" s="238">
        <f>I242</f>
        <v>0</v>
      </c>
      <c r="AA96" s="66">
        <f t="shared" si="16"/>
        <v>0.96917847348286812</v>
      </c>
      <c r="AB96" s="66">
        <f t="shared" si="17"/>
        <v>0.73606811383130233</v>
      </c>
    </row>
    <row r="97" spans="1:28" ht="16.5" x14ac:dyDescent="0.2">
      <c r="A97" s="39"/>
      <c r="B97" s="39" t="s">
        <v>55</v>
      </c>
      <c r="C97" s="39">
        <v>0</v>
      </c>
      <c r="D97" s="39" t="s">
        <v>11</v>
      </c>
      <c r="E97" s="39"/>
      <c r="F97" s="234" t="s">
        <v>25</v>
      </c>
      <c r="G97" s="234">
        <f t="shared" si="19"/>
        <v>0</v>
      </c>
      <c r="H97" s="234">
        <v>24</v>
      </c>
      <c r="I97" s="234">
        <f>IF(N97="Road Rigid &gt; 17t",7.5,15)</f>
        <v>15</v>
      </c>
      <c r="J97" s="20">
        <v>20</v>
      </c>
      <c r="K97" s="29">
        <f>IF(N97="Road Rigid &gt; 17t",0.00098,0.00094)</f>
        <v>9.3999999999999997E-4</v>
      </c>
      <c r="L97" s="234">
        <f>J97*M97*K97*(1+O97/100)</f>
        <v>0</v>
      </c>
      <c r="M97" s="234">
        <f>IF($M$38&lt;&gt;0,ROUNDUP(G97/I97,0),ROUNDUP(G97/H97,0))</f>
        <v>0</v>
      </c>
      <c r="N97" s="234" t="s">
        <v>65</v>
      </c>
      <c r="O97" s="234">
        <v>100</v>
      </c>
      <c r="Q97" s="234" t="s">
        <v>94</v>
      </c>
      <c r="R97" s="238">
        <f>M69</f>
        <v>0</v>
      </c>
      <c r="S97" s="234">
        <f>0</f>
        <v>0</v>
      </c>
      <c r="V97" s="100" t="s">
        <v>187</v>
      </c>
      <c r="W97" s="101" t="s">
        <v>223</v>
      </c>
      <c r="X97" s="101" t="s">
        <v>227</v>
      </c>
      <c r="Y97" s="102"/>
      <c r="AA97" s="66" t="e">
        <f>1-(X97/W97)</f>
        <v>#VALUE!</v>
      </c>
      <c r="AB97" s="66">
        <f>1-(SUM(Y90:Y96)/SUM(X90:X96))</f>
        <v>0.96451948612109795</v>
      </c>
    </row>
    <row r="98" spans="1:28" ht="15.75" thickBot="1" x14ac:dyDescent="0.25">
      <c r="A98" s="39"/>
      <c r="B98" s="147" t="s">
        <v>206</v>
      </c>
      <c r="C98" s="147">
        <v>0</v>
      </c>
      <c r="D98" s="147" t="s">
        <v>11</v>
      </c>
      <c r="E98" s="147" t="s">
        <v>207</v>
      </c>
      <c r="F98" s="147"/>
      <c r="G98" s="147">
        <f>C98*2</f>
        <v>0</v>
      </c>
      <c r="H98" s="147">
        <v>24</v>
      </c>
      <c r="I98" s="147">
        <f>IF(N98="Road Rigid &gt; 17t",7.5,15)</f>
        <v>15</v>
      </c>
      <c r="J98" s="155">
        <v>50</v>
      </c>
      <c r="K98" s="29">
        <f>IF(N98="Road Rigid &gt; 17t",0.00098,0.00094)</f>
        <v>9.3999999999999997E-4</v>
      </c>
      <c r="L98" s="234">
        <f>J98*M98*K98*(1+O98/100)</f>
        <v>0</v>
      </c>
      <c r="M98" s="234">
        <f>IF($M$38&lt;&gt;0,ROUNDUP(G98/I98,0),ROUNDUP(G98/H98,0))</f>
        <v>0</v>
      </c>
      <c r="N98" s="234" t="s">
        <v>65</v>
      </c>
      <c r="O98" s="234">
        <v>100</v>
      </c>
      <c r="V98" s="100"/>
      <c r="W98" s="101"/>
      <c r="X98" s="101"/>
      <c r="Y98" s="102"/>
      <c r="AA98" s="66"/>
      <c r="AB98" s="66"/>
    </row>
    <row r="99" spans="1:28" ht="17.25" thickBot="1" x14ac:dyDescent="0.35">
      <c r="A99" s="39"/>
      <c r="B99" s="39"/>
      <c r="C99" s="39"/>
      <c r="D99" s="39"/>
      <c r="E99" s="40"/>
      <c r="L99" s="36">
        <f>SUM(L96:L98)</f>
        <v>3.3464</v>
      </c>
      <c r="M99" s="36">
        <f>SUM(M96:M97)</f>
        <v>89</v>
      </c>
      <c r="N99" s="234"/>
      <c r="V99" s="117" t="s">
        <v>221</v>
      </c>
      <c r="W99" s="348" t="s">
        <v>234</v>
      </c>
      <c r="X99" s="348"/>
      <c r="Y99" s="118">
        <v>0.27</v>
      </c>
    </row>
    <row r="100" spans="1:28" x14ac:dyDescent="0.2">
      <c r="A100" s="39"/>
      <c r="B100" s="39"/>
      <c r="C100" s="39"/>
      <c r="D100" s="39"/>
      <c r="E100" s="40"/>
      <c r="N100" s="234"/>
      <c r="AB100" s="66" t="e">
        <f>1-(X97/#REF!)</f>
        <v>#VALUE!</v>
      </c>
    </row>
    <row r="101" spans="1:28" ht="15" hidden="1" customHeight="1" x14ac:dyDescent="0.2">
      <c r="A101" s="39"/>
      <c r="B101" s="39"/>
      <c r="C101" s="39"/>
      <c r="D101" s="39"/>
      <c r="E101" s="40"/>
      <c r="L101" s="17"/>
      <c r="N101" s="234"/>
    </row>
    <row r="102" spans="1:28" hidden="1" x14ac:dyDescent="0.2">
      <c r="A102" s="39" t="s">
        <v>93</v>
      </c>
      <c r="B102" s="39" t="s">
        <v>69</v>
      </c>
      <c r="C102" s="39">
        <v>0</v>
      </c>
      <c r="D102" s="39" t="s">
        <v>11</v>
      </c>
      <c r="E102" s="39"/>
      <c r="F102" s="39" t="s">
        <v>25</v>
      </c>
      <c r="G102" s="39">
        <f>C102</f>
        <v>0</v>
      </c>
      <c r="H102" s="39">
        <v>24</v>
      </c>
      <c r="I102" s="39">
        <f>IF(N102="Road Rigid &gt; 17t",7.5,15)</f>
        <v>15</v>
      </c>
      <c r="J102" s="157">
        <v>20</v>
      </c>
      <c r="K102" s="165">
        <f>IF(N102="Road Rigid &gt; 17t",0.00122,0.0012)</f>
        <v>1.1999999999999999E-3</v>
      </c>
      <c r="L102" s="39">
        <f>J102*M102*K102*(1+O102/100)</f>
        <v>0</v>
      </c>
      <c r="M102" s="39">
        <f>IF($M$38&lt;&gt;0,ROUNDUP(G102/I102,0),ROUNDUP(G102/H102,0))</f>
        <v>0</v>
      </c>
      <c r="N102" s="39" t="s">
        <v>65</v>
      </c>
      <c r="O102" s="39">
        <v>100</v>
      </c>
      <c r="P102" s="39"/>
    </row>
    <row r="103" spans="1:28" ht="15" hidden="1" thickBot="1" x14ac:dyDescent="0.25">
      <c r="A103" s="39"/>
      <c r="B103" s="39"/>
      <c r="C103" s="39"/>
      <c r="D103" s="39"/>
      <c r="E103" s="40"/>
      <c r="F103" s="39"/>
      <c r="G103" s="39"/>
      <c r="H103" s="39"/>
      <c r="I103" s="39"/>
      <c r="J103" s="157"/>
      <c r="K103" s="39"/>
      <c r="L103" s="160">
        <f>SUM(L102)</f>
        <v>0</v>
      </c>
      <c r="M103" s="160">
        <f>SUM(M102)</f>
        <v>0</v>
      </c>
      <c r="N103" s="39"/>
      <c r="O103" s="39"/>
      <c r="P103" s="39"/>
    </row>
    <row r="104" spans="1:28" ht="15" hidden="1" thickBot="1" x14ac:dyDescent="0.25">
      <c r="A104" s="39"/>
      <c r="B104" s="39"/>
      <c r="C104" s="39"/>
      <c r="D104" s="39"/>
      <c r="E104" s="39"/>
      <c r="F104" s="39"/>
      <c r="G104" s="39"/>
      <c r="H104" s="39"/>
      <c r="I104" s="39"/>
      <c r="J104" s="157"/>
      <c r="K104" s="165"/>
      <c r="L104" s="39"/>
      <c r="M104" s="39"/>
      <c r="N104" s="39"/>
      <c r="O104" s="39"/>
      <c r="P104" s="39"/>
      <c r="V104" s="241"/>
      <c r="W104" s="241"/>
      <c r="X104" s="241"/>
      <c r="Y104" s="241"/>
    </row>
    <row r="105" spans="1:28" ht="48" hidden="1" thickBot="1" x14ac:dyDescent="0.25">
      <c r="A105" s="39"/>
      <c r="B105" s="39"/>
      <c r="C105" s="39"/>
      <c r="D105" s="39"/>
      <c r="E105" s="40"/>
      <c r="F105" s="39"/>
      <c r="G105" s="39"/>
      <c r="H105" s="39"/>
      <c r="I105" s="39"/>
      <c r="J105" s="157"/>
      <c r="K105" s="39"/>
      <c r="L105" s="158"/>
      <c r="M105" s="39"/>
      <c r="N105" s="39"/>
      <c r="O105" s="39"/>
      <c r="P105" s="39"/>
      <c r="U105" s="122"/>
      <c r="V105" s="104" t="s">
        <v>218</v>
      </c>
      <c r="W105" s="108" t="s">
        <v>219</v>
      </c>
      <c r="X105" s="123" t="s">
        <v>230</v>
      </c>
      <c r="Y105" s="124" t="s">
        <v>231</v>
      </c>
    </row>
    <row r="106" spans="1:28" ht="15" hidden="1" customHeight="1" thickBot="1" x14ac:dyDescent="0.25">
      <c r="A106" s="39" t="s">
        <v>94</v>
      </c>
      <c r="B106" s="39" t="s">
        <v>25</v>
      </c>
      <c r="C106" s="39" t="s">
        <v>25</v>
      </c>
      <c r="D106" s="39" t="s">
        <v>25</v>
      </c>
      <c r="E106" s="39" t="s">
        <v>25</v>
      </c>
      <c r="F106" s="39" t="s">
        <v>25</v>
      </c>
      <c r="G106" s="39" t="s">
        <v>25</v>
      </c>
      <c r="H106" s="39" t="s">
        <v>25</v>
      </c>
      <c r="I106" s="39" t="s">
        <v>25</v>
      </c>
      <c r="J106" s="157" t="s">
        <v>25</v>
      </c>
      <c r="K106" s="39" t="s">
        <v>25</v>
      </c>
      <c r="L106" s="39" t="s">
        <v>25</v>
      </c>
      <c r="M106" s="39" t="s">
        <v>25</v>
      </c>
      <c r="N106" s="39" t="s">
        <v>25</v>
      </c>
      <c r="O106" s="39" t="s">
        <v>25</v>
      </c>
      <c r="P106" s="39"/>
      <c r="U106" s="122"/>
      <c r="V106" s="130" t="s">
        <v>211</v>
      </c>
      <c r="W106" s="119">
        <v>4952.2054160000007</v>
      </c>
      <c r="X106" s="125">
        <f t="shared" ref="X106:X112" si="20">1-X90/W90</f>
        <v>0.90933776212781381</v>
      </c>
      <c r="Y106" s="126">
        <f>1-Z90/W90</f>
        <v>1</v>
      </c>
    </row>
    <row r="107" spans="1:28" ht="15" hidden="1" customHeight="1" thickBot="1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157"/>
      <c r="K107" s="39"/>
      <c r="L107" s="160">
        <f>SUM(L106)</f>
        <v>0</v>
      </c>
      <c r="M107" s="39">
        <v>0</v>
      </c>
      <c r="N107" s="39"/>
      <c r="O107" s="39"/>
      <c r="P107" s="39"/>
      <c r="U107" s="122"/>
      <c r="V107" s="106" t="s">
        <v>214</v>
      </c>
      <c r="W107" s="110">
        <v>282.07732620000002</v>
      </c>
      <c r="X107" s="125">
        <f t="shared" si="20"/>
        <v>0.33700612191817525</v>
      </c>
      <c r="Y107" s="126">
        <f t="shared" ref="Y107:Y112" si="21">1-Z91/W91</f>
        <v>1</v>
      </c>
    </row>
    <row r="108" spans="1:28" ht="15" customHeight="1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157"/>
      <c r="K108" s="39"/>
      <c r="L108" s="39"/>
      <c r="M108" s="39"/>
      <c r="N108" s="39"/>
      <c r="O108" s="39"/>
      <c r="P108" s="39"/>
      <c r="U108" s="122"/>
      <c r="V108" s="106" t="s">
        <v>212</v>
      </c>
      <c r="W108" s="110">
        <v>327.0136</v>
      </c>
      <c r="X108" s="125">
        <f t="shared" si="20"/>
        <v>0.96575307794844678</v>
      </c>
      <c r="Y108" s="126">
        <f t="shared" si="21"/>
        <v>1</v>
      </c>
    </row>
    <row r="109" spans="1:28" ht="15" customHeight="1" x14ac:dyDescent="0.2">
      <c r="A109" s="39"/>
      <c r="B109" s="39"/>
      <c r="C109" s="39"/>
      <c r="D109" s="39"/>
      <c r="E109" s="39"/>
      <c r="N109" s="234"/>
      <c r="U109" s="122"/>
      <c r="V109" s="106" t="s">
        <v>215</v>
      </c>
      <c r="W109" s="110">
        <v>42.5</v>
      </c>
      <c r="X109" s="125">
        <f t="shared" si="20"/>
        <v>0.36103896103896105</v>
      </c>
      <c r="Y109" s="126">
        <f t="shared" si="21"/>
        <v>1</v>
      </c>
    </row>
    <row r="110" spans="1:28" ht="15" customHeight="1" thickBot="1" x14ac:dyDescent="0.25">
      <c r="A110" s="39"/>
      <c r="B110" s="41"/>
      <c r="C110" s="41"/>
      <c r="D110" s="41"/>
      <c r="E110" s="41"/>
      <c r="F110" s="349" t="s">
        <v>78</v>
      </c>
      <c r="G110" s="349"/>
      <c r="H110" s="349"/>
      <c r="I110" s="349"/>
      <c r="J110" s="350"/>
      <c r="N110" s="234"/>
      <c r="U110" s="122"/>
      <c r="V110" s="106" t="s">
        <v>217</v>
      </c>
      <c r="W110" s="110">
        <v>5.6320000000000006</v>
      </c>
      <c r="X110" s="125">
        <f t="shared" si="20"/>
        <v>0.44211443508568105</v>
      </c>
      <c r="Y110" s="126">
        <f t="shared" si="21"/>
        <v>1</v>
      </c>
    </row>
    <row r="111" spans="1:28" ht="15" customHeight="1" x14ac:dyDescent="0.2">
      <c r="A111" s="166" t="s">
        <v>33</v>
      </c>
      <c r="B111" s="167"/>
      <c r="C111" s="346" t="s">
        <v>82</v>
      </c>
      <c r="D111" s="347"/>
      <c r="E111" s="167"/>
      <c r="F111" s="22" t="s">
        <v>103</v>
      </c>
      <c r="G111" s="24" t="s">
        <v>102</v>
      </c>
      <c r="H111" s="24" t="s">
        <v>105</v>
      </c>
      <c r="I111" s="243" t="s">
        <v>2</v>
      </c>
      <c r="J111" s="2" t="s">
        <v>3</v>
      </c>
      <c r="N111" s="234"/>
      <c r="P111" s="61" t="s">
        <v>144</v>
      </c>
      <c r="Q111" s="61" t="s">
        <v>146</v>
      </c>
      <c r="R111" s="61" t="s">
        <v>145</v>
      </c>
      <c r="S111" s="61" t="s">
        <v>154</v>
      </c>
      <c r="T111" s="61" t="s">
        <v>147</v>
      </c>
      <c r="U111" s="122"/>
      <c r="V111" s="106" t="s">
        <v>213</v>
      </c>
      <c r="W111" s="110">
        <v>45.913284666666669</v>
      </c>
      <c r="X111" s="125">
        <f t="shared" si="20"/>
        <v>0.70256918870434959</v>
      </c>
      <c r="Y111" s="126">
        <f t="shared" si="21"/>
        <v>1</v>
      </c>
    </row>
    <row r="112" spans="1:28" ht="15" customHeight="1" thickBot="1" x14ac:dyDescent="0.25">
      <c r="A112" s="168"/>
      <c r="B112" s="169"/>
      <c r="C112" s="170"/>
      <c r="D112" s="171"/>
      <c r="E112" s="172"/>
      <c r="F112" s="6" t="s">
        <v>107</v>
      </c>
      <c r="G112" s="23" t="s">
        <v>104</v>
      </c>
      <c r="H112" s="6" t="s">
        <v>106</v>
      </c>
      <c r="I112" s="18" t="s">
        <v>34</v>
      </c>
      <c r="J112" s="6" t="s">
        <v>7</v>
      </c>
      <c r="N112" s="234"/>
      <c r="P112" s="61" t="s">
        <v>157</v>
      </c>
      <c r="Q112" s="61" t="s">
        <v>149</v>
      </c>
      <c r="R112" s="61" t="s">
        <v>148</v>
      </c>
      <c r="S112" s="61" t="s">
        <v>155</v>
      </c>
      <c r="T112" s="61" t="s">
        <v>150</v>
      </c>
      <c r="U112" s="122"/>
      <c r="V112" s="131" t="s">
        <v>210</v>
      </c>
      <c r="W112" s="120">
        <v>547.87199999999996</v>
      </c>
      <c r="X112" s="128">
        <f t="shared" si="20"/>
        <v>0.88322166387493017</v>
      </c>
      <c r="Y112" s="129">
        <f t="shared" si="21"/>
        <v>1</v>
      </c>
    </row>
    <row r="113" spans="1:25" ht="15" hidden="1" customHeight="1" x14ac:dyDescent="0.2">
      <c r="A113" s="147" t="s">
        <v>90</v>
      </c>
      <c r="B113" s="147" t="s">
        <v>264</v>
      </c>
      <c r="C113" s="147">
        <v>200</v>
      </c>
      <c r="D113" s="147" t="s">
        <v>11</v>
      </c>
      <c r="E113" s="147" t="s">
        <v>263</v>
      </c>
      <c r="F113" s="187">
        <f>E120/200</f>
        <v>23.475000000000001</v>
      </c>
      <c r="G113" s="234">
        <v>10</v>
      </c>
      <c r="H113" s="234">
        <v>150</v>
      </c>
      <c r="I113" s="234">
        <v>3.6669999999999998</v>
      </c>
      <c r="J113" s="13">
        <f>C113*(F113/H113)/G113*I113</f>
        <v>11.477709999999998</v>
      </c>
      <c r="N113" s="234"/>
      <c r="P113" s="234" t="s">
        <v>151</v>
      </c>
      <c r="Q113" s="234">
        <f>4952+282+98+43+20+0.5*(315+548)</f>
        <v>5826.5</v>
      </c>
      <c r="R113" s="234">
        <f>4952+282+98+43+20+1*(315+548)</f>
        <v>6258</v>
      </c>
      <c r="S113" s="234">
        <f>4952+282+98+43+20+1.5*(315+548)</f>
        <v>6689.5</v>
      </c>
      <c r="T113" s="234">
        <f>4952+282+98+43+20+2*(315+548)</f>
        <v>7121</v>
      </c>
      <c r="V113" s="100" t="s">
        <v>187</v>
      </c>
      <c r="W113" s="101" t="s">
        <v>223</v>
      </c>
      <c r="X113" s="103">
        <v>0.27</v>
      </c>
      <c r="Y113" s="103">
        <v>0.42</v>
      </c>
    </row>
    <row r="114" spans="1:25" ht="15" hidden="1" customHeight="1" x14ac:dyDescent="0.2">
      <c r="A114" s="147"/>
      <c r="B114" s="147" t="s">
        <v>108</v>
      </c>
      <c r="C114" s="147">
        <v>30</v>
      </c>
      <c r="D114" s="147" t="s">
        <v>11</v>
      </c>
      <c r="E114" s="147" t="s">
        <v>121</v>
      </c>
      <c r="F114" s="187">
        <f>E120/200</f>
        <v>23.475000000000001</v>
      </c>
      <c r="G114" s="234">
        <v>10</v>
      </c>
      <c r="H114" s="234">
        <v>150</v>
      </c>
      <c r="I114" s="234">
        <v>3.6669999999999998</v>
      </c>
      <c r="J114" s="13">
        <f>C114*(F114/H114)/G114*I114</f>
        <v>1.7216564999999999</v>
      </c>
      <c r="N114" s="234"/>
      <c r="P114" s="234" t="s">
        <v>152</v>
      </c>
      <c r="Q114" s="234">
        <f>3450+359+56+36+15+0.5*(35+501)</f>
        <v>4184</v>
      </c>
      <c r="R114" s="234">
        <f>3450+359+56+36+15+1*(35+501)</f>
        <v>4452</v>
      </c>
      <c r="S114" s="234">
        <f>3450+359+56+36+15+1.5*(35+501)</f>
        <v>4720</v>
      </c>
      <c r="T114" s="234">
        <f>3450+359+56+36+15+2*(35+501)</f>
        <v>4988</v>
      </c>
      <c r="V114" s="102"/>
      <c r="W114" s="102"/>
      <c r="X114" s="39"/>
      <c r="Y114" s="39"/>
    </row>
    <row r="115" spans="1:25" ht="15" hidden="1" customHeight="1" x14ac:dyDescent="0.3">
      <c r="A115" s="147"/>
      <c r="B115" s="147" t="s">
        <v>118</v>
      </c>
      <c r="C115" s="147">
        <v>20</v>
      </c>
      <c r="D115" s="147" t="s">
        <v>117</v>
      </c>
      <c r="E115" s="147"/>
      <c r="F115" s="187">
        <f>E120/200</f>
        <v>23.475000000000001</v>
      </c>
      <c r="G115" s="234">
        <v>10</v>
      </c>
      <c r="H115" s="234">
        <v>150</v>
      </c>
      <c r="I115" s="234">
        <v>3.6669999999999998</v>
      </c>
      <c r="J115" s="13">
        <f>C115*(F115/H115)/G115*I115</f>
        <v>1.1477709999999999</v>
      </c>
      <c r="N115" s="234"/>
      <c r="P115" s="234" t="s">
        <v>153</v>
      </c>
      <c r="Q115" s="234">
        <f>2618+319+78+35+20+0.5*(55+430)</f>
        <v>3312.5</v>
      </c>
      <c r="R115" s="234">
        <f>2618+319+78+35+20+1*(55+430)</f>
        <v>3555</v>
      </c>
      <c r="S115" s="234">
        <f>2618+319+78+35+20+1.5*(55+430)</f>
        <v>3797.5</v>
      </c>
      <c r="T115" s="234">
        <f t="shared" ref="T115" si="22">2618+319+78+35+20+0.5*(55+430)</f>
        <v>3312.5</v>
      </c>
      <c r="V115" s="117" t="s">
        <v>221</v>
      </c>
      <c r="W115" s="99"/>
      <c r="X115" s="127" t="s">
        <v>224</v>
      </c>
      <c r="Y115" s="127" t="s">
        <v>225</v>
      </c>
    </row>
    <row r="116" spans="1:25" ht="15" hidden="1" customHeight="1" x14ac:dyDescent="0.25">
      <c r="A116" s="147"/>
      <c r="B116" s="147" t="s">
        <v>158</v>
      </c>
      <c r="C116" s="147">
        <v>22</v>
      </c>
      <c r="D116" s="147" t="s">
        <v>11</v>
      </c>
      <c r="E116" s="147"/>
      <c r="F116" s="187">
        <f>E120/200</f>
        <v>23.475000000000001</v>
      </c>
      <c r="G116" s="234">
        <v>10</v>
      </c>
      <c r="H116" s="234">
        <v>150</v>
      </c>
      <c r="I116" s="234">
        <v>3.6669999999999998</v>
      </c>
      <c r="J116" s="13">
        <f t="shared" ref="J116" si="23">C116*(F116/H116)/G116*I116</f>
        <v>1.2625480999999998</v>
      </c>
      <c r="N116" s="234"/>
      <c r="V116" s="117"/>
      <c r="W116" s="99"/>
      <c r="X116" s="127"/>
      <c r="Y116" s="127"/>
    </row>
    <row r="117" spans="1:25" ht="15" hidden="1" customHeight="1" x14ac:dyDescent="0.25">
      <c r="A117" s="147"/>
      <c r="B117" s="147" t="s">
        <v>81</v>
      </c>
      <c r="C117" s="147">
        <v>43</v>
      </c>
      <c r="D117" s="147" t="s">
        <v>11</v>
      </c>
      <c r="E117" s="147"/>
      <c r="F117" s="187">
        <f>E120/200</f>
        <v>23.475000000000001</v>
      </c>
      <c r="G117" s="234">
        <v>10</v>
      </c>
      <c r="H117" s="234">
        <v>150</v>
      </c>
      <c r="I117" s="234">
        <v>3.6669999999999998</v>
      </c>
      <c r="J117" s="13">
        <f>C117*(F117/H117)/G117*I117</f>
        <v>2.4677076499999995</v>
      </c>
      <c r="N117" s="234"/>
      <c r="V117" s="117"/>
      <c r="W117" s="99"/>
      <c r="X117" s="127"/>
      <c r="Y117" s="127"/>
    </row>
    <row r="118" spans="1:25" hidden="1" x14ac:dyDescent="0.2">
      <c r="A118" s="147"/>
      <c r="B118" s="147" t="s">
        <v>159</v>
      </c>
      <c r="C118" s="147">
        <v>60</v>
      </c>
      <c r="D118" s="147" t="s">
        <v>11</v>
      </c>
      <c r="E118" s="147"/>
      <c r="F118" s="187">
        <f>E120/200</f>
        <v>23.475000000000001</v>
      </c>
      <c r="G118" s="234">
        <v>10</v>
      </c>
      <c r="H118" s="234">
        <v>150</v>
      </c>
      <c r="I118" s="234">
        <v>3.6669999999999998</v>
      </c>
      <c r="J118" s="13">
        <f>C118*(F118/H118)/G118*I118</f>
        <v>3.4433129999999998</v>
      </c>
      <c r="N118" s="234"/>
    </row>
    <row r="119" spans="1:25" hidden="1" x14ac:dyDescent="0.2">
      <c r="A119" s="147"/>
      <c r="B119" s="147" t="s">
        <v>195</v>
      </c>
      <c r="C119" s="147">
        <v>18</v>
      </c>
      <c r="D119" s="147" t="s">
        <v>11</v>
      </c>
      <c r="E119" s="147"/>
      <c r="F119" s="187">
        <f>E120/200</f>
        <v>23.475000000000001</v>
      </c>
      <c r="G119" s="147">
        <v>10</v>
      </c>
      <c r="H119" s="147">
        <v>150</v>
      </c>
      <c r="I119" s="147">
        <v>3.6669999999999998</v>
      </c>
      <c r="J119" s="154">
        <f>C119*(F119/H119)/G119*I119</f>
        <v>1.0329938999999999</v>
      </c>
      <c r="N119" s="234"/>
    </row>
    <row r="120" spans="1:25" ht="15" hidden="1" thickBot="1" x14ac:dyDescent="0.25">
      <c r="A120" s="39"/>
      <c r="B120" s="39"/>
      <c r="C120" s="39"/>
      <c r="D120" s="39" t="s">
        <v>266</v>
      </c>
      <c r="E120" s="39">
        <f>1076 + 1366 + 2253</f>
        <v>4695</v>
      </c>
      <c r="F120" s="238"/>
      <c r="J120" s="36">
        <f>SUM(J113:J119)</f>
        <v>22.553700150000001</v>
      </c>
      <c r="N120" s="234"/>
    </row>
    <row r="121" spans="1:25" x14ac:dyDescent="0.2">
      <c r="A121" s="39"/>
      <c r="B121" s="39"/>
      <c r="C121" s="39"/>
      <c r="D121" s="39"/>
      <c r="E121" s="39"/>
      <c r="F121" s="238"/>
      <c r="J121" s="234"/>
      <c r="N121" s="234"/>
    </row>
    <row r="122" spans="1:25" ht="14.25" hidden="1" customHeight="1" thickBot="1" x14ac:dyDescent="0.25">
      <c r="A122" s="39" t="s">
        <v>91</v>
      </c>
      <c r="B122" s="39" t="s">
        <v>79</v>
      </c>
      <c r="C122" s="39">
        <v>9</v>
      </c>
      <c r="D122" s="39" t="s">
        <v>11</v>
      </c>
      <c r="E122" s="39" t="s">
        <v>122</v>
      </c>
      <c r="F122" s="50"/>
      <c r="G122" s="39">
        <v>10</v>
      </c>
      <c r="H122" s="39">
        <v>150</v>
      </c>
      <c r="I122" s="39">
        <v>3.6669999999999998</v>
      </c>
      <c r="J122" s="49">
        <f>C122*(F122/H122)/G122*I122</f>
        <v>0</v>
      </c>
      <c r="N122" s="234"/>
    </row>
    <row r="123" spans="1:25" ht="34.5" hidden="1" customHeight="1" thickBot="1" x14ac:dyDescent="0.25">
      <c r="A123" s="39"/>
      <c r="B123" s="39" t="s">
        <v>80</v>
      </c>
      <c r="C123" s="39">
        <v>45</v>
      </c>
      <c r="D123" s="39" t="s">
        <v>11</v>
      </c>
      <c r="E123" s="39"/>
      <c r="F123" s="50"/>
      <c r="G123" s="39">
        <v>10</v>
      </c>
      <c r="H123" s="39">
        <v>150</v>
      </c>
      <c r="I123" s="39">
        <v>3.6669999999999998</v>
      </c>
      <c r="J123" s="49">
        <f t="shared" ref="J123:J131" si="24">C123*(F123/H123)/G123*I123</f>
        <v>0</v>
      </c>
      <c r="N123" s="234"/>
      <c r="V123" s="104" t="s">
        <v>218</v>
      </c>
      <c r="W123" s="108" t="s">
        <v>232</v>
      </c>
      <c r="X123" s="116" t="s">
        <v>233</v>
      </c>
      <c r="Y123" s="112" t="s">
        <v>222</v>
      </c>
    </row>
    <row r="124" spans="1:25" hidden="1" x14ac:dyDescent="0.2">
      <c r="A124" s="39"/>
      <c r="B124" s="39" t="s">
        <v>81</v>
      </c>
      <c r="C124" s="39">
        <v>43</v>
      </c>
      <c r="D124" s="39" t="s">
        <v>11</v>
      </c>
      <c r="E124" s="39"/>
      <c r="F124" s="50"/>
      <c r="G124" s="39">
        <v>10</v>
      </c>
      <c r="H124" s="39">
        <v>150</v>
      </c>
      <c r="I124" s="39">
        <v>3.6669999999999998</v>
      </c>
      <c r="J124" s="49">
        <f t="shared" si="24"/>
        <v>0</v>
      </c>
      <c r="N124" s="234"/>
      <c r="V124" s="105" t="s">
        <v>211</v>
      </c>
      <c r="W124" s="109">
        <f>B236</f>
        <v>0</v>
      </c>
      <c r="X124" s="109">
        <f>B237</f>
        <v>0</v>
      </c>
      <c r="Y124" s="113" t="e">
        <f>1-(X124/W124)</f>
        <v>#DIV/0!</v>
      </c>
    </row>
    <row r="125" spans="1:25" hidden="1" x14ac:dyDescent="0.2">
      <c r="A125" s="39"/>
      <c r="B125" s="39" t="s">
        <v>108</v>
      </c>
      <c r="C125" s="39">
        <v>30</v>
      </c>
      <c r="D125" s="39" t="s">
        <v>11</v>
      </c>
      <c r="E125" s="39" t="s">
        <v>121</v>
      </c>
      <c r="F125" s="50"/>
      <c r="G125" s="39">
        <v>10</v>
      </c>
      <c r="H125" s="39">
        <v>150</v>
      </c>
      <c r="I125" s="39">
        <v>3.6669999999999998</v>
      </c>
      <c r="J125" s="49">
        <f t="shared" si="24"/>
        <v>0</v>
      </c>
      <c r="N125" s="234"/>
      <c r="V125" s="106" t="s">
        <v>214</v>
      </c>
      <c r="W125" s="110">
        <f>C236</f>
        <v>0</v>
      </c>
      <c r="X125" s="110">
        <f>C237</f>
        <v>0</v>
      </c>
      <c r="Y125" s="114" t="e">
        <f t="shared" ref="Y125:Y130" si="25">1-(X125/W125)</f>
        <v>#DIV/0!</v>
      </c>
    </row>
    <row r="126" spans="1:25" ht="15" hidden="1" thickBot="1" x14ac:dyDescent="0.25">
      <c r="A126" s="39"/>
      <c r="B126" s="39"/>
      <c r="C126" s="39"/>
      <c r="D126" s="39"/>
      <c r="E126" s="39"/>
      <c r="F126" s="39"/>
      <c r="G126" s="39"/>
      <c r="H126" s="39"/>
      <c r="I126" s="39"/>
      <c r="J126" s="160">
        <f>SUM(J122:J125)</f>
        <v>0</v>
      </c>
      <c r="N126" s="234"/>
      <c r="V126" s="106" t="s">
        <v>212</v>
      </c>
      <c r="W126" s="110">
        <f>E236</f>
        <v>0</v>
      </c>
      <c r="X126" s="110">
        <f>E237</f>
        <v>0</v>
      </c>
      <c r="Y126" s="114" t="e">
        <f t="shared" si="25"/>
        <v>#DIV/0!</v>
      </c>
    </row>
    <row r="127" spans="1:25" x14ac:dyDescent="0.2">
      <c r="A127" s="39"/>
      <c r="B127" s="39"/>
      <c r="C127" s="39"/>
      <c r="D127" s="39"/>
      <c r="E127" s="39"/>
      <c r="J127" s="13"/>
      <c r="N127" s="234"/>
      <c r="V127" s="106" t="s">
        <v>220</v>
      </c>
      <c r="W127" s="110">
        <f>F236</f>
        <v>0</v>
      </c>
      <c r="X127" s="110">
        <f>F237</f>
        <v>0</v>
      </c>
      <c r="Y127" s="114" t="e">
        <f t="shared" si="25"/>
        <v>#DIV/0!</v>
      </c>
    </row>
    <row r="128" spans="1:25" x14ac:dyDescent="0.2">
      <c r="A128" s="147" t="s">
        <v>92</v>
      </c>
      <c r="B128" s="147" t="s">
        <v>83</v>
      </c>
      <c r="C128" s="147">
        <v>140</v>
      </c>
      <c r="D128" s="147" t="s">
        <v>11</v>
      </c>
      <c r="E128" s="147"/>
      <c r="F128" s="187">
        <f>'MIP550-Dichtwand'!B3/'MIP550-Dichtwand'!B5</f>
        <v>13.72</v>
      </c>
      <c r="G128" s="234">
        <v>10</v>
      </c>
      <c r="H128" s="234">
        <v>150</v>
      </c>
      <c r="I128" s="234">
        <v>3.6669999999999998</v>
      </c>
      <c r="J128" s="13">
        <f t="shared" si="24"/>
        <v>4.6957157333333326</v>
      </c>
      <c r="N128" s="234"/>
      <c r="V128" s="106" t="s">
        <v>217</v>
      </c>
      <c r="W128" s="110">
        <f>G236</f>
        <v>0</v>
      </c>
      <c r="X128" s="110">
        <f>G237</f>
        <v>0</v>
      </c>
      <c r="Y128" s="114" t="e">
        <f t="shared" si="25"/>
        <v>#DIV/0!</v>
      </c>
    </row>
    <row r="129" spans="1:26" x14ac:dyDescent="0.2">
      <c r="A129" s="147"/>
      <c r="B129" s="147" t="s">
        <v>108</v>
      </c>
      <c r="C129" s="147">
        <v>30</v>
      </c>
      <c r="D129" s="147" t="s">
        <v>11</v>
      </c>
      <c r="E129" s="147" t="s">
        <v>121</v>
      </c>
      <c r="F129" s="187">
        <f>$F$128</f>
        <v>13.72</v>
      </c>
      <c r="G129" s="234">
        <v>10</v>
      </c>
      <c r="H129" s="234">
        <v>150</v>
      </c>
      <c r="I129" s="234">
        <v>3.6669999999999998</v>
      </c>
      <c r="J129" s="13">
        <f t="shared" si="24"/>
        <v>1.0062248</v>
      </c>
      <c r="N129" s="234"/>
      <c r="V129" s="106" t="s">
        <v>213</v>
      </c>
      <c r="W129" s="110">
        <f>H236</f>
        <v>0</v>
      </c>
      <c r="X129" s="110">
        <f>H237</f>
        <v>0</v>
      </c>
      <c r="Y129" s="114" t="e">
        <f t="shared" si="25"/>
        <v>#DIV/0!</v>
      </c>
    </row>
    <row r="130" spans="1:26" ht="15" thickBot="1" x14ac:dyDescent="0.25">
      <c r="A130" s="147"/>
      <c r="B130" s="147" t="s">
        <v>119</v>
      </c>
      <c r="C130" s="147">
        <v>20</v>
      </c>
      <c r="D130" s="147" t="s">
        <v>11</v>
      </c>
      <c r="E130" s="147"/>
      <c r="F130" s="187">
        <f>$F$128</f>
        <v>13.72</v>
      </c>
      <c r="G130" s="234">
        <v>10</v>
      </c>
      <c r="H130" s="234">
        <v>150</v>
      </c>
      <c r="I130" s="234">
        <v>3.6669999999999998</v>
      </c>
      <c r="J130" s="13">
        <f t="shared" si="24"/>
        <v>0.67081653333333335</v>
      </c>
      <c r="N130" s="234"/>
      <c r="R130" s="238"/>
      <c r="V130" s="107" t="s">
        <v>210</v>
      </c>
      <c r="W130" s="111">
        <f>I236</f>
        <v>0</v>
      </c>
      <c r="X130" s="111">
        <f>I237</f>
        <v>0</v>
      </c>
      <c r="Y130" s="115" t="e">
        <f t="shared" si="25"/>
        <v>#DIV/0!</v>
      </c>
    </row>
    <row r="131" spans="1:26" ht="16.5" x14ac:dyDescent="0.2">
      <c r="A131" s="147"/>
      <c r="B131" s="147" t="s">
        <v>158</v>
      </c>
      <c r="C131" s="147">
        <v>10</v>
      </c>
      <c r="D131" s="147" t="s">
        <v>11</v>
      </c>
      <c r="E131" s="147"/>
      <c r="F131" s="187">
        <f>$F$128</f>
        <v>13.72</v>
      </c>
      <c r="G131" s="234">
        <v>10</v>
      </c>
      <c r="H131" s="234">
        <v>150</v>
      </c>
      <c r="I131" s="234">
        <v>3.6669999999999998</v>
      </c>
      <c r="J131" s="13">
        <f t="shared" si="24"/>
        <v>0.33540826666666668</v>
      </c>
      <c r="N131" s="234"/>
      <c r="R131" s="238"/>
      <c r="V131" s="100" t="s">
        <v>187</v>
      </c>
      <c r="W131" s="101" t="s">
        <v>228</v>
      </c>
      <c r="X131" s="101" t="s">
        <v>229</v>
      </c>
      <c r="Y131" s="102"/>
    </row>
    <row r="132" spans="1:26" ht="15" x14ac:dyDescent="0.2">
      <c r="A132" s="147"/>
      <c r="B132" s="147">
        <v>0</v>
      </c>
      <c r="C132" s="147">
        <v>0</v>
      </c>
      <c r="D132" s="147" t="s">
        <v>11</v>
      </c>
      <c r="E132" s="147"/>
      <c r="F132" s="187">
        <v>0</v>
      </c>
      <c r="G132" s="234">
        <v>10</v>
      </c>
      <c r="H132" s="234">
        <v>150</v>
      </c>
      <c r="I132" s="234">
        <v>3.6669999999999998</v>
      </c>
      <c r="J132" s="13">
        <f>C132*(F132/H132)/G132*I132</f>
        <v>0</v>
      </c>
      <c r="N132" s="234"/>
      <c r="R132" s="238"/>
      <c r="V132" s="100"/>
      <c r="W132" s="101"/>
      <c r="X132" s="101"/>
      <c r="Y132" s="102"/>
    </row>
    <row r="133" spans="1:26" ht="16.5" x14ac:dyDescent="0.3">
      <c r="A133" s="147"/>
      <c r="B133" s="147" t="s">
        <v>209</v>
      </c>
      <c r="C133" s="147">
        <v>0</v>
      </c>
      <c r="D133" s="147" t="s">
        <v>11</v>
      </c>
      <c r="E133" s="147"/>
      <c r="F133" s="187">
        <f>$F$128</f>
        <v>13.72</v>
      </c>
      <c r="G133" s="234">
        <v>10</v>
      </c>
      <c r="H133" s="234">
        <v>150</v>
      </c>
      <c r="I133" s="234">
        <v>3.6669999999999998</v>
      </c>
      <c r="J133" s="13">
        <f>C133*(F133/H133)/G133*I133</f>
        <v>0</v>
      </c>
      <c r="N133" s="234"/>
      <c r="R133" s="238"/>
      <c r="V133" s="117" t="s">
        <v>221</v>
      </c>
      <c r="W133" s="348" t="s">
        <v>226</v>
      </c>
      <c r="X133" s="348"/>
      <c r="Y133" s="118">
        <v>0.46</v>
      </c>
    </row>
    <row r="134" spans="1:26" ht="15" thickBot="1" x14ac:dyDescent="0.25">
      <c r="A134" s="147"/>
      <c r="B134" s="147" t="s">
        <v>81</v>
      </c>
      <c r="C134" s="147">
        <v>0</v>
      </c>
      <c r="D134" s="147" t="s">
        <v>11</v>
      </c>
      <c r="E134" s="147"/>
      <c r="F134" s="187">
        <f>$F$128</f>
        <v>13.72</v>
      </c>
      <c r="G134" s="234">
        <v>10</v>
      </c>
      <c r="H134" s="234">
        <v>150</v>
      </c>
      <c r="I134" s="234">
        <v>3.6669999999999998</v>
      </c>
      <c r="J134" s="13">
        <f>C134*(F134/H134)/G134*I134</f>
        <v>0</v>
      </c>
      <c r="N134" s="234"/>
      <c r="R134" s="238"/>
      <c r="V134" s="13"/>
    </row>
    <row r="135" spans="1:26" ht="15" thickBot="1" x14ac:dyDescent="0.25">
      <c r="A135" s="39"/>
      <c r="B135" s="39"/>
      <c r="C135" s="39"/>
      <c r="D135" s="39"/>
      <c r="E135" s="234"/>
      <c r="F135" s="238"/>
      <c r="J135" s="36">
        <f>SUM(J128:J134)</f>
        <v>6.7081653333333326</v>
      </c>
      <c r="N135" s="234"/>
      <c r="R135" s="238"/>
      <c r="V135" s="13"/>
      <c r="W135" s="238">
        <f>SUM(W124:W130)</f>
        <v>0</v>
      </c>
      <c r="X135" s="238">
        <f>SUM(X124:X130)</f>
        <v>0</v>
      </c>
      <c r="Y135" s="238">
        <f>W135-X135</f>
        <v>0</v>
      </c>
      <c r="Z135" s="234" t="e">
        <f>1-(X135/W135)</f>
        <v>#DIV/0!</v>
      </c>
    </row>
    <row r="136" spans="1:26" hidden="1" x14ac:dyDescent="0.2">
      <c r="A136" s="39"/>
      <c r="B136" s="39"/>
      <c r="C136" s="39"/>
      <c r="D136" s="39"/>
      <c r="E136" s="39"/>
      <c r="F136" s="238"/>
      <c r="J136" s="13"/>
      <c r="N136" s="234"/>
    </row>
    <row r="137" spans="1:26" hidden="1" x14ac:dyDescent="0.2">
      <c r="A137" s="39" t="s">
        <v>93</v>
      </c>
      <c r="B137" s="39" t="s">
        <v>88</v>
      </c>
      <c r="C137" s="39">
        <v>0</v>
      </c>
      <c r="D137" s="39" t="s">
        <v>11</v>
      </c>
      <c r="E137" s="39"/>
      <c r="F137" s="50">
        <f>ROUNDUP($C$172/40,0)</f>
        <v>0</v>
      </c>
      <c r="G137" s="39">
        <v>10</v>
      </c>
      <c r="H137" s="39">
        <v>150</v>
      </c>
      <c r="I137" s="39">
        <v>3.6669999999999998</v>
      </c>
      <c r="J137" s="49">
        <f>C137*(F137/H137)/G137*I137</f>
        <v>0</v>
      </c>
      <c r="N137" s="234"/>
    </row>
    <row r="138" spans="1:26" hidden="1" x14ac:dyDescent="0.2">
      <c r="A138" s="39"/>
      <c r="B138" s="39" t="s">
        <v>89</v>
      </c>
      <c r="C138" s="39">
        <v>0</v>
      </c>
      <c r="D138" s="39" t="s">
        <v>11</v>
      </c>
      <c r="E138" s="39"/>
      <c r="F138" s="50">
        <f>ROUND($C$172/40,0)</f>
        <v>0</v>
      </c>
      <c r="G138" s="39">
        <v>10</v>
      </c>
      <c r="H138" s="39">
        <v>150</v>
      </c>
      <c r="I138" s="39">
        <v>3.6669999999999998</v>
      </c>
      <c r="J138" s="49">
        <f>C138*(F138/H138)/G138*I138</f>
        <v>0</v>
      </c>
      <c r="N138" s="234"/>
    </row>
    <row r="139" spans="1:26" hidden="1" x14ac:dyDescent="0.2">
      <c r="A139" s="39"/>
      <c r="B139" s="39" t="s">
        <v>108</v>
      </c>
      <c r="C139" s="39">
        <v>0</v>
      </c>
      <c r="D139" s="39" t="s">
        <v>11</v>
      </c>
      <c r="E139" s="39" t="s">
        <v>121</v>
      </c>
      <c r="F139" s="50">
        <f>ROUND($C$172/40,0)</f>
        <v>0</v>
      </c>
      <c r="G139" s="39">
        <v>10</v>
      </c>
      <c r="H139" s="39">
        <v>150</v>
      </c>
      <c r="I139" s="39">
        <v>3.6669999999999998</v>
      </c>
      <c r="J139" s="49">
        <f t="shared" ref="J139:J140" si="26">C139*(F139/H139)/G139*I139</f>
        <v>0</v>
      </c>
      <c r="N139" s="234"/>
    </row>
    <row r="140" spans="1:26" hidden="1" x14ac:dyDescent="0.2">
      <c r="A140" s="39"/>
      <c r="B140" s="39" t="s">
        <v>119</v>
      </c>
      <c r="C140" s="39">
        <v>0</v>
      </c>
      <c r="D140" s="39" t="s">
        <v>11</v>
      </c>
      <c r="E140" s="39"/>
      <c r="F140" s="50">
        <f>ROUND($C$172/40,0)</f>
        <v>0</v>
      </c>
      <c r="G140" s="39">
        <v>10</v>
      </c>
      <c r="H140" s="39">
        <v>150</v>
      </c>
      <c r="I140" s="39">
        <v>3.6669999999999998</v>
      </c>
      <c r="J140" s="49">
        <f t="shared" si="26"/>
        <v>0</v>
      </c>
      <c r="N140" s="234"/>
    </row>
    <row r="141" spans="1:26" ht="15" hidden="1" thickBot="1" x14ac:dyDescent="0.25">
      <c r="A141" s="39"/>
      <c r="B141" s="39"/>
      <c r="C141" s="39"/>
      <c r="D141" s="39"/>
      <c r="E141" s="39"/>
      <c r="F141" s="50"/>
      <c r="G141" s="39"/>
      <c r="H141" s="39"/>
      <c r="I141" s="39"/>
      <c r="J141" s="160">
        <f>J137+J138+J139+J140</f>
        <v>0</v>
      </c>
      <c r="N141" s="234"/>
    </row>
    <row r="142" spans="1:26" hidden="1" x14ac:dyDescent="0.2">
      <c r="A142" s="39"/>
      <c r="B142" s="39"/>
      <c r="C142" s="39"/>
      <c r="D142" s="39"/>
      <c r="E142" s="40"/>
      <c r="F142" s="39"/>
      <c r="G142" s="39"/>
      <c r="H142" s="39"/>
      <c r="I142" s="39"/>
      <c r="J142" s="39"/>
      <c r="N142" s="234"/>
    </row>
    <row r="143" spans="1:26" hidden="1" x14ac:dyDescent="0.2">
      <c r="A143" s="39" t="s">
        <v>94</v>
      </c>
      <c r="B143" s="39" t="s">
        <v>120</v>
      </c>
      <c r="C143" s="39">
        <v>0</v>
      </c>
      <c r="D143" s="39" t="s">
        <v>11</v>
      </c>
      <c r="E143" s="39"/>
      <c r="F143" s="39">
        <f>ROUNDUP($C$177/40,0)</f>
        <v>0</v>
      </c>
      <c r="G143" s="39">
        <v>10</v>
      </c>
      <c r="H143" s="39">
        <v>150</v>
      </c>
      <c r="I143" s="39">
        <v>3.6669999999999998</v>
      </c>
      <c r="J143" s="49">
        <f>C143*(F143/H143)/G143*I143</f>
        <v>0</v>
      </c>
      <c r="N143" s="234"/>
    </row>
    <row r="144" spans="1:26" hidden="1" x14ac:dyDescent="0.2">
      <c r="A144" s="39"/>
      <c r="B144" s="39" t="s">
        <v>108</v>
      </c>
      <c r="C144" s="39">
        <v>0</v>
      </c>
      <c r="D144" s="39" t="s">
        <v>11</v>
      </c>
      <c r="E144" s="39" t="s">
        <v>121</v>
      </c>
      <c r="F144" s="39">
        <f>ROUNDUP($C$177/40,0)</f>
        <v>0</v>
      </c>
      <c r="G144" s="39">
        <v>10</v>
      </c>
      <c r="H144" s="39">
        <v>150</v>
      </c>
      <c r="I144" s="39">
        <v>3.6669999999999998</v>
      </c>
      <c r="J144" s="49">
        <f t="shared" ref="J144:J145" si="27">C144*(F144/H144)/G144*I144</f>
        <v>0</v>
      </c>
      <c r="N144" s="234"/>
    </row>
    <row r="145" spans="1:14" hidden="1" x14ac:dyDescent="0.2">
      <c r="A145" s="39"/>
      <c r="B145" s="39" t="s">
        <v>119</v>
      </c>
      <c r="C145" s="39">
        <v>0</v>
      </c>
      <c r="D145" s="39" t="s">
        <v>11</v>
      </c>
      <c r="E145" s="39"/>
      <c r="F145" s="39">
        <f>ROUNDUP($C$177/40,0)</f>
        <v>0</v>
      </c>
      <c r="G145" s="39">
        <v>10</v>
      </c>
      <c r="H145" s="39">
        <v>150</v>
      </c>
      <c r="I145" s="39">
        <v>3.6669999999999998</v>
      </c>
      <c r="J145" s="49">
        <f t="shared" si="27"/>
        <v>0</v>
      </c>
      <c r="N145" s="234"/>
    </row>
    <row r="146" spans="1:14" ht="15" hidden="1" thickBot="1" x14ac:dyDescent="0.25">
      <c r="A146" s="39"/>
      <c r="B146" s="39"/>
      <c r="C146" s="39">
        <v>0</v>
      </c>
      <c r="D146" s="39"/>
      <c r="E146" s="39"/>
      <c r="F146" s="39"/>
      <c r="G146" s="39"/>
      <c r="H146" s="39"/>
      <c r="I146" s="39"/>
      <c r="J146" s="160">
        <f>J143+J144+J145</f>
        <v>0</v>
      </c>
      <c r="N146" s="234"/>
    </row>
    <row r="147" spans="1:14" x14ac:dyDescent="0.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N147" s="234"/>
    </row>
    <row r="148" spans="1:14" x14ac:dyDescent="0.2">
      <c r="A148" s="39"/>
      <c r="B148" s="39"/>
      <c r="C148" s="39"/>
      <c r="D148" s="39"/>
      <c r="E148" s="40"/>
      <c r="J148" s="234"/>
      <c r="N148" s="234"/>
    </row>
    <row r="149" spans="1:14" ht="18.75" thickBot="1" x14ac:dyDescent="0.25">
      <c r="A149" s="39"/>
      <c r="B149" s="41"/>
      <c r="C149" s="41"/>
      <c r="D149" s="41"/>
      <c r="E149" s="41"/>
      <c r="F149" s="349" t="s">
        <v>162</v>
      </c>
      <c r="G149" s="349"/>
      <c r="H149" s="349"/>
      <c r="I149" s="349"/>
      <c r="J149" s="350"/>
      <c r="N149" s="234"/>
    </row>
    <row r="150" spans="1:14" ht="42.75" x14ac:dyDescent="0.2">
      <c r="A150" s="166" t="s">
        <v>33</v>
      </c>
      <c r="B150" s="167"/>
      <c r="C150" s="346"/>
      <c r="D150" s="347"/>
      <c r="E150" s="167" t="s">
        <v>196</v>
      </c>
      <c r="F150" s="167" t="s">
        <v>95</v>
      </c>
      <c r="G150" s="24" t="s">
        <v>97</v>
      </c>
      <c r="H150" s="24" t="s">
        <v>99</v>
      </c>
      <c r="I150" s="2" t="s">
        <v>101</v>
      </c>
      <c r="J150" s="28" t="s">
        <v>100</v>
      </c>
      <c r="K150" s="243" t="s">
        <v>2</v>
      </c>
      <c r="L150" s="2" t="s">
        <v>3</v>
      </c>
      <c r="N150" s="234"/>
    </row>
    <row r="151" spans="1:14" ht="16.5" thickBot="1" x14ac:dyDescent="0.25">
      <c r="A151" s="168"/>
      <c r="B151" s="169"/>
      <c r="C151" s="170"/>
      <c r="D151" s="171"/>
      <c r="E151" s="172"/>
      <c r="F151" s="169"/>
      <c r="G151" s="6"/>
      <c r="H151" s="6"/>
      <c r="I151" s="6"/>
      <c r="J151" s="19"/>
      <c r="K151" s="18" t="s">
        <v>109</v>
      </c>
      <c r="L151" s="6" t="s">
        <v>7</v>
      </c>
      <c r="N151" s="234"/>
    </row>
    <row r="152" spans="1:14" hidden="1" x14ac:dyDescent="0.2">
      <c r="A152" s="147" t="s">
        <v>90</v>
      </c>
      <c r="B152" s="147" t="s">
        <v>86</v>
      </c>
      <c r="C152" s="147"/>
      <c r="D152" s="147" t="s">
        <v>87</v>
      </c>
      <c r="E152" s="147"/>
      <c r="F152" s="147"/>
      <c r="G152" s="238">
        <f>F113</f>
        <v>23.475000000000001</v>
      </c>
      <c r="J152" s="234"/>
      <c r="N152" s="234"/>
    </row>
    <row r="153" spans="1:14" hidden="1" x14ac:dyDescent="0.2">
      <c r="A153" s="147"/>
      <c r="B153" s="147" t="s">
        <v>267</v>
      </c>
      <c r="C153" s="156">
        <f>G152*430</f>
        <v>10094.25</v>
      </c>
      <c r="D153" s="147" t="s">
        <v>70</v>
      </c>
      <c r="E153" s="147" t="s">
        <v>274</v>
      </c>
      <c r="F153" s="147"/>
      <c r="J153" s="234"/>
      <c r="K153" s="234">
        <v>3.2</v>
      </c>
      <c r="L153" s="13">
        <f>C153*K153/1000</f>
        <v>32.301600000000001</v>
      </c>
      <c r="N153" s="234"/>
    </row>
    <row r="154" spans="1:14" hidden="1" x14ac:dyDescent="0.2">
      <c r="A154" s="147"/>
      <c r="B154" s="147" t="s">
        <v>271</v>
      </c>
      <c r="C154" s="156">
        <f>G152*50</f>
        <v>1173.75</v>
      </c>
      <c r="D154" s="147"/>
      <c r="E154" s="147" t="s">
        <v>273</v>
      </c>
      <c r="F154" s="147"/>
      <c r="J154" s="234"/>
      <c r="K154" s="234">
        <v>3.2</v>
      </c>
      <c r="L154" s="13">
        <f>C154*K154/1000</f>
        <v>3.7559999999999998</v>
      </c>
      <c r="N154" s="234"/>
    </row>
    <row r="155" spans="1:14" hidden="1" x14ac:dyDescent="0.2">
      <c r="A155" s="147"/>
      <c r="B155" s="147" t="s">
        <v>272</v>
      </c>
      <c r="C155" s="156">
        <f>G152*135</f>
        <v>3169.125</v>
      </c>
      <c r="D155" s="147"/>
      <c r="E155" s="147" t="s">
        <v>275</v>
      </c>
      <c r="F155" s="147"/>
      <c r="J155" s="234"/>
      <c r="K155" s="234">
        <v>3.2</v>
      </c>
      <c r="L155" s="13">
        <f t="shared" ref="L155" si="28">C155*K155/1000</f>
        <v>10.141200000000001</v>
      </c>
      <c r="N155" s="234"/>
    </row>
    <row r="156" spans="1:14" hidden="1" x14ac:dyDescent="0.2">
      <c r="A156" s="147"/>
      <c r="B156" s="147" t="s">
        <v>160</v>
      </c>
      <c r="C156" s="147">
        <f>G152*10*F156</f>
        <v>23475</v>
      </c>
      <c r="D156" s="147" t="s">
        <v>143</v>
      </c>
      <c r="E156" s="147"/>
      <c r="F156" s="147">
        <v>100</v>
      </c>
      <c r="G156" s="234" t="s">
        <v>161</v>
      </c>
      <c r="J156" s="234"/>
      <c r="K156" s="234">
        <v>0.501</v>
      </c>
      <c r="L156" s="13">
        <f>C156*K156/1000</f>
        <v>11.760975</v>
      </c>
      <c r="N156" s="234"/>
    </row>
    <row r="157" spans="1:14" ht="15" hidden="1" thickBot="1" x14ac:dyDescent="0.25">
      <c r="A157" s="39"/>
      <c r="C157" s="39"/>
      <c r="D157" s="39"/>
      <c r="E157" s="39"/>
      <c r="J157" s="234"/>
      <c r="L157" s="36">
        <f>SUM(L153:L156)</f>
        <v>57.959775000000008</v>
      </c>
      <c r="N157" s="234"/>
    </row>
    <row r="158" spans="1:14" hidden="1" x14ac:dyDescent="0.2">
      <c r="A158" s="39"/>
      <c r="B158" s="39"/>
      <c r="C158" s="39"/>
      <c r="D158" s="39"/>
      <c r="E158" s="39"/>
      <c r="J158" s="234"/>
      <c r="L158" s="13"/>
      <c r="N158" s="234"/>
    </row>
    <row r="159" spans="1:14" hidden="1" x14ac:dyDescent="0.2">
      <c r="A159" s="39" t="s">
        <v>91</v>
      </c>
      <c r="B159" s="39" t="s">
        <v>86</v>
      </c>
      <c r="C159" s="39">
        <v>0</v>
      </c>
      <c r="D159" s="39" t="s">
        <v>87</v>
      </c>
      <c r="E159" s="39"/>
      <c r="G159" s="238">
        <f>ROUNDUP(C13/(10*90),0)</f>
        <v>0</v>
      </c>
      <c r="J159" s="234"/>
      <c r="N159" s="234"/>
    </row>
    <row r="160" spans="1:14" hidden="1" x14ac:dyDescent="0.2">
      <c r="A160" s="39"/>
      <c r="B160" s="39" t="s">
        <v>85</v>
      </c>
      <c r="C160" s="50">
        <v>0</v>
      </c>
      <c r="D160" s="39" t="s">
        <v>70</v>
      </c>
      <c r="E160" s="39"/>
      <c r="J160" s="234"/>
      <c r="K160" s="234">
        <v>3.25</v>
      </c>
      <c r="L160" s="13">
        <f>C160*K160/1000</f>
        <v>0</v>
      </c>
      <c r="N160" s="234"/>
    </row>
    <row r="161" spans="1:17" hidden="1" x14ac:dyDescent="0.2">
      <c r="A161" s="39"/>
      <c r="B161" s="39"/>
      <c r="C161" s="50">
        <v>0</v>
      </c>
      <c r="D161" s="39"/>
      <c r="E161" s="39" t="s">
        <v>123</v>
      </c>
      <c r="H161" s="234">
        <v>150</v>
      </c>
      <c r="J161" s="234">
        <f>0.18*150*(G159*10)</f>
        <v>0</v>
      </c>
      <c r="K161" s="234">
        <v>0.501</v>
      </c>
      <c r="L161" s="13">
        <f>C161*K161/1000</f>
        <v>0</v>
      </c>
      <c r="N161" s="234"/>
    </row>
    <row r="162" spans="1:17" ht="15" hidden="1" thickBot="1" x14ac:dyDescent="0.25">
      <c r="A162" s="39"/>
      <c r="B162" s="39"/>
      <c r="C162" s="50"/>
      <c r="D162" s="39"/>
      <c r="E162" s="39"/>
      <c r="J162" s="234"/>
      <c r="L162" s="36">
        <f>L160+L161</f>
        <v>0</v>
      </c>
      <c r="N162" s="234"/>
    </row>
    <row r="163" spans="1:17" hidden="1" x14ac:dyDescent="0.2">
      <c r="A163" s="39"/>
      <c r="B163" s="39"/>
      <c r="C163" s="39"/>
      <c r="D163" s="39"/>
      <c r="E163" s="39"/>
      <c r="J163" s="234"/>
      <c r="N163" s="234"/>
    </row>
    <row r="164" spans="1:17" x14ac:dyDescent="0.2">
      <c r="A164" s="147" t="s">
        <v>92</v>
      </c>
      <c r="B164" s="147" t="s">
        <v>86</v>
      </c>
      <c r="C164" s="147"/>
      <c r="D164" s="147" t="s">
        <v>87</v>
      </c>
      <c r="E164" s="147"/>
      <c r="F164" s="147"/>
      <c r="G164" s="156">
        <f>F128</f>
        <v>13.72</v>
      </c>
      <c r="J164" s="234"/>
      <c r="N164" s="234"/>
    </row>
    <row r="165" spans="1:17" x14ac:dyDescent="0.2">
      <c r="A165" s="147"/>
      <c r="B165" s="147" t="s">
        <v>339</v>
      </c>
      <c r="C165" s="156">
        <f>F165*G164</f>
        <v>10290</v>
      </c>
      <c r="D165" s="147" t="s">
        <v>70</v>
      </c>
      <c r="E165" s="147" t="s">
        <v>268</v>
      </c>
      <c r="F165" s="156">
        <f>'MIP550-Dichtwand'!B13</f>
        <v>750</v>
      </c>
      <c r="J165" s="234"/>
      <c r="K165" s="234">
        <v>3.2</v>
      </c>
      <c r="L165" s="13">
        <f>C165*K165/1000</f>
        <v>32.927999999999997</v>
      </c>
      <c r="N165" s="234"/>
    </row>
    <row r="166" spans="1:17" x14ac:dyDescent="0.2">
      <c r="A166" s="147"/>
      <c r="B166" s="147"/>
      <c r="C166" s="156"/>
      <c r="D166" s="147"/>
      <c r="E166" s="147" t="s">
        <v>269</v>
      </c>
      <c r="F166" s="147"/>
      <c r="G166" s="147"/>
      <c r="J166" s="234"/>
      <c r="K166" s="234">
        <v>3.2</v>
      </c>
      <c r="L166" s="13"/>
      <c r="N166" s="234"/>
    </row>
    <row r="167" spans="1:17" x14ac:dyDescent="0.2">
      <c r="A167" s="147"/>
      <c r="B167" s="147"/>
      <c r="C167" s="156"/>
      <c r="D167" s="147"/>
      <c r="E167" s="147" t="s">
        <v>275</v>
      </c>
      <c r="F167" s="147"/>
      <c r="G167" s="147"/>
      <c r="J167" s="234"/>
      <c r="K167" s="234">
        <v>3.2</v>
      </c>
      <c r="L167" s="13"/>
      <c r="N167" s="234"/>
    </row>
    <row r="168" spans="1:17" ht="15" thickBot="1" x14ac:dyDescent="0.25">
      <c r="A168" s="147"/>
      <c r="B168" s="147" t="s">
        <v>160</v>
      </c>
      <c r="C168" s="156">
        <f>G164*10*F168</f>
        <v>10976.000000000002</v>
      </c>
      <c r="D168" s="147" t="s">
        <v>143</v>
      </c>
      <c r="E168" s="147"/>
      <c r="F168" s="156">
        <f>'MIP550-Dichtwand'!B15</f>
        <v>80</v>
      </c>
      <c r="G168" s="147" t="s">
        <v>161</v>
      </c>
      <c r="J168" s="234"/>
      <c r="K168" s="234">
        <v>0.501</v>
      </c>
      <c r="L168" s="13">
        <f>C168*K168/1000</f>
        <v>5.4989760000000008</v>
      </c>
      <c r="N168" s="234"/>
    </row>
    <row r="169" spans="1:17" ht="15" thickBot="1" x14ac:dyDescent="0.25">
      <c r="A169" s="39"/>
      <c r="B169" s="39"/>
      <c r="D169" s="39"/>
      <c r="E169" s="39"/>
      <c r="J169" s="234"/>
      <c r="L169" s="36">
        <f>SUM(L165:L168)</f>
        <v>38.426975999999996</v>
      </c>
      <c r="N169" s="234"/>
      <c r="Q169" s="234" t="s">
        <v>186</v>
      </c>
    </row>
    <row r="170" spans="1:17" x14ac:dyDescent="0.2">
      <c r="A170" s="39"/>
      <c r="B170" s="39"/>
      <c r="C170" s="39"/>
      <c r="D170" s="39"/>
      <c r="E170" s="39"/>
      <c r="J170" s="234"/>
      <c r="L170" s="13"/>
      <c r="N170" s="234"/>
    </row>
    <row r="171" spans="1:17" hidden="1" x14ac:dyDescent="0.2">
      <c r="A171" s="39"/>
      <c r="B171" s="39"/>
      <c r="C171" s="39"/>
      <c r="D171" s="39"/>
      <c r="E171" s="39"/>
      <c r="J171" s="234"/>
      <c r="L171" s="13"/>
      <c r="N171" s="234"/>
    </row>
    <row r="172" spans="1:17" hidden="1" x14ac:dyDescent="0.2">
      <c r="A172" s="39" t="s">
        <v>93</v>
      </c>
      <c r="B172" s="39" t="s">
        <v>86</v>
      </c>
      <c r="C172" s="50">
        <v>0</v>
      </c>
      <c r="D172" s="39" t="s">
        <v>87</v>
      </c>
      <c r="E172" s="39" t="s">
        <v>96</v>
      </c>
      <c r="F172" s="30">
        <f>2/3</f>
        <v>0.66666666666666663</v>
      </c>
      <c r="G172" s="238">
        <f>ROUNDUP($C$172/40,0)</f>
        <v>0</v>
      </c>
      <c r="J172" s="234"/>
      <c r="N172" s="234"/>
    </row>
    <row r="173" spans="1:17" hidden="1" x14ac:dyDescent="0.2">
      <c r="A173" s="39"/>
      <c r="B173" s="39" t="s">
        <v>85</v>
      </c>
      <c r="C173" s="50">
        <v>0</v>
      </c>
      <c r="D173" s="39" t="s">
        <v>70</v>
      </c>
      <c r="E173" s="39"/>
      <c r="J173" s="234"/>
      <c r="K173" s="234">
        <v>3.25</v>
      </c>
      <c r="L173" s="13">
        <f>C173*K173/1000</f>
        <v>0</v>
      </c>
      <c r="N173" s="234"/>
    </row>
    <row r="174" spans="1:17" hidden="1" x14ac:dyDescent="0.2">
      <c r="A174" s="39"/>
      <c r="B174" s="39"/>
      <c r="C174" s="39">
        <v>0</v>
      </c>
      <c r="D174" s="39" t="s">
        <v>143</v>
      </c>
      <c r="E174" s="39" t="s">
        <v>98</v>
      </c>
      <c r="F174" s="234">
        <v>47</v>
      </c>
      <c r="G174" s="234" t="s">
        <v>185</v>
      </c>
      <c r="H174" s="234">
        <v>500</v>
      </c>
      <c r="I174" s="31">
        <v>0.2</v>
      </c>
      <c r="J174" s="238">
        <f>0.18*H174*I174*10*$G$172</f>
        <v>0</v>
      </c>
      <c r="K174" s="234">
        <v>0.501</v>
      </c>
      <c r="L174" s="13">
        <f>C174*K174/1000</f>
        <v>0</v>
      </c>
      <c r="N174" s="234"/>
    </row>
    <row r="175" spans="1:17" ht="15" hidden="1" thickBot="1" x14ac:dyDescent="0.25">
      <c r="A175" s="39"/>
      <c r="B175" s="39"/>
      <c r="C175" s="39"/>
      <c r="D175" s="39"/>
      <c r="E175" s="40" t="s">
        <v>89</v>
      </c>
      <c r="H175" s="234">
        <v>100</v>
      </c>
      <c r="I175" s="31">
        <v>0.7</v>
      </c>
      <c r="J175" s="238">
        <f>0.18*H175*I175*10*$G$172</f>
        <v>0</v>
      </c>
      <c r="L175" s="36">
        <f>L173+L174</f>
        <v>0</v>
      </c>
      <c r="N175" s="234"/>
    </row>
    <row r="176" spans="1:17" hidden="1" x14ac:dyDescent="0.2">
      <c r="A176" s="39"/>
      <c r="B176" s="39"/>
      <c r="C176" s="39"/>
      <c r="D176" s="39"/>
      <c r="E176" s="40"/>
      <c r="J176" s="234"/>
      <c r="N176" s="234"/>
    </row>
    <row r="177" spans="1:14" hidden="1" x14ac:dyDescent="0.2">
      <c r="A177" s="39" t="s">
        <v>94</v>
      </c>
      <c r="B177" s="39" t="s">
        <v>86</v>
      </c>
      <c r="C177" s="39">
        <v>0</v>
      </c>
      <c r="D177" s="39" t="s">
        <v>87</v>
      </c>
      <c r="E177" s="39"/>
      <c r="G177" s="238">
        <f>ROUNDUP($C$177/40,0)</f>
        <v>0</v>
      </c>
      <c r="J177" s="234"/>
      <c r="N177" s="234"/>
    </row>
    <row r="178" spans="1:14" hidden="1" x14ac:dyDescent="0.2">
      <c r="A178" s="39"/>
      <c r="B178" s="39" t="s">
        <v>85</v>
      </c>
      <c r="C178" s="39">
        <v>0</v>
      </c>
      <c r="D178" s="39" t="s">
        <v>70</v>
      </c>
      <c r="E178" s="39"/>
      <c r="J178" s="234"/>
      <c r="K178" s="234">
        <v>3.25</v>
      </c>
      <c r="L178" s="13">
        <f>C178*K178/1000</f>
        <v>0</v>
      </c>
      <c r="N178" s="234"/>
    </row>
    <row r="179" spans="1:14" hidden="1" x14ac:dyDescent="0.2">
      <c r="A179" s="39"/>
      <c r="B179" s="39"/>
      <c r="C179" s="39">
        <v>0</v>
      </c>
      <c r="D179" s="39" t="s">
        <v>143</v>
      </c>
      <c r="E179" s="39"/>
      <c r="J179" s="234"/>
      <c r="K179" s="234">
        <v>0.501</v>
      </c>
      <c r="L179" s="13">
        <f>C179*K179/1000</f>
        <v>0</v>
      </c>
      <c r="N179" s="234"/>
    </row>
    <row r="180" spans="1:14" ht="15" hidden="1" thickBot="1" x14ac:dyDescent="0.25">
      <c r="A180" s="39"/>
      <c r="B180" s="39"/>
      <c r="C180" s="39"/>
      <c r="D180" s="39"/>
      <c r="E180" s="39"/>
      <c r="J180" s="234"/>
      <c r="L180" s="36">
        <f>L178+L179</f>
        <v>0</v>
      </c>
      <c r="N180" s="234"/>
    </row>
    <row r="181" spans="1:14" x14ac:dyDescent="0.2">
      <c r="A181" s="39"/>
      <c r="B181" s="39"/>
      <c r="C181" s="39"/>
      <c r="D181" s="39"/>
      <c r="E181" s="39"/>
      <c r="J181" s="234"/>
      <c r="L181" s="13"/>
      <c r="N181" s="234"/>
    </row>
    <row r="182" spans="1:14" ht="18.75" thickBot="1" x14ac:dyDescent="0.25">
      <c r="A182" s="39"/>
      <c r="B182" s="41"/>
      <c r="C182" s="41"/>
      <c r="D182" s="41"/>
      <c r="E182" s="41"/>
      <c r="F182" s="349" t="s">
        <v>163</v>
      </c>
      <c r="G182" s="349"/>
      <c r="H182" s="349"/>
      <c r="I182" s="349"/>
      <c r="J182" s="350"/>
      <c r="N182" s="234"/>
    </row>
    <row r="183" spans="1:14" ht="33" x14ac:dyDescent="0.2">
      <c r="A183" s="166" t="s">
        <v>33</v>
      </c>
      <c r="B183" s="167"/>
      <c r="C183" s="346" t="s">
        <v>54</v>
      </c>
      <c r="D183" s="347"/>
      <c r="E183" s="167" t="s">
        <v>19</v>
      </c>
      <c r="F183" s="22" t="s">
        <v>164</v>
      </c>
      <c r="G183" s="24" t="s">
        <v>165</v>
      </c>
      <c r="H183" s="24"/>
      <c r="I183" s="2" t="s">
        <v>167</v>
      </c>
      <c r="J183" s="28" t="s">
        <v>166</v>
      </c>
      <c r="K183" s="243" t="s">
        <v>2</v>
      </c>
      <c r="L183" s="2" t="s">
        <v>3</v>
      </c>
      <c r="N183" s="234"/>
    </row>
    <row r="184" spans="1:14" ht="16.5" thickBot="1" x14ac:dyDescent="0.25">
      <c r="A184" s="168"/>
      <c r="B184" s="169"/>
      <c r="C184" s="170"/>
      <c r="D184" s="171"/>
      <c r="E184" s="172"/>
      <c r="F184" s="6" t="s">
        <v>170</v>
      </c>
      <c r="G184" s="23"/>
      <c r="H184" s="6"/>
      <c r="I184" s="6" t="s">
        <v>60</v>
      </c>
      <c r="J184" s="19" t="s">
        <v>60</v>
      </c>
      <c r="K184" s="18" t="s">
        <v>62</v>
      </c>
      <c r="L184" s="6" t="s">
        <v>7</v>
      </c>
      <c r="N184" s="234"/>
    </row>
    <row r="185" spans="1:14" hidden="1" x14ac:dyDescent="0.2">
      <c r="A185" s="234" t="s">
        <v>90</v>
      </c>
      <c r="B185" s="234" t="s">
        <v>84</v>
      </c>
      <c r="C185" s="234">
        <v>200</v>
      </c>
      <c r="D185" s="234" t="s">
        <v>11</v>
      </c>
      <c r="E185" s="234" t="s">
        <v>168</v>
      </c>
      <c r="F185" s="234">
        <v>2</v>
      </c>
      <c r="G185" s="234">
        <v>2</v>
      </c>
      <c r="I185" s="234">
        <v>100</v>
      </c>
      <c r="J185" s="234">
        <f>F185*G185*I185</f>
        <v>400</v>
      </c>
      <c r="K185" s="234">
        <f>2/1000</f>
        <v>2E-3</v>
      </c>
      <c r="L185" s="234">
        <f>J185*K185</f>
        <v>0.8</v>
      </c>
      <c r="N185" s="234"/>
    </row>
    <row r="186" spans="1:14" hidden="1" x14ac:dyDescent="0.2">
      <c r="B186" s="234" t="s">
        <v>159</v>
      </c>
      <c r="C186" s="234">
        <v>60</v>
      </c>
      <c r="D186" s="234" t="s">
        <v>11</v>
      </c>
      <c r="E186" s="234" t="s">
        <v>169</v>
      </c>
      <c r="F186" s="234">
        <v>2</v>
      </c>
      <c r="G186" s="234">
        <v>2</v>
      </c>
      <c r="I186" s="234">
        <v>100</v>
      </c>
      <c r="J186" s="234">
        <f>F186*G186*I186</f>
        <v>400</v>
      </c>
      <c r="K186" s="234">
        <f>2/1000</f>
        <v>2E-3</v>
      </c>
      <c r="L186" s="234">
        <f t="shared" ref="L186:L189" si="29">J186*K186</f>
        <v>0.8</v>
      </c>
      <c r="N186" s="234"/>
    </row>
    <row r="187" spans="1:14" hidden="1" x14ac:dyDescent="0.2">
      <c r="B187" s="234" t="s">
        <v>174</v>
      </c>
      <c r="C187" s="234">
        <v>30</v>
      </c>
      <c r="D187" s="234" t="s">
        <v>11</v>
      </c>
      <c r="E187" s="234" t="s">
        <v>65</v>
      </c>
      <c r="F187" s="234">
        <v>6</v>
      </c>
      <c r="G187" s="234">
        <v>4</v>
      </c>
      <c r="I187" s="234">
        <v>100</v>
      </c>
      <c r="J187" s="234">
        <f>F187*G187*I187</f>
        <v>2400</v>
      </c>
      <c r="K187" s="234">
        <v>1.2199999999999999E-3</v>
      </c>
      <c r="L187" s="234">
        <f t="shared" si="29"/>
        <v>2.9279999999999999</v>
      </c>
      <c r="N187" s="234"/>
    </row>
    <row r="188" spans="1:14" hidden="1" x14ac:dyDescent="0.2">
      <c r="B188" s="234" t="s">
        <v>118</v>
      </c>
      <c r="C188" s="234">
        <v>20</v>
      </c>
      <c r="D188" s="234" t="s">
        <v>11</v>
      </c>
      <c r="E188" s="234" t="s">
        <v>65</v>
      </c>
      <c r="F188" s="234">
        <v>6</v>
      </c>
      <c r="G188" s="234">
        <v>4</v>
      </c>
      <c r="I188" s="234">
        <v>100</v>
      </c>
      <c r="J188" s="234">
        <f>F188*G188*I188</f>
        <v>2400</v>
      </c>
      <c r="K188" s="234">
        <v>1.2199999999999999E-3</v>
      </c>
      <c r="L188" s="234">
        <f t="shared" si="29"/>
        <v>2.9279999999999999</v>
      </c>
      <c r="N188" s="234"/>
    </row>
    <row r="189" spans="1:14" hidden="1" x14ac:dyDescent="0.2">
      <c r="B189" s="147" t="s">
        <v>195</v>
      </c>
      <c r="C189" s="147">
        <v>18</v>
      </c>
      <c r="D189" s="147" t="s">
        <v>11</v>
      </c>
      <c r="E189" s="147" t="s">
        <v>169</v>
      </c>
      <c r="F189" s="147">
        <v>1</v>
      </c>
      <c r="G189" s="147">
        <v>2</v>
      </c>
      <c r="H189" s="147"/>
      <c r="I189" s="147">
        <v>100</v>
      </c>
      <c r="J189" s="147">
        <f>F189*G189*I189</f>
        <v>200</v>
      </c>
      <c r="K189" s="147">
        <v>1.2199999999999999E-3</v>
      </c>
      <c r="L189" s="147">
        <f t="shared" si="29"/>
        <v>0.24399999999999999</v>
      </c>
      <c r="N189" s="234"/>
    </row>
    <row r="190" spans="1:14" ht="15" hidden="1" thickBot="1" x14ac:dyDescent="0.25">
      <c r="E190" s="234"/>
      <c r="J190" s="234"/>
      <c r="L190" s="200">
        <f>SUM(L185:L189)</f>
        <v>7.7</v>
      </c>
      <c r="N190" s="234"/>
    </row>
    <row r="191" spans="1:14" hidden="1" x14ac:dyDescent="0.2">
      <c r="E191" s="234"/>
      <c r="J191" s="234"/>
      <c r="N191" s="234"/>
    </row>
    <row r="192" spans="1:14" hidden="1" x14ac:dyDescent="0.2">
      <c r="A192" s="39" t="s">
        <v>91</v>
      </c>
      <c r="B192" s="39" t="s">
        <v>171</v>
      </c>
      <c r="C192" s="39">
        <v>45</v>
      </c>
      <c r="D192" s="39" t="s">
        <v>11</v>
      </c>
      <c r="E192" s="39" t="s">
        <v>169</v>
      </c>
      <c r="F192" s="39">
        <v>1</v>
      </c>
      <c r="G192" s="39">
        <v>2</v>
      </c>
      <c r="H192" s="39"/>
      <c r="I192" s="39">
        <v>0</v>
      </c>
      <c r="J192" s="39">
        <f>F192*G192*I192</f>
        <v>0</v>
      </c>
      <c r="K192" s="39">
        <f>2/1000</f>
        <v>2E-3</v>
      </c>
      <c r="L192" s="39">
        <f>J192*K192</f>
        <v>0</v>
      </c>
      <c r="N192" s="234"/>
    </row>
    <row r="193" spans="1:14" hidden="1" x14ac:dyDescent="0.2">
      <c r="A193" s="39"/>
      <c r="B193" s="39" t="s">
        <v>172</v>
      </c>
      <c r="C193" s="39">
        <v>43</v>
      </c>
      <c r="D193" s="39" t="s">
        <v>11</v>
      </c>
      <c r="E193" s="39" t="s">
        <v>169</v>
      </c>
      <c r="F193" s="39">
        <v>1</v>
      </c>
      <c r="G193" s="39">
        <v>2</v>
      </c>
      <c r="H193" s="39"/>
      <c r="I193" s="39">
        <v>0</v>
      </c>
      <c r="J193" s="39">
        <f>F193*G193*I193</f>
        <v>0</v>
      </c>
      <c r="K193" s="39">
        <f>2/1000</f>
        <v>2E-3</v>
      </c>
      <c r="L193" s="39">
        <f t="shared" ref="L193" si="30">J193*K193</f>
        <v>0</v>
      </c>
      <c r="N193" s="234"/>
    </row>
    <row r="194" spans="1:14" hidden="1" x14ac:dyDescent="0.2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>
        <f>SUM(L192:L193)</f>
        <v>0</v>
      </c>
      <c r="N194" s="234"/>
    </row>
    <row r="195" spans="1:14" hidden="1" x14ac:dyDescent="0.2">
      <c r="E195" s="234"/>
      <c r="J195" s="234"/>
      <c r="N195" s="234"/>
    </row>
    <row r="196" spans="1:14" x14ac:dyDescent="0.2">
      <c r="E196" s="234"/>
      <c r="J196" s="234"/>
      <c r="N196" s="234"/>
    </row>
    <row r="197" spans="1:14" x14ac:dyDescent="0.2">
      <c r="A197" s="234" t="s">
        <v>92</v>
      </c>
      <c r="B197" s="234" t="s">
        <v>173</v>
      </c>
      <c r="C197" s="234">
        <v>140</v>
      </c>
      <c r="D197" s="234" t="s">
        <v>11</v>
      </c>
      <c r="E197" s="234" t="s">
        <v>168</v>
      </c>
      <c r="F197" s="234">
        <v>1</v>
      </c>
      <c r="G197" s="234">
        <v>2</v>
      </c>
      <c r="I197" s="238">
        <f>'MIP550-Dichtwand'!B17</f>
        <v>250</v>
      </c>
      <c r="J197" s="234">
        <f t="shared" ref="J197:J202" si="31">F197*G197*I197</f>
        <v>500</v>
      </c>
      <c r="K197" s="234">
        <f>2/1000</f>
        <v>2E-3</v>
      </c>
      <c r="L197" s="234">
        <f t="shared" ref="L197:L202" si="32">J197*K197</f>
        <v>1</v>
      </c>
      <c r="N197" s="234"/>
    </row>
    <row r="198" spans="1:14" x14ac:dyDescent="0.2">
      <c r="B198" s="234" t="s">
        <v>119</v>
      </c>
      <c r="C198" s="234">
        <v>20</v>
      </c>
      <c r="D198" s="234" t="s">
        <v>11</v>
      </c>
      <c r="E198" s="234" t="s">
        <v>65</v>
      </c>
      <c r="F198" s="234">
        <v>2</v>
      </c>
      <c r="G198" s="234">
        <v>4</v>
      </c>
      <c r="I198" s="238">
        <f>I197</f>
        <v>250</v>
      </c>
      <c r="J198" s="234">
        <f t="shared" si="31"/>
        <v>2000</v>
      </c>
      <c r="K198" s="250">
        <v>9.7999999999999997E-4</v>
      </c>
      <c r="L198" s="234">
        <f t="shared" si="32"/>
        <v>1.96</v>
      </c>
      <c r="N198" s="234"/>
    </row>
    <row r="199" spans="1:14" x14ac:dyDescent="0.2">
      <c r="B199" s="234" t="s">
        <v>174</v>
      </c>
      <c r="C199" s="234">
        <v>30</v>
      </c>
      <c r="D199" s="234" t="s">
        <v>11</v>
      </c>
      <c r="E199" s="234" t="s">
        <v>65</v>
      </c>
      <c r="F199" s="234">
        <v>2</v>
      </c>
      <c r="G199" s="234">
        <v>4</v>
      </c>
      <c r="I199" s="238">
        <f>I197</f>
        <v>250</v>
      </c>
      <c r="J199" s="234">
        <f t="shared" si="31"/>
        <v>2000</v>
      </c>
      <c r="K199" s="250">
        <v>9.7999999999999997E-4</v>
      </c>
      <c r="L199" s="234">
        <f t="shared" si="32"/>
        <v>1.96</v>
      </c>
      <c r="N199" s="234"/>
    </row>
    <row r="200" spans="1:14" x14ac:dyDescent="0.2">
      <c r="C200" s="234">
        <v>0</v>
      </c>
      <c r="D200" s="234" t="s">
        <v>11</v>
      </c>
      <c r="E200" s="234" t="s">
        <v>169</v>
      </c>
      <c r="F200" s="234">
        <v>0</v>
      </c>
      <c r="G200" s="234">
        <v>0</v>
      </c>
      <c r="I200" s="238">
        <f>I197</f>
        <v>250</v>
      </c>
      <c r="J200" s="234">
        <f t="shared" si="31"/>
        <v>0</v>
      </c>
      <c r="K200" s="250">
        <v>9.7999999999999997E-4</v>
      </c>
      <c r="L200" s="234">
        <f t="shared" si="32"/>
        <v>0</v>
      </c>
      <c r="N200" s="234"/>
    </row>
    <row r="201" spans="1:14" x14ac:dyDescent="0.2">
      <c r="D201" s="234" t="s">
        <v>11</v>
      </c>
      <c r="E201" s="234" t="s">
        <v>169</v>
      </c>
      <c r="F201" s="234">
        <v>0</v>
      </c>
      <c r="G201" s="234">
        <v>2</v>
      </c>
      <c r="I201" s="238">
        <f>I197</f>
        <v>250</v>
      </c>
      <c r="J201" s="234">
        <f t="shared" si="31"/>
        <v>0</v>
      </c>
      <c r="K201" s="234">
        <v>1.2199999999999999E-3</v>
      </c>
      <c r="L201" s="234">
        <f t="shared" si="32"/>
        <v>0</v>
      </c>
      <c r="N201" s="234"/>
    </row>
    <row r="202" spans="1:14" ht="15" thickBot="1" x14ac:dyDescent="0.25">
      <c r="C202" s="234">
        <v>0</v>
      </c>
      <c r="D202" s="234" t="s">
        <v>11</v>
      </c>
      <c r="E202" s="234" t="s">
        <v>169</v>
      </c>
      <c r="F202" s="234">
        <v>0</v>
      </c>
      <c r="G202" s="234">
        <v>2</v>
      </c>
      <c r="I202" s="238">
        <f>I197</f>
        <v>250</v>
      </c>
      <c r="J202" s="234">
        <f t="shared" si="31"/>
        <v>0</v>
      </c>
      <c r="K202" s="250">
        <v>9.7999999999999997E-4</v>
      </c>
      <c r="L202" s="234">
        <f t="shared" si="32"/>
        <v>0</v>
      </c>
      <c r="N202" s="234"/>
    </row>
    <row r="203" spans="1:14" ht="15" thickBot="1" x14ac:dyDescent="0.25">
      <c r="E203" s="234"/>
      <c r="J203" s="234"/>
      <c r="L203" s="202">
        <f>SUM(L197:L202)</f>
        <v>4.92</v>
      </c>
      <c r="N203" s="234"/>
    </row>
    <row r="204" spans="1:14" hidden="1" x14ac:dyDescent="0.2">
      <c r="E204" s="234"/>
      <c r="J204" s="234"/>
      <c r="N204" s="234"/>
    </row>
    <row r="205" spans="1:14" hidden="1" x14ac:dyDescent="0.2">
      <c r="A205" s="39" t="s">
        <v>93</v>
      </c>
      <c r="B205" s="39" t="s">
        <v>175</v>
      </c>
      <c r="C205" s="39">
        <v>40</v>
      </c>
      <c r="D205" s="39" t="s">
        <v>11</v>
      </c>
      <c r="E205" s="39" t="s">
        <v>169</v>
      </c>
      <c r="F205" s="39">
        <v>1</v>
      </c>
      <c r="G205" s="39">
        <v>2</v>
      </c>
      <c r="H205" s="39"/>
      <c r="I205" s="39">
        <v>0</v>
      </c>
      <c r="J205" s="39">
        <f>F205*G205*I205</f>
        <v>0</v>
      </c>
      <c r="K205" s="39">
        <f>2/1000</f>
        <v>2E-3</v>
      </c>
      <c r="L205" s="39">
        <f t="shared" ref="L205:L206" si="33">J205*K205</f>
        <v>0</v>
      </c>
    </row>
    <row r="206" spans="1:14" hidden="1" x14ac:dyDescent="0.2">
      <c r="A206" s="39"/>
      <c r="B206" s="39" t="s">
        <v>176</v>
      </c>
      <c r="C206" s="39">
        <v>15</v>
      </c>
      <c r="D206" s="39" t="s">
        <v>11</v>
      </c>
      <c r="E206" s="39" t="s">
        <v>65</v>
      </c>
      <c r="F206" s="39">
        <v>1</v>
      </c>
      <c r="G206" s="39">
        <v>2</v>
      </c>
      <c r="H206" s="39"/>
      <c r="I206" s="39">
        <v>0</v>
      </c>
      <c r="J206" s="39">
        <f>F206*G206*I206</f>
        <v>0</v>
      </c>
      <c r="K206" s="39">
        <v>1.2199999999999999E-3</v>
      </c>
      <c r="L206" s="39">
        <f t="shared" si="33"/>
        <v>0</v>
      </c>
      <c r="N206" s="236"/>
    </row>
    <row r="207" spans="1:14" hidden="1" x14ac:dyDescent="0.2">
      <c r="A207" s="39"/>
      <c r="B207" s="39"/>
      <c r="C207" s="39"/>
      <c r="D207" s="39"/>
      <c r="E207" s="40"/>
      <c r="F207" s="39"/>
      <c r="G207" s="39"/>
      <c r="H207" s="39"/>
      <c r="I207" s="39"/>
      <c r="J207" s="39"/>
      <c r="K207" s="39"/>
      <c r="L207" s="39">
        <f>SUM(L205:L206)</f>
        <v>0</v>
      </c>
      <c r="N207" s="236"/>
    </row>
    <row r="208" spans="1:14" hidden="1" x14ac:dyDescent="0.2">
      <c r="A208" s="39"/>
      <c r="B208" s="39"/>
      <c r="C208" s="39"/>
      <c r="D208" s="39"/>
      <c r="E208" s="40"/>
      <c r="F208" s="39"/>
      <c r="G208" s="39"/>
      <c r="H208" s="39"/>
      <c r="I208" s="39"/>
      <c r="J208" s="39"/>
      <c r="K208" s="39"/>
      <c r="L208" s="39"/>
      <c r="N208" s="236"/>
    </row>
    <row r="209" spans="1:14" hidden="1" x14ac:dyDescent="0.2">
      <c r="A209" s="39" t="s">
        <v>94</v>
      </c>
      <c r="B209" s="39" t="s">
        <v>120</v>
      </c>
      <c r="C209" s="39">
        <v>69</v>
      </c>
      <c r="D209" s="39" t="s">
        <v>11</v>
      </c>
      <c r="E209" s="39" t="s">
        <v>169</v>
      </c>
      <c r="F209" s="39">
        <v>1</v>
      </c>
      <c r="G209" s="39">
        <v>2</v>
      </c>
      <c r="H209" s="39"/>
      <c r="I209" s="39">
        <v>0</v>
      </c>
      <c r="J209" s="39">
        <f>F209*G209*I209</f>
        <v>0</v>
      </c>
      <c r="K209" s="39">
        <f>2/1000</f>
        <v>2E-3</v>
      </c>
      <c r="L209" s="39">
        <f t="shared" ref="L209" si="34">J209*K209</f>
        <v>0</v>
      </c>
      <c r="N209" s="236"/>
    </row>
    <row r="210" spans="1:14" hidden="1" x14ac:dyDescent="0.2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N210" s="236"/>
    </row>
    <row r="211" spans="1:14" x14ac:dyDescent="0.2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N211" s="236"/>
    </row>
    <row r="212" spans="1:14" x14ac:dyDescent="0.2">
      <c r="E212" s="234"/>
      <c r="J212" s="234"/>
      <c r="N212" s="236"/>
    </row>
    <row r="213" spans="1:14" ht="18.75" thickBot="1" x14ac:dyDescent="0.25">
      <c r="A213" s="39"/>
      <c r="B213" s="41"/>
      <c r="C213" s="41"/>
      <c r="D213" s="41"/>
      <c r="E213" s="41"/>
      <c r="F213" s="349" t="s">
        <v>177</v>
      </c>
      <c r="G213" s="349"/>
      <c r="H213" s="349"/>
      <c r="I213" s="349"/>
      <c r="J213" s="350"/>
      <c r="N213" s="236"/>
    </row>
    <row r="214" spans="1:14" ht="33" x14ac:dyDescent="0.2">
      <c r="A214" s="166" t="s">
        <v>33</v>
      </c>
      <c r="B214" s="167"/>
      <c r="C214" s="346"/>
      <c r="D214" s="347"/>
      <c r="E214" s="167" t="s">
        <v>19</v>
      </c>
      <c r="F214" s="22" t="s">
        <v>178</v>
      </c>
      <c r="G214" s="24" t="s">
        <v>179</v>
      </c>
      <c r="H214" s="24" t="s">
        <v>180</v>
      </c>
      <c r="I214" s="2" t="s">
        <v>167</v>
      </c>
      <c r="J214" s="28" t="s">
        <v>166</v>
      </c>
      <c r="K214" s="243" t="s">
        <v>2</v>
      </c>
      <c r="L214" s="2" t="s">
        <v>3</v>
      </c>
      <c r="N214" s="236"/>
    </row>
    <row r="215" spans="1:14" ht="16.5" thickBot="1" x14ac:dyDescent="0.25">
      <c r="A215" s="44"/>
      <c r="B215" s="45"/>
      <c r="C215" s="46"/>
      <c r="D215" s="47"/>
      <c r="E215" s="48"/>
      <c r="F215" s="6"/>
      <c r="G215" s="23"/>
      <c r="H215" s="6"/>
      <c r="I215" s="6" t="s">
        <v>60</v>
      </c>
      <c r="J215" s="19" t="s">
        <v>60</v>
      </c>
      <c r="K215" s="18" t="s">
        <v>62</v>
      </c>
      <c r="L215" s="6" t="s">
        <v>7</v>
      </c>
      <c r="N215" s="236"/>
    </row>
    <row r="216" spans="1:14" ht="15" hidden="1" thickBot="1" x14ac:dyDescent="0.25">
      <c r="A216" s="234" t="s">
        <v>90</v>
      </c>
      <c r="B216" s="147" t="s">
        <v>197</v>
      </c>
      <c r="E216" s="234"/>
      <c r="F216" s="238">
        <f>G152</f>
        <v>23.475000000000001</v>
      </c>
      <c r="G216" s="234">
        <v>4</v>
      </c>
      <c r="H216" s="234">
        <v>1</v>
      </c>
      <c r="I216" s="234">
        <v>50</v>
      </c>
      <c r="J216" s="234">
        <f>2*I216*F216*G216/H216</f>
        <v>9390</v>
      </c>
      <c r="K216" s="234">
        <f>0.22/1000</f>
        <v>2.2000000000000001E-4</v>
      </c>
      <c r="L216" s="201">
        <f>K216*J216</f>
        <v>2.0657999999999999</v>
      </c>
      <c r="N216" s="236"/>
    </row>
    <row r="217" spans="1:14" hidden="1" x14ac:dyDescent="0.2">
      <c r="B217" s="147"/>
      <c r="E217" s="234"/>
      <c r="J217" s="234"/>
      <c r="N217" s="236"/>
    </row>
    <row r="218" spans="1:14" hidden="1" x14ac:dyDescent="0.2">
      <c r="B218" s="147"/>
      <c r="E218" s="234"/>
      <c r="J218" s="234"/>
      <c r="N218" s="236"/>
    </row>
    <row r="219" spans="1:14" hidden="1" x14ac:dyDescent="0.2">
      <c r="A219" s="39" t="s">
        <v>91</v>
      </c>
      <c r="B219" s="147" t="s">
        <v>197</v>
      </c>
      <c r="C219" s="39"/>
      <c r="D219" s="39"/>
      <c r="E219" s="39"/>
      <c r="F219" s="50">
        <f>G159</f>
        <v>0</v>
      </c>
      <c r="G219" s="39">
        <v>4</v>
      </c>
      <c r="H219" s="39">
        <v>1</v>
      </c>
      <c r="I219" s="39">
        <v>0</v>
      </c>
      <c r="J219" s="39">
        <f>2*I219*F219*G219/H219</f>
        <v>0</v>
      </c>
      <c r="K219" s="39">
        <f>0.22/1000</f>
        <v>2.2000000000000001E-4</v>
      </c>
      <c r="L219" s="39">
        <f>K219*J219</f>
        <v>0</v>
      </c>
      <c r="N219" s="236"/>
    </row>
    <row r="220" spans="1:14" hidden="1" x14ac:dyDescent="0.2">
      <c r="B220" s="147"/>
      <c r="E220" s="234"/>
      <c r="J220" s="234"/>
      <c r="N220" s="236"/>
    </row>
    <row r="221" spans="1:14" ht="15" thickBot="1" x14ac:dyDescent="0.25">
      <c r="B221" s="147"/>
      <c r="E221" s="234"/>
      <c r="J221" s="234"/>
      <c r="N221" s="236"/>
    </row>
    <row r="222" spans="1:14" ht="15" thickBot="1" x14ac:dyDescent="0.25">
      <c r="A222" s="234" t="s">
        <v>92</v>
      </c>
      <c r="B222" s="147" t="s">
        <v>197</v>
      </c>
      <c r="D222" s="39"/>
      <c r="E222" s="234"/>
      <c r="F222" s="238">
        <f>G164</f>
        <v>13.72</v>
      </c>
      <c r="G222" s="234">
        <v>4</v>
      </c>
      <c r="H222" s="234">
        <v>1</v>
      </c>
      <c r="I222" s="234">
        <v>50</v>
      </c>
      <c r="J222" s="234">
        <f>2*I222*F222*G222/H222</f>
        <v>5488</v>
      </c>
      <c r="K222" s="250">
        <v>2.1000000000000001E-4</v>
      </c>
      <c r="L222" s="203">
        <f>K222*J222</f>
        <v>1.1524799999999999</v>
      </c>
      <c r="N222" s="236"/>
    </row>
    <row r="223" spans="1:14" x14ac:dyDescent="0.2">
      <c r="B223" s="147"/>
      <c r="D223" s="39"/>
      <c r="E223" s="234"/>
      <c r="J223" s="234"/>
      <c r="N223" s="236"/>
    </row>
    <row r="224" spans="1:14" hidden="1" x14ac:dyDescent="0.2">
      <c r="D224" s="39"/>
      <c r="E224" s="234"/>
      <c r="J224" s="234"/>
      <c r="N224" s="236"/>
    </row>
    <row r="225" spans="1:14" hidden="1" x14ac:dyDescent="0.2">
      <c r="A225" s="39" t="s">
        <v>93</v>
      </c>
      <c r="B225" s="39" t="s">
        <v>197</v>
      </c>
      <c r="C225" s="39"/>
      <c r="D225" s="39"/>
      <c r="E225" s="39"/>
      <c r="F225" s="50">
        <f>G172</f>
        <v>0</v>
      </c>
      <c r="G225" s="39">
        <v>4</v>
      </c>
      <c r="H225" s="39">
        <v>1</v>
      </c>
      <c r="I225" s="39">
        <v>0</v>
      </c>
      <c r="J225" s="50">
        <f>2*I225*F225*G225/H225</f>
        <v>0</v>
      </c>
      <c r="K225" s="39">
        <f>0.22/1000</f>
        <v>2.2000000000000001E-4</v>
      </c>
      <c r="L225" s="39">
        <f>K225*J225</f>
        <v>0</v>
      </c>
      <c r="N225" s="236"/>
    </row>
    <row r="226" spans="1:14" hidden="1" x14ac:dyDescent="0.2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N226" s="236"/>
    </row>
    <row r="227" spans="1:14" hidden="1" x14ac:dyDescent="0.2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N227" s="236"/>
    </row>
    <row r="228" spans="1:14" hidden="1" x14ac:dyDescent="0.2">
      <c r="A228" s="39" t="s">
        <v>94</v>
      </c>
      <c r="B228" s="39" t="s">
        <v>197</v>
      </c>
      <c r="C228" s="39"/>
      <c r="D228" s="39"/>
      <c r="E228" s="39"/>
      <c r="F228" s="50">
        <f>G177</f>
        <v>0</v>
      </c>
      <c r="G228" s="39">
        <v>4</v>
      </c>
      <c r="H228" s="39">
        <v>1</v>
      </c>
      <c r="I228" s="39">
        <v>0</v>
      </c>
      <c r="J228" s="39">
        <f>2*I228*F228*G228/H228</f>
        <v>0</v>
      </c>
      <c r="K228" s="39">
        <f>0.22/1000</f>
        <v>2.2000000000000001E-4</v>
      </c>
      <c r="L228" s="39">
        <f>K228*J228</f>
        <v>0</v>
      </c>
      <c r="N228" s="236"/>
    </row>
    <row r="229" spans="1:14" x14ac:dyDescent="0.2">
      <c r="A229" s="39"/>
      <c r="B229" s="39"/>
      <c r="C229" s="39"/>
      <c r="D229" s="39"/>
      <c r="E229" s="39"/>
      <c r="F229" s="50"/>
      <c r="G229" s="39"/>
      <c r="H229" s="39"/>
      <c r="I229" s="39"/>
      <c r="J229" s="39"/>
      <c r="K229" s="39"/>
      <c r="L229" s="39"/>
      <c r="N229" s="236"/>
    </row>
    <row r="230" spans="1:14" x14ac:dyDescent="0.2">
      <c r="A230" s="39"/>
      <c r="B230" s="39"/>
      <c r="C230" s="39"/>
      <c r="D230" s="39"/>
      <c r="E230" s="39"/>
      <c r="F230" s="50"/>
      <c r="G230" s="39"/>
      <c r="H230" s="39"/>
      <c r="I230" s="39"/>
      <c r="J230" s="39"/>
      <c r="K230" s="39"/>
      <c r="L230" s="39"/>
      <c r="N230" s="236"/>
    </row>
    <row r="231" spans="1:14" ht="15.75" hidden="1" thickBot="1" x14ac:dyDescent="0.25">
      <c r="B231" s="351" t="s">
        <v>116</v>
      </c>
      <c r="C231" s="351"/>
      <c r="D231" s="351"/>
      <c r="E231" s="351"/>
      <c r="F231" s="351"/>
      <c r="G231" s="351"/>
      <c r="H231" s="351"/>
      <c r="I231" s="351"/>
      <c r="J231" s="234"/>
      <c r="N231" s="234"/>
    </row>
    <row r="232" spans="1:14" ht="28.5" hidden="1" customHeight="1" thickBot="1" x14ac:dyDescent="0.25">
      <c r="B232" s="239" t="s">
        <v>211</v>
      </c>
      <c r="C232" s="340" t="s">
        <v>214</v>
      </c>
      <c r="D232" s="341"/>
      <c r="E232" s="89" t="s">
        <v>212</v>
      </c>
      <c r="F232" s="33" t="s">
        <v>215</v>
      </c>
      <c r="G232" s="33" t="s">
        <v>216</v>
      </c>
      <c r="H232" s="89" t="s">
        <v>213</v>
      </c>
      <c r="I232" s="33" t="s">
        <v>210</v>
      </c>
      <c r="L232" s="33" t="s">
        <v>97</v>
      </c>
      <c r="N232" s="234"/>
    </row>
    <row r="233" spans="1:14" hidden="1" x14ac:dyDescent="0.2">
      <c r="A233" s="234" t="s">
        <v>90</v>
      </c>
      <c r="B233" s="238">
        <f>L10</f>
        <v>801.74895200000026</v>
      </c>
      <c r="C233" s="352">
        <f>L157</f>
        <v>57.959775000000008</v>
      </c>
      <c r="D233" s="352"/>
      <c r="E233" s="90">
        <f>L44+L75+L81</f>
        <v>71.118799999999993</v>
      </c>
      <c r="F233" s="234">
        <f>L190</f>
        <v>7.7</v>
      </c>
      <c r="G233" s="13">
        <f>L216</f>
        <v>2.0657999999999999</v>
      </c>
      <c r="H233" s="94">
        <f>J120</f>
        <v>22.553700150000001</v>
      </c>
      <c r="I233" s="238">
        <f>L94</f>
        <v>28.655999999999999</v>
      </c>
      <c r="J233" s="173">
        <f>E233+B233+I233</f>
        <v>901.52375200000017</v>
      </c>
      <c r="L233" s="234">
        <f>G152</f>
        <v>23.475000000000001</v>
      </c>
      <c r="N233" s="234"/>
    </row>
    <row r="234" spans="1:14" hidden="1" x14ac:dyDescent="0.2">
      <c r="A234" s="234" t="s">
        <v>91</v>
      </c>
      <c r="B234" s="238">
        <f>L17</f>
        <v>0</v>
      </c>
      <c r="C234" s="339">
        <f>L162</f>
        <v>0</v>
      </c>
      <c r="D234" s="339"/>
      <c r="E234" s="90">
        <f>L50+L87</f>
        <v>0</v>
      </c>
      <c r="F234" s="234">
        <f>L194</f>
        <v>0</v>
      </c>
      <c r="G234" s="13">
        <f>L219</f>
        <v>0</v>
      </c>
      <c r="H234" s="95">
        <f>J126</f>
        <v>0</v>
      </c>
      <c r="I234" s="238">
        <v>0</v>
      </c>
      <c r="J234" s="173">
        <f t="shared" ref="J234:J236" si="35">E234+B234</f>
        <v>0</v>
      </c>
      <c r="L234" s="238">
        <f>G159</f>
        <v>0</v>
      </c>
      <c r="N234" s="234"/>
    </row>
    <row r="235" spans="1:14" hidden="1" x14ac:dyDescent="0.2">
      <c r="A235" s="236" t="s">
        <v>92</v>
      </c>
      <c r="B235" s="238">
        <f>L23</f>
        <v>72.688354200000006</v>
      </c>
      <c r="C235" s="339">
        <f>L169</f>
        <v>38.426975999999996</v>
      </c>
      <c r="D235" s="339"/>
      <c r="E235" s="90">
        <f>L57</f>
        <v>2.4356</v>
      </c>
      <c r="F235" s="13">
        <f>L203</f>
        <v>4.92</v>
      </c>
      <c r="G235" s="13">
        <f>L222</f>
        <v>1.1524799999999999</v>
      </c>
      <c r="H235" s="95">
        <f>J135</f>
        <v>6.7081653333333326</v>
      </c>
      <c r="I235" s="238">
        <f>L99</f>
        <v>3.3464</v>
      </c>
      <c r="J235" s="173">
        <f>E235+B235+I235</f>
        <v>78.470354200000003</v>
      </c>
      <c r="L235" s="238">
        <f>G164</f>
        <v>13.72</v>
      </c>
      <c r="N235" s="234"/>
    </row>
    <row r="236" spans="1:14" hidden="1" x14ac:dyDescent="0.2">
      <c r="A236" s="234" t="s">
        <v>93</v>
      </c>
      <c r="B236" s="238">
        <f>L27</f>
        <v>0</v>
      </c>
      <c r="C236" s="339">
        <f>L175</f>
        <v>0</v>
      </c>
      <c r="D236" s="339"/>
      <c r="E236" s="90">
        <f>L62</f>
        <v>0</v>
      </c>
      <c r="F236" s="234">
        <f>L207</f>
        <v>0</v>
      </c>
      <c r="G236" s="13">
        <f>L225</f>
        <v>0</v>
      </c>
      <c r="H236" s="95">
        <f>J141</f>
        <v>0</v>
      </c>
      <c r="I236" s="38">
        <f>L103</f>
        <v>0</v>
      </c>
      <c r="J236" s="173">
        <f t="shared" si="35"/>
        <v>0</v>
      </c>
      <c r="L236" s="238">
        <f>G172</f>
        <v>0</v>
      </c>
      <c r="N236" s="234"/>
    </row>
    <row r="237" spans="1:14" hidden="1" x14ac:dyDescent="0.2">
      <c r="A237" s="234" t="s">
        <v>94</v>
      </c>
      <c r="B237" s="238">
        <f>L33</f>
        <v>0</v>
      </c>
      <c r="C237" s="339">
        <f>L180</f>
        <v>0</v>
      </c>
      <c r="D237" s="339"/>
      <c r="E237" s="90">
        <f>L69</f>
        <v>0</v>
      </c>
      <c r="F237" s="234">
        <f>L209</f>
        <v>0</v>
      </c>
      <c r="G237" s="13">
        <f>L228</f>
        <v>0</v>
      </c>
      <c r="H237" s="95">
        <f>J146</f>
        <v>0</v>
      </c>
      <c r="I237" s="38">
        <f>L107</f>
        <v>0</v>
      </c>
      <c r="L237" s="238">
        <f>G177</f>
        <v>0</v>
      </c>
      <c r="N237" s="234"/>
    </row>
    <row r="238" spans="1:14" ht="15" hidden="1" thickBot="1" x14ac:dyDescent="0.25">
      <c r="C238" s="337"/>
      <c r="D238" s="337"/>
      <c r="E238" s="91"/>
      <c r="H238" s="96"/>
      <c r="I238" s="12"/>
      <c r="L238" s="32"/>
      <c r="N238" s="234"/>
    </row>
    <row r="239" spans="1:14" ht="29.25" hidden="1" customHeight="1" thickBot="1" x14ac:dyDescent="0.25">
      <c r="B239" s="239" t="s">
        <v>211</v>
      </c>
      <c r="C239" s="340" t="s">
        <v>214</v>
      </c>
      <c r="D239" s="341"/>
      <c r="E239" s="89" t="s">
        <v>212</v>
      </c>
      <c r="F239" s="33" t="s">
        <v>215</v>
      </c>
      <c r="G239" s="33" t="s">
        <v>216</v>
      </c>
      <c r="H239" s="89" t="s">
        <v>213</v>
      </c>
      <c r="I239" s="33" t="s">
        <v>210</v>
      </c>
      <c r="L239" s="33" t="s">
        <v>97</v>
      </c>
      <c r="N239" s="234"/>
    </row>
    <row r="240" spans="1:14" hidden="1" x14ac:dyDescent="0.2">
      <c r="A240" s="234" t="s">
        <v>239</v>
      </c>
      <c r="B240" s="238">
        <f>B233+B234</f>
        <v>801.74895200000026</v>
      </c>
      <c r="C240" s="339">
        <f>C233+C234</f>
        <v>57.959775000000008</v>
      </c>
      <c r="D240" s="337"/>
      <c r="E240" s="90">
        <f>E233+E234</f>
        <v>71.118799999999993</v>
      </c>
      <c r="F240" s="238">
        <f>F233+F234</f>
        <v>7.7</v>
      </c>
      <c r="G240" s="238">
        <f>G233+G234</f>
        <v>2.0657999999999999</v>
      </c>
      <c r="H240" s="94">
        <f>H233+H234</f>
        <v>22.553700150000001</v>
      </c>
      <c r="I240" s="238">
        <f>I233+I234</f>
        <v>28.655999999999999</v>
      </c>
      <c r="L240" s="238">
        <f>L233+L234</f>
        <v>23.475000000000001</v>
      </c>
      <c r="M240" s="238">
        <f>SUM(B240:I240)</f>
        <v>991.80302715000028</v>
      </c>
      <c r="N240" s="234"/>
    </row>
    <row r="241" spans="1:14" hidden="1" x14ac:dyDescent="0.2">
      <c r="A241" s="234" t="s">
        <v>240</v>
      </c>
      <c r="B241" s="238">
        <f>B235+B236</f>
        <v>72.688354200000006</v>
      </c>
      <c r="C241" s="342">
        <f>C235+C236</f>
        <v>38.426975999999996</v>
      </c>
      <c r="D241" s="343"/>
      <c r="E241" s="90">
        <f>E235+E236</f>
        <v>2.4356</v>
      </c>
      <c r="F241" s="238">
        <f>F235+F236</f>
        <v>4.92</v>
      </c>
      <c r="G241" s="238">
        <f>G235+G236</f>
        <v>1.1524799999999999</v>
      </c>
      <c r="H241" s="97">
        <f>H235+H236</f>
        <v>6.7081653333333326</v>
      </c>
      <c r="I241" s="238">
        <f>I235+I236</f>
        <v>3.3464</v>
      </c>
      <c r="L241" s="238">
        <f>L235+L236</f>
        <v>13.72</v>
      </c>
      <c r="M241" s="238">
        <f>SUM(B241:I241)</f>
        <v>129.67797553333332</v>
      </c>
      <c r="N241" s="234"/>
    </row>
    <row r="242" spans="1:14" hidden="1" x14ac:dyDescent="0.2">
      <c r="B242" s="238"/>
      <c r="C242" s="342"/>
      <c r="D242" s="343"/>
      <c r="E242" s="90"/>
      <c r="F242" s="238"/>
      <c r="G242" s="238"/>
      <c r="H242" s="97"/>
      <c r="I242" s="238"/>
      <c r="L242" s="238">
        <f>L235+L237</f>
        <v>13.72</v>
      </c>
      <c r="M242" s="238">
        <f>SUM(B242:I242)</f>
        <v>0</v>
      </c>
      <c r="N242" s="234"/>
    </row>
    <row r="243" spans="1:14" hidden="1" x14ac:dyDescent="0.2">
      <c r="C243" s="337"/>
      <c r="D243" s="337"/>
      <c r="E243" s="91"/>
      <c r="H243" s="32"/>
      <c r="I243" s="12"/>
      <c r="L243" s="32"/>
      <c r="N243" s="234"/>
    </row>
    <row r="244" spans="1:14" hidden="1" x14ac:dyDescent="0.2">
      <c r="B244" s="237">
        <f>B240/SUM(B240:H240)</f>
        <v>0.832426337204627</v>
      </c>
      <c r="C244" s="338">
        <f>C240/SUM(B240:H240)</f>
        <v>6.0177494573705789E-2</v>
      </c>
      <c r="D244" s="338"/>
      <c r="E244" s="92">
        <f>E240/SUM(B240:H240)</f>
        <v>7.3840024415009656E-2</v>
      </c>
      <c r="F244" s="64">
        <f>F240/SUM(B240:H240)</f>
        <v>7.9946257247812732E-3</v>
      </c>
      <c r="G244" s="64">
        <f>G240/SUM(B240:H240)</f>
        <v>2.1448438730198899E-3</v>
      </c>
      <c r="H244" s="98">
        <f>H240/SUM(B240:H240)</f>
        <v>2.3416674208856268E-2</v>
      </c>
      <c r="I244" s="64">
        <f>I240/SUM(B240:H240)</f>
        <v>2.975246685316002E-2</v>
      </c>
      <c r="N244" s="234"/>
    </row>
    <row r="245" spans="1:14" hidden="1" x14ac:dyDescent="0.2">
      <c r="B245" s="237">
        <f>B241/SUM(B241:H241)</f>
        <v>0.57537756410566387</v>
      </c>
      <c r="C245" s="338">
        <f>C241/SUM(B241:H241)</f>
        <v>0.30417554627790433</v>
      </c>
      <c r="D245" s="338"/>
      <c r="E245" s="92">
        <f>E241/SUM(B241:H241)</f>
        <v>1.9279423926422519E-2</v>
      </c>
      <c r="F245" s="64">
        <f>F241/SUM(B241:H241)</f>
        <v>3.894513291098653E-2</v>
      </c>
      <c r="G245" s="64">
        <f>G241/SUM(B241:H241)</f>
        <v>9.1226599140759659E-3</v>
      </c>
      <c r="H245" s="98">
        <f>H241/SUM(B241:H241)</f>
        <v>5.3099672864946927E-2</v>
      </c>
      <c r="I245" s="64">
        <f>I241/SUM(B241:H241)</f>
        <v>2.6489022921407587E-2</v>
      </c>
      <c r="N245" s="234"/>
    </row>
    <row r="246" spans="1:14" hidden="1" x14ac:dyDescent="0.2">
      <c r="B246" s="237" t="e">
        <f>B242/SUM(B242:H242)</f>
        <v>#DIV/0!</v>
      </c>
      <c r="C246" s="338" t="e">
        <f>C242/SUM(B242:H242)</f>
        <v>#DIV/0!</v>
      </c>
      <c r="D246" s="338"/>
      <c r="E246" s="92" t="e">
        <f>E242/SUM(B242:H242)</f>
        <v>#DIV/0!</v>
      </c>
      <c r="F246" s="64" t="e">
        <f>F242/SUM(B242:H242)</f>
        <v>#DIV/0!</v>
      </c>
      <c r="G246" s="64" t="e">
        <f>G242/SUM(B242:H242)</f>
        <v>#DIV/0!</v>
      </c>
      <c r="H246" s="98" t="e">
        <f>H242/SUM(B242:H242)</f>
        <v>#DIV/0!</v>
      </c>
      <c r="I246" s="64" t="e">
        <f>I242/SUM(B242:H242)</f>
        <v>#DIV/0!</v>
      </c>
      <c r="N246" s="234"/>
    </row>
    <row r="247" spans="1:14" hidden="1" x14ac:dyDescent="0.2">
      <c r="C247" s="93"/>
      <c r="D247" s="93"/>
      <c r="F247" s="337"/>
      <c r="G247" s="337"/>
      <c r="H247" s="337"/>
      <c r="I247" s="337"/>
      <c r="J247" s="32"/>
      <c r="N247" s="234"/>
    </row>
    <row r="248" spans="1:14" hidden="1" x14ac:dyDescent="0.2">
      <c r="C248" s="93"/>
      <c r="D248" s="93"/>
      <c r="F248" s="337"/>
      <c r="G248" s="337"/>
      <c r="H248" s="337"/>
      <c r="I248" s="337"/>
      <c r="J248" s="32"/>
      <c r="N248" s="234"/>
    </row>
    <row r="249" spans="1:14" hidden="1" x14ac:dyDescent="0.2">
      <c r="C249" s="93"/>
      <c r="D249" s="93"/>
      <c r="F249" s="337"/>
      <c r="G249" s="337"/>
      <c r="H249" s="337"/>
      <c r="I249" s="337"/>
      <c r="J249" s="32"/>
      <c r="N249" s="234"/>
    </row>
    <row r="250" spans="1:14" hidden="1" x14ac:dyDescent="0.2">
      <c r="C250" s="93"/>
      <c r="D250" s="93"/>
      <c r="F250" s="337"/>
      <c r="G250" s="337"/>
      <c r="H250" s="337"/>
      <c r="I250" s="337"/>
      <c r="J250" s="32"/>
      <c r="N250" s="234"/>
    </row>
    <row r="251" spans="1:14" hidden="1" x14ac:dyDescent="0.2">
      <c r="C251" s="93"/>
      <c r="D251" s="93"/>
      <c r="F251" s="337"/>
      <c r="G251" s="337"/>
      <c r="H251" s="337"/>
      <c r="I251" s="337"/>
      <c r="J251" s="32"/>
      <c r="N251" s="234"/>
    </row>
    <row r="252" spans="1:14" hidden="1" x14ac:dyDescent="0.2">
      <c r="C252" s="93"/>
      <c r="D252" s="93"/>
      <c r="F252" s="337"/>
      <c r="G252" s="337"/>
      <c r="H252" s="337"/>
      <c r="I252" s="337"/>
      <c r="J252" s="32"/>
      <c r="N252" s="234"/>
    </row>
    <row r="253" spans="1:14" hidden="1" x14ac:dyDescent="0.2">
      <c r="C253" s="93"/>
      <c r="D253" s="93"/>
      <c r="F253" s="337"/>
      <c r="G253" s="337"/>
      <c r="H253" s="337"/>
      <c r="I253" s="337"/>
      <c r="J253" s="32"/>
      <c r="N253" s="234"/>
    </row>
    <row r="254" spans="1:14" hidden="1" x14ac:dyDescent="0.2">
      <c r="C254" s="93"/>
      <c r="D254" s="93"/>
      <c r="J254" s="234"/>
      <c r="N254" s="234"/>
    </row>
    <row r="255" spans="1:14" hidden="1" x14ac:dyDescent="0.2">
      <c r="C255" s="93">
        <v>0</v>
      </c>
      <c r="D255" s="93"/>
      <c r="J255" s="234"/>
      <c r="N255" s="234"/>
    </row>
    <row r="256" spans="1:14" hidden="1" x14ac:dyDescent="0.2">
      <c r="C256" s="238">
        <f>SUM(B240:I240)</f>
        <v>991.80302715000028</v>
      </c>
      <c r="D256" s="93"/>
      <c r="J256" s="234"/>
      <c r="N256" s="234"/>
    </row>
    <row r="257" spans="2:14" hidden="1" x14ac:dyDescent="0.2">
      <c r="C257" s="238">
        <f t="shared" ref="C257:C258" si="36">SUM(B241:I241)</f>
        <v>129.67797553333332</v>
      </c>
      <c r="D257" s="93"/>
      <c r="J257" s="234"/>
      <c r="N257" s="234"/>
    </row>
    <row r="258" spans="2:14" hidden="1" x14ac:dyDescent="0.2">
      <c r="C258" s="238">
        <f t="shared" si="36"/>
        <v>0</v>
      </c>
      <c r="D258" s="93"/>
      <c r="J258" s="234"/>
      <c r="N258" s="234"/>
    </row>
    <row r="259" spans="2:14" hidden="1" x14ac:dyDescent="0.2">
      <c r="B259" s="238"/>
      <c r="C259" s="93">
        <v>0</v>
      </c>
      <c r="D259" s="93"/>
      <c r="J259" s="234"/>
      <c r="N259" s="234"/>
    </row>
    <row r="260" spans="2:14" hidden="1" x14ac:dyDescent="0.2">
      <c r="B260" s="238"/>
      <c r="C260" s="93"/>
      <c r="D260" s="93"/>
      <c r="E260" s="234"/>
      <c r="J260" s="234"/>
      <c r="N260" s="234"/>
    </row>
    <row r="261" spans="2:14" hidden="1" x14ac:dyDescent="0.2">
      <c r="C261" s="93"/>
      <c r="D261" s="93"/>
      <c r="E261" s="234"/>
      <c r="J261" s="234"/>
      <c r="N261" s="234"/>
    </row>
    <row r="262" spans="2:14" hidden="1" x14ac:dyDescent="0.2">
      <c r="C262" s="93"/>
      <c r="D262" s="93"/>
      <c r="E262" s="234"/>
      <c r="J262" s="234"/>
      <c r="N262" s="234"/>
    </row>
    <row r="263" spans="2:14" hidden="1" x14ac:dyDescent="0.2">
      <c r="C263" s="93"/>
      <c r="D263" s="93"/>
      <c r="E263" s="234"/>
      <c r="J263" s="234"/>
      <c r="N263" s="234"/>
    </row>
    <row r="264" spans="2:14" hidden="1" x14ac:dyDescent="0.2">
      <c r="C264" s="93"/>
      <c r="D264" s="93"/>
      <c r="E264" s="234"/>
      <c r="J264" s="234"/>
      <c r="N264" s="234"/>
    </row>
    <row r="265" spans="2:14" hidden="1" x14ac:dyDescent="0.2">
      <c r="C265" s="93"/>
      <c r="D265" s="93"/>
      <c r="E265" s="234"/>
      <c r="J265" s="234"/>
      <c r="N265" s="234"/>
    </row>
    <row r="266" spans="2:14" hidden="1" x14ac:dyDescent="0.2">
      <c r="C266" s="93"/>
      <c r="D266" s="93"/>
      <c r="E266" s="234"/>
      <c r="J266" s="234"/>
      <c r="N266" s="234"/>
    </row>
    <row r="267" spans="2:14" hidden="1" x14ac:dyDescent="0.2">
      <c r="C267" s="93"/>
      <c r="D267" s="93"/>
      <c r="E267" s="234"/>
      <c r="J267" s="234"/>
      <c r="N267" s="234"/>
    </row>
    <row r="268" spans="2:14" hidden="1" x14ac:dyDescent="0.2">
      <c r="C268" s="93"/>
      <c r="D268" s="93"/>
      <c r="E268" s="234"/>
      <c r="J268" s="234"/>
      <c r="N268" s="234"/>
    </row>
    <row r="269" spans="2:14" hidden="1" x14ac:dyDescent="0.2">
      <c r="E269" s="234"/>
      <c r="J269" s="234"/>
      <c r="N269" s="234"/>
    </row>
    <row r="270" spans="2:14" hidden="1" x14ac:dyDescent="0.2">
      <c r="E270" s="234"/>
      <c r="J270" s="234"/>
      <c r="N270" s="234"/>
    </row>
    <row r="271" spans="2:14" hidden="1" x14ac:dyDescent="0.2">
      <c r="E271" s="234"/>
      <c r="J271" s="234"/>
      <c r="N271" s="234"/>
    </row>
    <row r="272" spans="2:14" hidden="1" x14ac:dyDescent="0.2">
      <c r="E272" s="234"/>
      <c r="J272" s="234"/>
      <c r="N272" s="234"/>
    </row>
    <row r="273" spans="5:14" s="234" customFormat="1" hidden="1" x14ac:dyDescent="0.2"/>
    <row r="274" spans="5:14" s="234" customFormat="1" hidden="1" x14ac:dyDescent="0.2"/>
    <row r="275" spans="5:14" s="234" customFormat="1" hidden="1" x14ac:dyDescent="0.2"/>
    <row r="276" spans="5:14" hidden="1" x14ac:dyDescent="0.2">
      <c r="E276" s="234"/>
      <c r="H276" s="238"/>
      <c r="I276" s="238"/>
      <c r="J276" s="238"/>
      <c r="N276" s="234"/>
    </row>
    <row r="277" spans="5:14" hidden="1" x14ac:dyDescent="0.2">
      <c r="E277" s="234"/>
      <c r="H277" s="238"/>
      <c r="I277" s="238"/>
      <c r="J277" s="238"/>
      <c r="N277" s="234"/>
    </row>
    <row r="278" spans="5:14" s="234" customFormat="1" hidden="1" x14ac:dyDescent="0.2"/>
    <row r="279" spans="5:14" s="234" customFormat="1" hidden="1" x14ac:dyDescent="0.2"/>
    <row r="280" spans="5:14" s="234" customFormat="1" hidden="1" x14ac:dyDescent="0.2"/>
    <row r="281" spans="5:14" s="234" customFormat="1" hidden="1" x14ac:dyDescent="0.2"/>
    <row r="282" spans="5:14" s="234" customFormat="1" hidden="1" x14ac:dyDescent="0.2"/>
    <row r="283" spans="5:14" s="234" customFormat="1" hidden="1" x14ac:dyDescent="0.2"/>
    <row r="284" spans="5:14" s="234" customFormat="1" hidden="1" x14ac:dyDescent="0.2"/>
    <row r="285" spans="5:14" s="234" customFormat="1" hidden="1" x14ac:dyDescent="0.2">
      <c r="H285" s="32"/>
    </row>
    <row r="286" spans="5:14" s="234" customFormat="1" hidden="1" x14ac:dyDescent="0.2">
      <c r="H286" s="32"/>
    </row>
    <row r="287" spans="5:14" s="234" customFormat="1" hidden="1" x14ac:dyDescent="0.2">
      <c r="H287" s="32"/>
    </row>
    <row r="288" spans="5:14" s="234" customFormat="1" hidden="1" x14ac:dyDescent="0.2"/>
    <row r="289" spans="5:14" hidden="1" x14ac:dyDescent="0.2">
      <c r="E289" s="234"/>
      <c r="J289" s="234"/>
      <c r="N289" s="234"/>
    </row>
    <row r="290" spans="5:14" hidden="1" x14ac:dyDescent="0.2">
      <c r="E290" s="234"/>
      <c r="J290" s="234"/>
      <c r="N290" s="234"/>
    </row>
    <row r="291" spans="5:14" hidden="1" x14ac:dyDescent="0.2">
      <c r="E291" s="234"/>
      <c r="J291" s="234"/>
      <c r="N291" s="234"/>
    </row>
    <row r="292" spans="5:14" hidden="1" x14ac:dyDescent="0.2">
      <c r="J292" s="234"/>
      <c r="N292" s="234"/>
    </row>
    <row r="293" spans="5:14" x14ac:dyDescent="0.2">
      <c r="J293" s="234"/>
      <c r="N293" s="234"/>
    </row>
    <row r="294" spans="5:14" x14ac:dyDescent="0.2">
      <c r="J294" s="234"/>
      <c r="N294" s="234"/>
    </row>
    <row r="295" spans="5:14" x14ac:dyDescent="0.2">
      <c r="J295" s="234"/>
      <c r="N295" s="234"/>
    </row>
    <row r="296" spans="5:14" x14ac:dyDescent="0.2">
      <c r="J296" s="234"/>
      <c r="N296" s="234"/>
    </row>
    <row r="297" spans="5:14" x14ac:dyDescent="0.2">
      <c r="J297" s="234"/>
      <c r="N297" s="234"/>
    </row>
    <row r="298" spans="5:14" x14ac:dyDescent="0.2">
      <c r="J298" s="234"/>
      <c r="N298" s="234"/>
    </row>
    <row r="299" spans="5:14" x14ac:dyDescent="0.2">
      <c r="J299" s="234"/>
      <c r="N299" s="234"/>
    </row>
    <row r="300" spans="5:14" x14ac:dyDescent="0.2">
      <c r="J300" s="234"/>
      <c r="N300" s="234"/>
    </row>
    <row r="301" spans="5:14" x14ac:dyDescent="0.2">
      <c r="J301" s="234"/>
      <c r="N301" s="234"/>
    </row>
    <row r="302" spans="5:14" x14ac:dyDescent="0.2">
      <c r="J302" s="234"/>
      <c r="N302" s="234"/>
    </row>
    <row r="303" spans="5:14" x14ac:dyDescent="0.2">
      <c r="J303" s="234"/>
      <c r="N303" s="234"/>
    </row>
    <row r="304" spans="5:14" x14ac:dyDescent="0.2">
      <c r="J304" s="234"/>
      <c r="N304" s="234"/>
    </row>
    <row r="305" spans="10:14" x14ac:dyDescent="0.2">
      <c r="J305" s="234"/>
      <c r="N305" s="234"/>
    </row>
    <row r="306" spans="10:14" x14ac:dyDescent="0.2">
      <c r="J306" s="234"/>
      <c r="N306" s="234"/>
    </row>
    <row r="307" spans="10:14" x14ac:dyDescent="0.2">
      <c r="J307" s="234"/>
      <c r="N307" s="234"/>
    </row>
    <row r="308" spans="10:14" x14ac:dyDescent="0.2">
      <c r="J308" s="234"/>
      <c r="N308" s="234"/>
    </row>
    <row r="309" spans="10:14" x14ac:dyDescent="0.2">
      <c r="J309" s="234"/>
      <c r="N309" s="234"/>
    </row>
    <row r="310" spans="10:14" x14ac:dyDescent="0.2">
      <c r="J310" s="234"/>
      <c r="N310" s="234"/>
    </row>
    <row r="311" spans="10:14" x14ac:dyDescent="0.2">
      <c r="J311" s="234"/>
      <c r="N311" s="234"/>
    </row>
    <row r="312" spans="10:14" x14ac:dyDescent="0.2">
      <c r="J312" s="234"/>
      <c r="N312" s="234"/>
    </row>
    <row r="313" spans="10:14" x14ac:dyDescent="0.2">
      <c r="J313" s="234"/>
      <c r="N313" s="234"/>
    </row>
    <row r="314" spans="10:14" x14ac:dyDescent="0.2">
      <c r="J314" s="234"/>
      <c r="N314" s="234"/>
    </row>
    <row r="315" spans="10:14" x14ac:dyDescent="0.2">
      <c r="J315" s="234"/>
      <c r="N315" s="234"/>
    </row>
    <row r="316" spans="10:14" x14ac:dyDescent="0.2">
      <c r="J316" s="234"/>
      <c r="N316" s="234"/>
    </row>
    <row r="317" spans="10:14" x14ac:dyDescent="0.2">
      <c r="J317" s="234"/>
      <c r="N317" s="234"/>
    </row>
    <row r="318" spans="10:14" x14ac:dyDescent="0.2">
      <c r="J318" s="234"/>
      <c r="N318" s="234"/>
    </row>
    <row r="319" spans="10:14" x14ac:dyDescent="0.2">
      <c r="J319" s="234"/>
      <c r="N319" s="234"/>
    </row>
    <row r="320" spans="10:14" x14ac:dyDescent="0.2">
      <c r="J320" s="234"/>
      <c r="N320" s="234"/>
    </row>
    <row r="321" spans="10:14" x14ac:dyDescent="0.2">
      <c r="J321" s="234"/>
      <c r="N321" s="234"/>
    </row>
    <row r="322" spans="10:14" x14ac:dyDescent="0.2">
      <c r="J322" s="234"/>
      <c r="N322" s="234"/>
    </row>
    <row r="323" spans="10:14" x14ac:dyDescent="0.2">
      <c r="J323" s="234"/>
      <c r="N323" s="234"/>
    </row>
    <row r="324" spans="10:14" x14ac:dyDescent="0.2">
      <c r="J324" s="234"/>
      <c r="N324" s="234"/>
    </row>
    <row r="325" spans="10:14" x14ac:dyDescent="0.2">
      <c r="J325" s="234"/>
      <c r="N325" s="234"/>
    </row>
    <row r="326" spans="10:14" x14ac:dyDescent="0.2">
      <c r="J326" s="234"/>
      <c r="N326" s="234"/>
    </row>
    <row r="327" spans="10:14" x14ac:dyDescent="0.2">
      <c r="J327" s="234"/>
      <c r="N327" s="234"/>
    </row>
    <row r="328" spans="10:14" x14ac:dyDescent="0.2">
      <c r="J328" s="234"/>
      <c r="N328" s="234"/>
    </row>
    <row r="329" spans="10:14" x14ac:dyDescent="0.2">
      <c r="J329" s="234"/>
      <c r="N329" s="234"/>
    </row>
    <row r="330" spans="10:14" x14ac:dyDescent="0.2">
      <c r="J330" s="234"/>
      <c r="N330" s="234"/>
    </row>
    <row r="331" spans="10:14" x14ac:dyDescent="0.2">
      <c r="J331" s="234"/>
      <c r="N331" s="234"/>
    </row>
    <row r="332" spans="10:14" x14ac:dyDescent="0.2">
      <c r="J332" s="234"/>
      <c r="N332" s="234"/>
    </row>
    <row r="333" spans="10:14" x14ac:dyDescent="0.2">
      <c r="J333" s="234"/>
      <c r="N333" s="234"/>
    </row>
    <row r="334" spans="10:14" x14ac:dyDescent="0.2">
      <c r="J334" s="234"/>
      <c r="N334" s="234"/>
    </row>
    <row r="335" spans="10:14" x14ac:dyDescent="0.2">
      <c r="J335" s="234"/>
      <c r="N335" s="234"/>
    </row>
    <row r="336" spans="10:14" x14ac:dyDescent="0.2">
      <c r="J336" s="234"/>
      <c r="N336" s="234"/>
    </row>
    <row r="337" spans="10:14" x14ac:dyDescent="0.2">
      <c r="J337" s="234"/>
      <c r="N337" s="234"/>
    </row>
    <row r="338" spans="10:14" x14ac:dyDescent="0.2">
      <c r="J338" s="234"/>
      <c r="N338" s="234"/>
    </row>
    <row r="339" spans="10:14" x14ac:dyDescent="0.2">
      <c r="J339" s="234"/>
      <c r="N339" s="234"/>
    </row>
    <row r="340" spans="10:14" x14ac:dyDescent="0.2">
      <c r="J340" s="234"/>
      <c r="N340" s="234"/>
    </row>
    <row r="341" spans="10:14" x14ac:dyDescent="0.2">
      <c r="J341" s="234"/>
      <c r="N341" s="234"/>
    </row>
    <row r="342" spans="10:14" x14ac:dyDescent="0.2">
      <c r="J342" s="234"/>
      <c r="N342" s="234"/>
    </row>
    <row r="343" spans="10:14" x14ac:dyDescent="0.2">
      <c r="J343" s="234"/>
      <c r="N343" s="234"/>
    </row>
    <row r="344" spans="10:14" x14ac:dyDescent="0.2">
      <c r="J344" s="234"/>
      <c r="N344" s="234"/>
    </row>
    <row r="345" spans="10:14" x14ac:dyDescent="0.2">
      <c r="J345" s="234"/>
      <c r="N345" s="234"/>
    </row>
    <row r="346" spans="10:14" x14ac:dyDescent="0.2">
      <c r="J346" s="234"/>
      <c r="N346" s="234"/>
    </row>
    <row r="347" spans="10:14" x14ac:dyDescent="0.2">
      <c r="J347" s="234"/>
      <c r="N347" s="234"/>
    </row>
    <row r="348" spans="10:14" x14ac:dyDescent="0.2">
      <c r="J348" s="234"/>
      <c r="N348" s="234"/>
    </row>
    <row r="349" spans="10:14" x14ac:dyDescent="0.2">
      <c r="J349" s="234"/>
      <c r="N349" s="234"/>
    </row>
    <row r="350" spans="10:14" x14ac:dyDescent="0.2">
      <c r="J350" s="234"/>
      <c r="N350" s="234"/>
    </row>
    <row r="351" spans="10:14" x14ac:dyDescent="0.2">
      <c r="J351" s="234"/>
      <c r="N351" s="234"/>
    </row>
    <row r="352" spans="10:14" x14ac:dyDescent="0.2">
      <c r="J352" s="234"/>
      <c r="N352" s="234"/>
    </row>
    <row r="353" spans="10:14" x14ac:dyDescent="0.2">
      <c r="J353" s="234"/>
      <c r="N353" s="234"/>
    </row>
    <row r="354" spans="10:14" x14ac:dyDescent="0.2">
      <c r="J354" s="234"/>
      <c r="N354" s="234"/>
    </row>
    <row r="355" spans="10:14" x14ac:dyDescent="0.2">
      <c r="J355" s="234"/>
      <c r="N355" s="234"/>
    </row>
    <row r="356" spans="10:14" x14ac:dyDescent="0.2">
      <c r="J356" s="234"/>
      <c r="N356" s="234"/>
    </row>
    <row r="357" spans="10:14" x14ac:dyDescent="0.2">
      <c r="J357" s="234"/>
      <c r="N357" s="234"/>
    </row>
    <row r="358" spans="10:14" x14ac:dyDescent="0.2">
      <c r="J358" s="234"/>
      <c r="N358" s="234"/>
    </row>
    <row r="359" spans="10:14" x14ac:dyDescent="0.2">
      <c r="J359" s="234"/>
      <c r="N359" s="234"/>
    </row>
    <row r="360" spans="10:14" x14ac:dyDescent="0.2">
      <c r="J360" s="234"/>
      <c r="N360" s="234"/>
    </row>
    <row r="361" spans="10:14" x14ac:dyDescent="0.2">
      <c r="J361" s="234"/>
      <c r="N361" s="234"/>
    </row>
    <row r="362" spans="10:14" x14ac:dyDescent="0.2">
      <c r="J362" s="234"/>
      <c r="N362" s="234"/>
    </row>
    <row r="363" spans="10:14" x14ac:dyDescent="0.2">
      <c r="J363" s="234"/>
      <c r="N363" s="234"/>
    </row>
    <row r="364" spans="10:14" x14ac:dyDescent="0.2">
      <c r="J364" s="234"/>
      <c r="N364" s="234"/>
    </row>
    <row r="365" spans="10:14" x14ac:dyDescent="0.2">
      <c r="J365" s="234"/>
      <c r="N365" s="234"/>
    </row>
    <row r="366" spans="10:14" x14ac:dyDescent="0.2">
      <c r="J366" s="234"/>
      <c r="N366" s="234"/>
    </row>
    <row r="367" spans="10:14" x14ac:dyDescent="0.2">
      <c r="J367" s="234"/>
      <c r="N367" s="234"/>
    </row>
    <row r="368" spans="10:14" x14ac:dyDescent="0.2">
      <c r="J368" s="234"/>
      <c r="N368" s="234"/>
    </row>
    <row r="369" spans="10:14" x14ac:dyDescent="0.2">
      <c r="J369" s="234"/>
      <c r="N369" s="234"/>
    </row>
    <row r="370" spans="10:14" x14ac:dyDescent="0.2">
      <c r="J370" s="234"/>
      <c r="N370" s="234"/>
    </row>
    <row r="371" spans="10:14" x14ac:dyDescent="0.2">
      <c r="J371" s="234"/>
      <c r="N371" s="234"/>
    </row>
    <row r="372" spans="10:14" x14ac:dyDescent="0.2">
      <c r="J372" s="234"/>
      <c r="N372" s="234"/>
    </row>
    <row r="373" spans="10:14" x14ac:dyDescent="0.2">
      <c r="J373" s="234"/>
      <c r="N373" s="234"/>
    </row>
    <row r="374" spans="10:14" x14ac:dyDescent="0.2">
      <c r="J374" s="234"/>
      <c r="N374" s="234"/>
    </row>
    <row r="375" spans="10:14" x14ac:dyDescent="0.2">
      <c r="J375" s="234"/>
      <c r="N375" s="234"/>
    </row>
    <row r="376" spans="10:14" x14ac:dyDescent="0.2">
      <c r="J376" s="234"/>
      <c r="N376" s="234"/>
    </row>
    <row r="377" spans="10:14" x14ac:dyDescent="0.2">
      <c r="J377" s="234"/>
      <c r="N377" s="234"/>
    </row>
    <row r="378" spans="10:14" x14ac:dyDescent="0.2">
      <c r="J378" s="234"/>
      <c r="N378" s="234"/>
    </row>
    <row r="379" spans="10:14" x14ac:dyDescent="0.2">
      <c r="J379" s="234"/>
      <c r="N379" s="234"/>
    </row>
    <row r="380" spans="10:14" x14ac:dyDescent="0.2">
      <c r="J380" s="234"/>
      <c r="N380" s="234"/>
    </row>
    <row r="381" spans="10:14" x14ac:dyDescent="0.2">
      <c r="J381" s="234"/>
      <c r="N381" s="234"/>
    </row>
    <row r="382" spans="10:14" x14ac:dyDescent="0.2">
      <c r="J382" s="234"/>
      <c r="N382" s="234"/>
    </row>
    <row r="383" spans="10:14" x14ac:dyDescent="0.2">
      <c r="J383" s="234"/>
      <c r="N383" s="234"/>
    </row>
    <row r="384" spans="10:14" x14ac:dyDescent="0.2">
      <c r="J384" s="234"/>
      <c r="N384" s="234"/>
    </row>
    <row r="385" spans="10:14" x14ac:dyDescent="0.2">
      <c r="J385" s="234"/>
      <c r="N385" s="234"/>
    </row>
    <row r="386" spans="10:14" x14ac:dyDescent="0.2">
      <c r="J386" s="234"/>
      <c r="N386" s="234"/>
    </row>
    <row r="387" spans="10:14" x14ac:dyDescent="0.2">
      <c r="J387" s="234"/>
      <c r="N387" s="234"/>
    </row>
    <row r="388" spans="10:14" x14ac:dyDescent="0.2">
      <c r="J388" s="234"/>
      <c r="N388" s="234"/>
    </row>
    <row r="389" spans="10:14" x14ac:dyDescent="0.2">
      <c r="J389" s="234"/>
      <c r="N389" s="234"/>
    </row>
    <row r="390" spans="10:14" x14ac:dyDescent="0.2">
      <c r="J390" s="234"/>
      <c r="N390" s="234"/>
    </row>
    <row r="391" spans="10:14" x14ac:dyDescent="0.2">
      <c r="J391" s="234"/>
      <c r="N391" s="234"/>
    </row>
    <row r="392" spans="10:14" x14ac:dyDescent="0.2">
      <c r="J392" s="234"/>
      <c r="N392" s="234"/>
    </row>
    <row r="393" spans="10:14" x14ac:dyDescent="0.2">
      <c r="J393" s="234"/>
      <c r="N393" s="234"/>
    </row>
    <row r="394" spans="10:14" x14ac:dyDescent="0.2">
      <c r="J394" s="234"/>
      <c r="N394" s="234"/>
    </row>
    <row r="395" spans="10:14" x14ac:dyDescent="0.2">
      <c r="J395" s="234"/>
      <c r="N395" s="234"/>
    </row>
    <row r="396" spans="10:14" x14ac:dyDescent="0.2">
      <c r="J396" s="234"/>
      <c r="N396" s="234"/>
    </row>
    <row r="397" spans="10:14" x14ac:dyDescent="0.2">
      <c r="J397" s="234"/>
      <c r="N397" s="234"/>
    </row>
    <row r="398" spans="10:14" x14ac:dyDescent="0.2">
      <c r="J398" s="234"/>
      <c r="N398" s="234"/>
    </row>
    <row r="399" spans="10:14" x14ac:dyDescent="0.2">
      <c r="J399" s="234"/>
      <c r="N399" s="234"/>
    </row>
    <row r="400" spans="10:14" x14ac:dyDescent="0.2">
      <c r="J400" s="234"/>
      <c r="N400" s="234"/>
    </row>
    <row r="401" spans="10:14" x14ac:dyDescent="0.2">
      <c r="J401" s="234"/>
      <c r="N401" s="234"/>
    </row>
    <row r="402" spans="10:14" x14ac:dyDescent="0.2">
      <c r="J402" s="234"/>
      <c r="N402" s="234"/>
    </row>
    <row r="403" spans="10:14" x14ac:dyDescent="0.2">
      <c r="J403" s="234"/>
      <c r="N403" s="234"/>
    </row>
    <row r="404" spans="10:14" x14ac:dyDescent="0.2">
      <c r="J404" s="234"/>
      <c r="N404" s="234"/>
    </row>
    <row r="405" spans="10:14" x14ac:dyDescent="0.2">
      <c r="J405" s="234"/>
      <c r="N405" s="234"/>
    </row>
    <row r="406" spans="10:14" x14ac:dyDescent="0.2">
      <c r="J406" s="234"/>
      <c r="N406" s="234"/>
    </row>
    <row r="407" spans="10:14" x14ac:dyDescent="0.2">
      <c r="J407" s="234"/>
      <c r="N407" s="234"/>
    </row>
    <row r="408" spans="10:14" x14ac:dyDescent="0.2">
      <c r="J408" s="234"/>
      <c r="N408" s="234"/>
    </row>
    <row r="409" spans="10:14" x14ac:dyDescent="0.2">
      <c r="J409" s="234"/>
      <c r="N409" s="234"/>
    </row>
    <row r="410" spans="10:14" x14ac:dyDescent="0.2">
      <c r="J410" s="234"/>
      <c r="N410" s="234"/>
    </row>
    <row r="411" spans="10:14" x14ac:dyDescent="0.2">
      <c r="J411" s="234"/>
      <c r="N411" s="234"/>
    </row>
    <row r="412" spans="10:14" x14ac:dyDescent="0.2">
      <c r="J412" s="234"/>
      <c r="N412" s="234"/>
    </row>
    <row r="413" spans="10:14" x14ac:dyDescent="0.2">
      <c r="J413" s="234"/>
      <c r="N413" s="234"/>
    </row>
    <row r="414" spans="10:14" x14ac:dyDescent="0.2">
      <c r="J414" s="234"/>
      <c r="N414" s="234"/>
    </row>
    <row r="415" spans="10:14" x14ac:dyDescent="0.2">
      <c r="J415" s="234"/>
      <c r="N415" s="234"/>
    </row>
    <row r="416" spans="10:14" x14ac:dyDescent="0.2">
      <c r="J416" s="234"/>
      <c r="N416" s="234"/>
    </row>
    <row r="417" spans="10:14" x14ac:dyDescent="0.2">
      <c r="J417" s="234"/>
      <c r="N417" s="234"/>
    </row>
    <row r="418" spans="10:14" x14ac:dyDescent="0.2">
      <c r="J418" s="234"/>
      <c r="N418" s="234"/>
    </row>
    <row r="419" spans="10:14" x14ac:dyDescent="0.2">
      <c r="J419" s="234"/>
      <c r="N419" s="234"/>
    </row>
    <row r="420" spans="10:14" x14ac:dyDescent="0.2">
      <c r="J420" s="234"/>
      <c r="N420" s="234"/>
    </row>
    <row r="421" spans="10:14" x14ac:dyDescent="0.2">
      <c r="J421" s="234"/>
      <c r="N421" s="234"/>
    </row>
    <row r="422" spans="10:14" x14ac:dyDescent="0.2">
      <c r="J422" s="234"/>
      <c r="N422" s="234"/>
    </row>
    <row r="423" spans="10:14" x14ac:dyDescent="0.2">
      <c r="J423" s="234"/>
      <c r="N423" s="234"/>
    </row>
    <row r="424" spans="10:14" x14ac:dyDescent="0.2">
      <c r="J424" s="234"/>
      <c r="N424" s="234"/>
    </row>
    <row r="425" spans="10:14" x14ac:dyDescent="0.2">
      <c r="J425" s="234"/>
      <c r="N425" s="234"/>
    </row>
    <row r="426" spans="10:14" x14ac:dyDescent="0.2">
      <c r="J426" s="234"/>
      <c r="N426" s="234"/>
    </row>
    <row r="427" spans="10:14" x14ac:dyDescent="0.2">
      <c r="J427" s="234"/>
      <c r="N427" s="234"/>
    </row>
    <row r="428" spans="10:14" x14ac:dyDescent="0.2">
      <c r="J428" s="234"/>
      <c r="N428" s="234"/>
    </row>
    <row r="429" spans="10:14" x14ac:dyDescent="0.2">
      <c r="J429" s="234"/>
      <c r="N429" s="234"/>
    </row>
    <row r="430" spans="10:14" x14ac:dyDescent="0.2">
      <c r="J430" s="234"/>
      <c r="N430" s="234"/>
    </row>
    <row r="431" spans="10:14" x14ac:dyDescent="0.2">
      <c r="J431" s="234"/>
      <c r="N431" s="234"/>
    </row>
    <row r="432" spans="10:14" x14ac:dyDescent="0.2">
      <c r="J432" s="234"/>
      <c r="N432" s="234"/>
    </row>
    <row r="433" spans="10:14" x14ac:dyDescent="0.2">
      <c r="J433" s="234"/>
      <c r="N433" s="234"/>
    </row>
    <row r="434" spans="10:14" x14ac:dyDescent="0.2">
      <c r="J434" s="234"/>
      <c r="N434" s="234"/>
    </row>
    <row r="435" spans="10:14" x14ac:dyDescent="0.2">
      <c r="J435" s="234"/>
      <c r="N435" s="234"/>
    </row>
    <row r="436" spans="10:14" x14ac:dyDescent="0.2">
      <c r="J436" s="234"/>
      <c r="N436" s="234"/>
    </row>
    <row r="437" spans="10:14" x14ac:dyDescent="0.2">
      <c r="J437" s="234"/>
      <c r="N437" s="234"/>
    </row>
    <row r="438" spans="10:14" x14ac:dyDescent="0.2">
      <c r="J438" s="234"/>
      <c r="N438" s="234"/>
    </row>
    <row r="439" spans="10:14" x14ac:dyDescent="0.2">
      <c r="J439" s="234"/>
      <c r="N439" s="234"/>
    </row>
    <row r="440" spans="10:14" x14ac:dyDescent="0.2">
      <c r="J440" s="234"/>
      <c r="N440" s="234"/>
    </row>
    <row r="441" spans="10:14" x14ac:dyDescent="0.2">
      <c r="J441" s="234"/>
      <c r="N441" s="234"/>
    </row>
    <row r="442" spans="10:14" x14ac:dyDescent="0.2">
      <c r="J442" s="234"/>
      <c r="N442" s="234"/>
    </row>
    <row r="443" spans="10:14" x14ac:dyDescent="0.2">
      <c r="J443" s="234"/>
      <c r="N443" s="234"/>
    </row>
    <row r="444" spans="10:14" x14ac:dyDescent="0.2">
      <c r="J444" s="234"/>
      <c r="N444" s="234"/>
    </row>
    <row r="445" spans="10:14" x14ac:dyDescent="0.2">
      <c r="J445" s="234"/>
      <c r="N445" s="234"/>
    </row>
    <row r="446" spans="10:14" x14ac:dyDescent="0.2">
      <c r="J446" s="234"/>
      <c r="N446" s="234"/>
    </row>
    <row r="447" spans="10:14" x14ac:dyDescent="0.2">
      <c r="J447" s="234"/>
      <c r="N447" s="234"/>
    </row>
    <row r="448" spans="10:14" x14ac:dyDescent="0.2">
      <c r="J448" s="234"/>
      <c r="N448" s="234"/>
    </row>
    <row r="449" spans="10:14" x14ac:dyDescent="0.2">
      <c r="J449" s="234"/>
      <c r="N449" s="234"/>
    </row>
    <row r="450" spans="10:14" x14ac:dyDescent="0.2">
      <c r="J450" s="234"/>
      <c r="N450" s="234"/>
    </row>
    <row r="451" spans="10:14" x14ac:dyDescent="0.2">
      <c r="J451" s="234"/>
      <c r="N451" s="234"/>
    </row>
    <row r="452" spans="10:14" x14ac:dyDescent="0.2">
      <c r="J452" s="234"/>
      <c r="N452" s="234"/>
    </row>
    <row r="453" spans="10:14" x14ac:dyDescent="0.2">
      <c r="J453" s="234"/>
      <c r="N453" s="234"/>
    </row>
    <row r="454" spans="10:14" x14ac:dyDescent="0.2">
      <c r="J454" s="234"/>
      <c r="N454" s="234"/>
    </row>
    <row r="455" spans="10:14" x14ac:dyDescent="0.2">
      <c r="J455" s="234"/>
      <c r="N455" s="234"/>
    </row>
    <row r="456" spans="10:14" x14ac:dyDescent="0.2">
      <c r="J456" s="234"/>
      <c r="N456" s="234"/>
    </row>
    <row r="457" spans="10:14" x14ac:dyDescent="0.2">
      <c r="J457" s="234"/>
      <c r="N457" s="234"/>
    </row>
    <row r="458" spans="10:14" x14ac:dyDescent="0.2">
      <c r="J458" s="234"/>
      <c r="N458" s="234"/>
    </row>
    <row r="459" spans="10:14" x14ac:dyDescent="0.2">
      <c r="J459" s="234"/>
      <c r="N459" s="234"/>
    </row>
    <row r="460" spans="10:14" x14ac:dyDescent="0.2">
      <c r="J460" s="234"/>
      <c r="N460" s="234"/>
    </row>
    <row r="461" spans="10:14" x14ac:dyDescent="0.2">
      <c r="J461" s="234"/>
      <c r="N461" s="234"/>
    </row>
    <row r="462" spans="10:14" x14ac:dyDescent="0.2">
      <c r="J462" s="234"/>
      <c r="N462" s="234"/>
    </row>
    <row r="463" spans="10:14" x14ac:dyDescent="0.2">
      <c r="J463" s="234"/>
      <c r="N463" s="234"/>
    </row>
    <row r="464" spans="10:14" x14ac:dyDescent="0.2">
      <c r="J464" s="234"/>
      <c r="N464" s="234"/>
    </row>
    <row r="465" spans="10:14" x14ac:dyDescent="0.2">
      <c r="J465" s="234"/>
      <c r="N465" s="234"/>
    </row>
    <row r="466" spans="10:14" x14ac:dyDescent="0.2">
      <c r="J466" s="234"/>
      <c r="N466" s="234"/>
    </row>
    <row r="467" spans="10:14" x14ac:dyDescent="0.2">
      <c r="J467" s="234"/>
      <c r="N467" s="234"/>
    </row>
    <row r="468" spans="10:14" x14ac:dyDescent="0.2">
      <c r="J468" s="234"/>
      <c r="N468" s="234"/>
    </row>
    <row r="469" spans="10:14" x14ac:dyDescent="0.2">
      <c r="J469" s="234"/>
      <c r="N469" s="234"/>
    </row>
    <row r="470" spans="10:14" x14ac:dyDescent="0.2">
      <c r="J470" s="234"/>
      <c r="N470" s="234"/>
    </row>
    <row r="471" spans="10:14" x14ac:dyDescent="0.2">
      <c r="J471" s="234"/>
      <c r="N471" s="234"/>
    </row>
    <row r="472" spans="10:14" x14ac:dyDescent="0.2">
      <c r="J472" s="234"/>
      <c r="N472" s="234"/>
    </row>
    <row r="473" spans="10:14" x14ac:dyDescent="0.2">
      <c r="J473" s="234"/>
      <c r="N473" s="234"/>
    </row>
    <row r="474" spans="10:14" x14ac:dyDescent="0.2">
      <c r="J474" s="234"/>
      <c r="N474" s="234"/>
    </row>
    <row r="475" spans="10:14" x14ac:dyDescent="0.2">
      <c r="J475" s="234"/>
      <c r="N475" s="234"/>
    </row>
    <row r="476" spans="10:14" x14ac:dyDescent="0.2">
      <c r="J476" s="234"/>
      <c r="N476" s="234"/>
    </row>
    <row r="477" spans="10:14" x14ac:dyDescent="0.2">
      <c r="J477" s="234"/>
      <c r="N477" s="234"/>
    </row>
    <row r="478" spans="10:14" x14ac:dyDescent="0.2">
      <c r="J478" s="234"/>
      <c r="N478" s="234"/>
    </row>
    <row r="479" spans="10:14" x14ac:dyDescent="0.2">
      <c r="J479" s="234"/>
      <c r="N479" s="234"/>
    </row>
    <row r="480" spans="10:14" x14ac:dyDescent="0.2">
      <c r="J480" s="234"/>
      <c r="N480" s="234"/>
    </row>
    <row r="481" spans="10:14" x14ac:dyDescent="0.2">
      <c r="J481" s="234"/>
      <c r="N481" s="234"/>
    </row>
    <row r="482" spans="10:14" x14ac:dyDescent="0.2">
      <c r="J482" s="234"/>
      <c r="N482" s="234"/>
    </row>
    <row r="483" spans="10:14" x14ac:dyDescent="0.2">
      <c r="J483" s="234"/>
      <c r="N483" s="234"/>
    </row>
    <row r="484" spans="10:14" x14ac:dyDescent="0.2">
      <c r="J484" s="234"/>
      <c r="N484" s="234"/>
    </row>
    <row r="485" spans="10:14" x14ac:dyDescent="0.2">
      <c r="J485" s="234"/>
      <c r="N485" s="234"/>
    </row>
    <row r="486" spans="10:14" x14ac:dyDescent="0.2">
      <c r="J486" s="234"/>
      <c r="N486" s="234"/>
    </row>
    <row r="487" spans="10:14" x14ac:dyDescent="0.2">
      <c r="J487" s="234"/>
      <c r="N487" s="234"/>
    </row>
    <row r="488" spans="10:14" x14ac:dyDescent="0.2">
      <c r="J488" s="234"/>
      <c r="N488" s="234"/>
    </row>
    <row r="489" spans="10:14" x14ac:dyDescent="0.2">
      <c r="J489" s="234"/>
      <c r="N489" s="234"/>
    </row>
    <row r="490" spans="10:14" x14ac:dyDescent="0.2">
      <c r="J490" s="234"/>
      <c r="N490" s="234"/>
    </row>
    <row r="491" spans="10:14" x14ac:dyDescent="0.2">
      <c r="J491" s="234"/>
      <c r="N491" s="234"/>
    </row>
    <row r="492" spans="10:14" x14ac:dyDescent="0.2">
      <c r="J492" s="234"/>
      <c r="N492" s="234"/>
    </row>
    <row r="493" spans="10:14" x14ac:dyDescent="0.2">
      <c r="J493" s="234"/>
      <c r="N493" s="234"/>
    </row>
    <row r="494" spans="10:14" x14ac:dyDescent="0.2">
      <c r="J494" s="234"/>
      <c r="N494" s="234"/>
    </row>
    <row r="495" spans="10:14" x14ac:dyDescent="0.2">
      <c r="J495" s="234"/>
      <c r="N495" s="234"/>
    </row>
    <row r="496" spans="10:14" x14ac:dyDescent="0.2">
      <c r="J496" s="234"/>
      <c r="N496" s="234"/>
    </row>
    <row r="497" spans="10:14" x14ac:dyDescent="0.2">
      <c r="J497" s="234"/>
      <c r="N497" s="234"/>
    </row>
    <row r="498" spans="10:14" x14ac:dyDescent="0.2">
      <c r="J498" s="234"/>
      <c r="N498" s="234"/>
    </row>
    <row r="499" spans="10:14" x14ac:dyDescent="0.2">
      <c r="J499" s="234"/>
      <c r="N499" s="234"/>
    </row>
    <row r="500" spans="10:14" x14ac:dyDescent="0.2">
      <c r="J500" s="234"/>
      <c r="N500" s="234"/>
    </row>
    <row r="501" spans="10:14" x14ac:dyDescent="0.2">
      <c r="J501" s="234"/>
      <c r="N501" s="234"/>
    </row>
    <row r="502" spans="10:14" x14ac:dyDescent="0.2">
      <c r="J502" s="234"/>
      <c r="N502" s="234"/>
    </row>
    <row r="503" spans="10:14" x14ac:dyDescent="0.2">
      <c r="J503" s="234"/>
      <c r="N503" s="234"/>
    </row>
    <row r="504" spans="10:14" x14ac:dyDescent="0.2">
      <c r="J504" s="234"/>
      <c r="N504" s="234"/>
    </row>
    <row r="505" spans="10:14" x14ac:dyDescent="0.2">
      <c r="J505" s="234"/>
      <c r="N505" s="234"/>
    </row>
    <row r="506" spans="10:14" x14ac:dyDescent="0.2">
      <c r="J506" s="234"/>
      <c r="N506" s="234"/>
    </row>
    <row r="507" spans="10:14" x14ac:dyDescent="0.2">
      <c r="J507" s="234"/>
      <c r="N507" s="234"/>
    </row>
    <row r="508" spans="10:14" x14ac:dyDescent="0.2">
      <c r="J508" s="234"/>
      <c r="N508" s="234"/>
    </row>
    <row r="509" spans="10:14" x14ac:dyDescent="0.2">
      <c r="J509" s="234"/>
      <c r="N509" s="234"/>
    </row>
    <row r="510" spans="10:14" x14ac:dyDescent="0.2">
      <c r="J510" s="234"/>
      <c r="N510" s="234"/>
    </row>
    <row r="511" spans="10:14" x14ac:dyDescent="0.2">
      <c r="J511" s="234"/>
      <c r="N511" s="234"/>
    </row>
    <row r="512" spans="10:14" x14ac:dyDescent="0.2">
      <c r="J512" s="234"/>
      <c r="N512" s="234"/>
    </row>
    <row r="513" spans="10:14" x14ac:dyDescent="0.2">
      <c r="J513" s="234"/>
      <c r="N513" s="234"/>
    </row>
    <row r="514" spans="10:14" x14ac:dyDescent="0.2">
      <c r="J514" s="234"/>
      <c r="N514" s="234"/>
    </row>
    <row r="515" spans="10:14" x14ac:dyDescent="0.2">
      <c r="J515" s="234"/>
      <c r="N515" s="234"/>
    </row>
    <row r="516" spans="10:14" x14ac:dyDescent="0.2">
      <c r="J516" s="234"/>
      <c r="N516" s="234"/>
    </row>
    <row r="517" spans="10:14" x14ac:dyDescent="0.2">
      <c r="J517" s="234"/>
      <c r="N517" s="234"/>
    </row>
    <row r="518" spans="10:14" x14ac:dyDescent="0.2">
      <c r="J518" s="234"/>
      <c r="N518" s="234"/>
    </row>
    <row r="519" spans="10:14" x14ac:dyDescent="0.2">
      <c r="J519" s="234"/>
      <c r="N519" s="234"/>
    </row>
    <row r="520" spans="10:14" x14ac:dyDescent="0.2">
      <c r="J520" s="234"/>
      <c r="N520" s="234"/>
    </row>
    <row r="521" spans="10:14" x14ac:dyDescent="0.2">
      <c r="J521" s="234"/>
      <c r="N521" s="234"/>
    </row>
    <row r="522" spans="10:14" x14ac:dyDescent="0.2">
      <c r="J522" s="234"/>
      <c r="N522" s="234"/>
    </row>
    <row r="523" spans="10:14" x14ac:dyDescent="0.2">
      <c r="J523" s="234"/>
      <c r="N523" s="234"/>
    </row>
    <row r="524" spans="10:14" x14ac:dyDescent="0.2">
      <c r="J524" s="234"/>
      <c r="N524" s="234"/>
    </row>
    <row r="525" spans="10:14" x14ac:dyDescent="0.2">
      <c r="J525" s="234"/>
      <c r="N525" s="234"/>
    </row>
    <row r="526" spans="10:14" x14ac:dyDescent="0.2">
      <c r="J526" s="234"/>
      <c r="N526" s="234"/>
    </row>
    <row r="527" spans="10:14" x14ac:dyDescent="0.2">
      <c r="J527" s="234"/>
      <c r="N527" s="234"/>
    </row>
    <row r="528" spans="10:14" x14ac:dyDescent="0.2">
      <c r="J528" s="234"/>
      <c r="N528" s="234"/>
    </row>
    <row r="529" spans="10:14" x14ac:dyDescent="0.2">
      <c r="J529" s="234"/>
      <c r="N529" s="234"/>
    </row>
    <row r="530" spans="10:14" x14ac:dyDescent="0.2">
      <c r="J530" s="234"/>
      <c r="N530" s="234"/>
    </row>
    <row r="531" spans="10:14" x14ac:dyDescent="0.2">
      <c r="J531" s="234"/>
      <c r="N531" s="234"/>
    </row>
    <row r="532" spans="10:14" x14ac:dyDescent="0.2">
      <c r="J532" s="234"/>
      <c r="N532" s="234"/>
    </row>
    <row r="533" spans="10:14" x14ac:dyDescent="0.2">
      <c r="J533" s="234"/>
      <c r="N533" s="234"/>
    </row>
    <row r="534" spans="10:14" x14ac:dyDescent="0.2">
      <c r="J534" s="234"/>
      <c r="N534" s="234"/>
    </row>
    <row r="535" spans="10:14" x14ac:dyDescent="0.2">
      <c r="J535" s="234"/>
      <c r="N535" s="234"/>
    </row>
    <row r="536" spans="10:14" x14ac:dyDescent="0.2">
      <c r="J536" s="234"/>
      <c r="N536" s="234"/>
    </row>
    <row r="537" spans="10:14" x14ac:dyDescent="0.2">
      <c r="J537" s="234"/>
      <c r="N537" s="234"/>
    </row>
    <row r="538" spans="10:14" x14ac:dyDescent="0.2">
      <c r="J538" s="234"/>
      <c r="N538" s="234"/>
    </row>
    <row r="539" spans="10:14" x14ac:dyDescent="0.2">
      <c r="J539" s="234"/>
      <c r="N539" s="234"/>
    </row>
    <row r="540" spans="10:14" x14ac:dyDescent="0.2">
      <c r="J540" s="234"/>
      <c r="N540" s="234"/>
    </row>
    <row r="541" spans="10:14" x14ac:dyDescent="0.2">
      <c r="J541" s="234"/>
      <c r="N541" s="234"/>
    </row>
    <row r="542" spans="10:14" x14ac:dyDescent="0.2">
      <c r="J542" s="234"/>
      <c r="N542" s="234"/>
    </row>
    <row r="543" spans="10:14" x14ac:dyDescent="0.2">
      <c r="J543" s="234"/>
      <c r="N543" s="234"/>
    </row>
    <row r="544" spans="10:14" x14ac:dyDescent="0.2">
      <c r="J544" s="234"/>
      <c r="N544" s="234"/>
    </row>
    <row r="545" spans="10:14" x14ac:dyDescent="0.2">
      <c r="J545" s="234"/>
      <c r="N545" s="234"/>
    </row>
    <row r="546" spans="10:14" x14ac:dyDescent="0.2">
      <c r="J546" s="234"/>
      <c r="N546" s="234"/>
    </row>
    <row r="547" spans="10:14" x14ac:dyDescent="0.2">
      <c r="J547" s="234"/>
      <c r="N547" s="234"/>
    </row>
    <row r="548" spans="10:14" x14ac:dyDescent="0.2">
      <c r="J548" s="234"/>
      <c r="N548" s="234"/>
    </row>
    <row r="549" spans="10:14" x14ac:dyDescent="0.2">
      <c r="J549" s="234"/>
      <c r="N549" s="234"/>
    </row>
    <row r="550" spans="10:14" x14ac:dyDescent="0.2">
      <c r="J550" s="234"/>
      <c r="N550" s="234"/>
    </row>
    <row r="551" spans="10:14" x14ac:dyDescent="0.2">
      <c r="J551" s="234"/>
      <c r="N551" s="234"/>
    </row>
    <row r="552" spans="10:14" x14ac:dyDescent="0.2">
      <c r="J552" s="234"/>
      <c r="N552" s="234"/>
    </row>
    <row r="553" spans="10:14" x14ac:dyDescent="0.2">
      <c r="J553" s="234"/>
      <c r="N553" s="234"/>
    </row>
    <row r="554" spans="10:14" x14ac:dyDescent="0.2">
      <c r="J554" s="234"/>
      <c r="N554" s="234"/>
    </row>
    <row r="555" spans="10:14" x14ac:dyDescent="0.2">
      <c r="J555" s="234"/>
      <c r="N555" s="234"/>
    </row>
    <row r="556" spans="10:14" x14ac:dyDescent="0.2">
      <c r="J556" s="234"/>
      <c r="N556" s="234"/>
    </row>
    <row r="557" spans="10:14" x14ac:dyDescent="0.2">
      <c r="J557" s="234"/>
      <c r="N557" s="234"/>
    </row>
    <row r="558" spans="10:14" x14ac:dyDescent="0.2">
      <c r="J558" s="234"/>
      <c r="N558" s="234"/>
    </row>
    <row r="559" spans="10:14" x14ac:dyDescent="0.2">
      <c r="J559" s="234"/>
      <c r="N559" s="234"/>
    </row>
    <row r="560" spans="10:14" x14ac:dyDescent="0.2">
      <c r="J560" s="234"/>
      <c r="N560" s="234"/>
    </row>
    <row r="561" spans="10:14" x14ac:dyDescent="0.2">
      <c r="J561" s="234"/>
      <c r="N561" s="234"/>
    </row>
    <row r="562" spans="10:14" x14ac:dyDescent="0.2">
      <c r="J562" s="234"/>
      <c r="N562" s="234"/>
    </row>
    <row r="563" spans="10:14" x14ac:dyDescent="0.2">
      <c r="J563" s="234"/>
      <c r="N563" s="234"/>
    </row>
    <row r="564" spans="10:14" x14ac:dyDescent="0.2">
      <c r="J564" s="234"/>
      <c r="N564" s="234"/>
    </row>
    <row r="565" spans="10:14" x14ac:dyDescent="0.2">
      <c r="J565" s="234"/>
      <c r="N565" s="234"/>
    </row>
    <row r="566" spans="10:14" x14ac:dyDescent="0.2">
      <c r="J566" s="234"/>
      <c r="N566" s="234"/>
    </row>
    <row r="567" spans="10:14" x14ac:dyDescent="0.2">
      <c r="J567" s="234"/>
      <c r="N567" s="234"/>
    </row>
    <row r="568" spans="10:14" x14ac:dyDescent="0.2">
      <c r="J568" s="234"/>
      <c r="N568" s="234"/>
    </row>
    <row r="569" spans="10:14" x14ac:dyDescent="0.2">
      <c r="J569" s="234"/>
      <c r="N569" s="234"/>
    </row>
    <row r="570" spans="10:14" x14ac:dyDescent="0.2">
      <c r="J570" s="234"/>
      <c r="N570" s="234"/>
    </row>
    <row r="571" spans="10:14" x14ac:dyDescent="0.2">
      <c r="J571" s="234"/>
      <c r="N571" s="234"/>
    </row>
    <row r="572" spans="10:14" x14ac:dyDescent="0.2">
      <c r="J572" s="234"/>
      <c r="N572" s="234"/>
    </row>
    <row r="573" spans="10:14" x14ac:dyDescent="0.2">
      <c r="J573" s="234"/>
      <c r="N573" s="234"/>
    </row>
    <row r="574" spans="10:14" x14ac:dyDescent="0.2">
      <c r="J574" s="234"/>
      <c r="N574" s="234"/>
    </row>
    <row r="575" spans="10:14" x14ac:dyDescent="0.2">
      <c r="J575" s="234"/>
      <c r="N575" s="234"/>
    </row>
    <row r="576" spans="10:14" x14ac:dyDescent="0.2">
      <c r="J576" s="234"/>
      <c r="N576" s="234"/>
    </row>
    <row r="577" spans="10:14" x14ac:dyDescent="0.2">
      <c r="J577" s="234"/>
      <c r="N577" s="234"/>
    </row>
    <row r="578" spans="10:14" x14ac:dyDescent="0.2">
      <c r="J578" s="234"/>
      <c r="N578" s="234"/>
    </row>
    <row r="579" spans="10:14" x14ac:dyDescent="0.2">
      <c r="J579" s="234"/>
      <c r="N579" s="234"/>
    </row>
    <row r="580" spans="10:14" x14ac:dyDescent="0.2">
      <c r="J580" s="234"/>
      <c r="N580" s="234"/>
    </row>
    <row r="581" spans="10:14" x14ac:dyDescent="0.2">
      <c r="J581" s="234"/>
      <c r="N581" s="234"/>
    </row>
    <row r="582" spans="10:14" x14ac:dyDescent="0.2">
      <c r="J582" s="234"/>
      <c r="N582" s="234"/>
    </row>
    <row r="583" spans="10:14" x14ac:dyDescent="0.2">
      <c r="J583" s="234"/>
      <c r="N583" s="234"/>
    </row>
    <row r="584" spans="10:14" x14ac:dyDescent="0.2">
      <c r="J584" s="234"/>
      <c r="N584" s="234"/>
    </row>
    <row r="585" spans="10:14" x14ac:dyDescent="0.2">
      <c r="J585" s="234"/>
      <c r="N585" s="234"/>
    </row>
    <row r="586" spans="10:14" x14ac:dyDescent="0.2">
      <c r="J586" s="234"/>
      <c r="N586" s="234"/>
    </row>
    <row r="587" spans="10:14" x14ac:dyDescent="0.2">
      <c r="J587" s="234"/>
      <c r="N587" s="234"/>
    </row>
    <row r="588" spans="10:14" x14ac:dyDescent="0.2">
      <c r="J588" s="234"/>
      <c r="N588" s="234"/>
    </row>
    <row r="589" spans="10:14" x14ac:dyDescent="0.2">
      <c r="J589" s="234"/>
      <c r="N589" s="234"/>
    </row>
    <row r="590" spans="10:14" x14ac:dyDescent="0.2">
      <c r="J590" s="234"/>
      <c r="N590" s="234"/>
    </row>
    <row r="591" spans="10:14" x14ac:dyDescent="0.2">
      <c r="J591" s="234"/>
      <c r="N591" s="234"/>
    </row>
    <row r="592" spans="10:14" x14ac:dyDescent="0.2">
      <c r="J592" s="234"/>
      <c r="N592" s="234"/>
    </row>
    <row r="593" spans="10:14" x14ac:dyDescent="0.2">
      <c r="J593" s="234"/>
      <c r="N593" s="234"/>
    </row>
    <row r="594" spans="10:14" x14ac:dyDescent="0.2">
      <c r="J594" s="234"/>
      <c r="N594" s="234"/>
    </row>
    <row r="595" spans="10:14" x14ac:dyDescent="0.2">
      <c r="J595" s="234"/>
      <c r="N595" s="234"/>
    </row>
    <row r="596" spans="10:14" x14ac:dyDescent="0.2">
      <c r="J596" s="234"/>
      <c r="N596" s="234"/>
    </row>
    <row r="597" spans="10:14" x14ac:dyDescent="0.2">
      <c r="J597" s="234"/>
      <c r="N597" s="234"/>
    </row>
    <row r="598" spans="10:14" x14ac:dyDescent="0.2">
      <c r="J598" s="234"/>
      <c r="N598" s="234"/>
    </row>
    <row r="599" spans="10:14" x14ac:dyDescent="0.2">
      <c r="J599" s="234"/>
      <c r="N599" s="234"/>
    </row>
    <row r="600" spans="10:14" x14ac:dyDescent="0.2">
      <c r="J600" s="234"/>
      <c r="N600" s="234"/>
    </row>
    <row r="601" spans="10:14" x14ac:dyDescent="0.2">
      <c r="J601" s="234"/>
      <c r="N601" s="234"/>
    </row>
    <row r="602" spans="10:14" x14ac:dyDescent="0.2">
      <c r="J602" s="234"/>
      <c r="N602" s="234"/>
    </row>
    <row r="603" spans="10:14" x14ac:dyDescent="0.2">
      <c r="J603" s="234"/>
      <c r="N603" s="234"/>
    </row>
    <row r="604" spans="10:14" x14ac:dyDescent="0.2">
      <c r="J604" s="234"/>
      <c r="N604" s="234"/>
    </row>
    <row r="605" spans="10:14" x14ac:dyDescent="0.2">
      <c r="J605" s="234"/>
      <c r="N605" s="234"/>
    </row>
    <row r="606" spans="10:14" x14ac:dyDescent="0.2">
      <c r="J606" s="234"/>
      <c r="N606" s="234"/>
    </row>
    <row r="607" spans="10:14" x14ac:dyDescent="0.2">
      <c r="J607" s="234"/>
      <c r="N607" s="234"/>
    </row>
    <row r="608" spans="10:14" x14ac:dyDescent="0.2">
      <c r="J608" s="234"/>
      <c r="N608" s="234"/>
    </row>
    <row r="609" spans="10:14" x14ac:dyDescent="0.2">
      <c r="J609" s="234"/>
      <c r="N609" s="234"/>
    </row>
    <row r="610" spans="10:14" x14ac:dyDescent="0.2">
      <c r="J610" s="234"/>
      <c r="N610" s="234"/>
    </row>
    <row r="611" spans="10:14" x14ac:dyDescent="0.2">
      <c r="J611" s="234"/>
      <c r="N611" s="234"/>
    </row>
    <row r="612" spans="10:14" x14ac:dyDescent="0.2">
      <c r="J612" s="234"/>
      <c r="N612" s="234"/>
    </row>
    <row r="613" spans="10:14" x14ac:dyDescent="0.2">
      <c r="J613" s="234"/>
      <c r="N613" s="234"/>
    </row>
    <row r="614" spans="10:14" x14ac:dyDescent="0.2">
      <c r="J614" s="234"/>
      <c r="N614" s="234"/>
    </row>
    <row r="615" spans="10:14" x14ac:dyDescent="0.2">
      <c r="J615" s="234"/>
      <c r="N615" s="234"/>
    </row>
    <row r="616" spans="10:14" x14ac:dyDescent="0.2">
      <c r="J616" s="234"/>
      <c r="N616" s="234"/>
    </row>
    <row r="617" spans="10:14" x14ac:dyDescent="0.2">
      <c r="J617" s="234"/>
      <c r="N617" s="234"/>
    </row>
    <row r="618" spans="10:14" x14ac:dyDescent="0.2">
      <c r="J618" s="234"/>
      <c r="N618" s="234"/>
    </row>
    <row r="619" spans="10:14" x14ac:dyDescent="0.2">
      <c r="J619" s="234"/>
      <c r="N619" s="234"/>
    </row>
    <row r="620" spans="10:14" x14ac:dyDescent="0.2">
      <c r="J620" s="234"/>
      <c r="N620" s="234"/>
    </row>
    <row r="621" spans="10:14" x14ac:dyDescent="0.2">
      <c r="J621" s="234"/>
      <c r="N621" s="234"/>
    </row>
    <row r="622" spans="10:14" x14ac:dyDescent="0.2">
      <c r="J622" s="234"/>
      <c r="N622" s="234"/>
    </row>
    <row r="623" spans="10:14" x14ac:dyDescent="0.2">
      <c r="J623" s="234"/>
      <c r="N623" s="234"/>
    </row>
    <row r="624" spans="10:14" x14ac:dyDescent="0.2">
      <c r="J624" s="234"/>
      <c r="N624" s="234"/>
    </row>
    <row r="625" spans="10:14" x14ac:dyDescent="0.2">
      <c r="J625" s="234"/>
      <c r="N625" s="234"/>
    </row>
    <row r="626" spans="10:14" x14ac:dyDescent="0.2">
      <c r="J626" s="234"/>
      <c r="N626" s="234"/>
    </row>
    <row r="627" spans="10:14" x14ac:dyDescent="0.2">
      <c r="J627" s="234"/>
      <c r="N627" s="234"/>
    </row>
    <row r="628" spans="10:14" x14ac:dyDescent="0.2">
      <c r="J628" s="234"/>
      <c r="N628" s="234"/>
    </row>
    <row r="629" spans="10:14" x14ac:dyDescent="0.2">
      <c r="J629" s="234"/>
      <c r="N629" s="234"/>
    </row>
    <row r="630" spans="10:14" x14ac:dyDescent="0.2">
      <c r="J630" s="234"/>
      <c r="N630" s="234"/>
    </row>
    <row r="631" spans="10:14" x14ac:dyDescent="0.2">
      <c r="J631" s="234"/>
      <c r="N631" s="234"/>
    </row>
    <row r="632" spans="10:14" x14ac:dyDescent="0.2">
      <c r="J632" s="234"/>
      <c r="N632" s="234"/>
    </row>
    <row r="633" spans="10:14" x14ac:dyDescent="0.2">
      <c r="J633" s="234"/>
      <c r="N633" s="234"/>
    </row>
    <row r="634" spans="10:14" x14ac:dyDescent="0.2">
      <c r="J634" s="234"/>
      <c r="N634" s="234"/>
    </row>
    <row r="635" spans="10:14" x14ac:dyDescent="0.2">
      <c r="J635" s="234"/>
      <c r="N635" s="234"/>
    </row>
    <row r="636" spans="10:14" x14ac:dyDescent="0.2">
      <c r="J636" s="234"/>
      <c r="N636" s="234"/>
    </row>
    <row r="637" spans="10:14" x14ac:dyDescent="0.2">
      <c r="J637" s="234"/>
      <c r="N637" s="234"/>
    </row>
    <row r="638" spans="10:14" x14ac:dyDescent="0.2">
      <c r="J638" s="234"/>
      <c r="N638" s="234"/>
    </row>
    <row r="639" spans="10:14" x14ac:dyDescent="0.2">
      <c r="J639" s="234"/>
      <c r="N639" s="234"/>
    </row>
    <row r="640" spans="10:14" x14ac:dyDescent="0.2">
      <c r="J640" s="234"/>
      <c r="N640" s="234"/>
    </row>
    <row r="641" spans="10:14" x14ac:dyDescent="0.2">
      <c r="J641" s="234"/>
      <c r="N641" s="234"/>
    </row>
    <row r="642" spans="10:14" x14ac:dyDescent="0.2">
      <c r="J642" s="234"/>
      <c r="N642" s="234"/>
    </row>
    <row r="643" spans="10:14" x14ac:dyDescent="0.2">
      <c r="J643" s="234"/>
      <c r="N643" s="234"/>
    </row>
    <row r="644" spans="10:14" x14ac:dyDescent="0.2">
      <c r="J644" s="234"/>
      <c r="N644" s="234"/>
    </row>
    <row r="645" spans="10:14" x14ac:dyDescent="0.2">
      <c r="J645" s="234"/>
      <c r="N645" s="234"/>
    </row>
    <row r="646" spans="10:14" x14ac:dyDescent="0.2">
      <c r="J646" s="234"/>
      <c r="N646" s="234"/>
    </row>
    <row r="647" spans="10:14" x14ac:dyDescent="0.2">
      <c r="J647" s="234"/>
      <c r="N647" s="234"/>
    </row>
    <row r="648" spans="10:14" x14ac:dyDescent="0.2">
      <c r="J648" s="234"/>
      <c r="N648" s="234"/>
    </row>
    <row r="649" spans="10:14" x14ac:dyDescent="0.2">
      <c r="J649" s="234"/>
      <c r="N649" s="234"/>
    </row>
    <row r="650" spans="10:14" x14ac:dyDescent="0.2">
      <c r="J650" s="234"/>
      <c r="N650" s="234"/>
    </row>
    <row r="651" spans="10:14" x14ac:dyDescent="0.2">
      <c r="J651" s="234"/>
      <c r="N651" s="234"/>
    </row>
    <row r="652" spans="10:14" x14ac:dyDescent="0.2">
      <c r="J652" s="234"/>
      <c r="N652" s="234"/>
    </row>
    <row r="653" spans="10:14" x14ac:dyDescent="0.2">
      <c r="J653" s="234"/>
      <c r="N653" s="234"/>
    </row>
    <row r="654" spans="10:14" x14ac:dyDescent="0.2">
      <c r="J654" s="234"/>
      <c r="N654" s="234"/>
    </row>
    <row r="655" spans="10:14" x14ac:dyDescent="0.2">
      <c r="J655" s="234"/>
      <c r="N655" s="234"/>
    </row>
    <row r="656" spans="10:14" x14ac:dyDescent="0.2">
      <c r="J656" s="234"/>
      <c r="N656" s="234"/>
    </row>
    <row r="657" spans="10:14" x14ac:dyDescent="0.2">
      <c r="J657" s="234"/>
      <c r="N657" s="234"/>
    </row>
    <row r="658" spans="10:14" x14ac:dyDescent="0.2">
      <c r="J658" s="234"/>
      <c r="N658" s="234"/>
    </row>
    <row r="659" spans="10:14" x14ac:dyDescent="0.2">
      <c r="J659" s="234"/>
      <c r="N659" s="234"/>
    </row>
    <row r="660" spans="10:14" x14ac:dyDescent="0.2">
      <c r="J660" s="234"/>
      <c r="N660" s="234"/>
    </row>
    <row r="661" spans="10:14" x14ac:dyDescent="0.2">
      <c r="J661" s="234"/>
      <c r="N661" s="234"/>
    </row>
    <row r="662" spans="10:14" x14ac:dyDescent="0.2">
      <c r="J662" s="234"/>
      <c r="N662" s="234"/>
    </row>
    <row r="663" spans="10:14" x14ac:dyDescent="0.2">
      <c r="J663" s="234"/>
      <c r="N663" s="234"/>
    </row>
    <row r="664" spans="10:14" x14ac:dyDescent="0.2">
      <c r="J664" s="234"/>
      <c r="N664" s="234"/>
    </row>
    <row r="665" spans="10:14" x14ac:dyDescent="0.2">
      <c r="J665" s="234"/>
      <c r="N665" s="234"/>
    </row>
    <row r="666" spans="10:14" x14ac:dyDescent="0.2">
      <c r="J666" s="234"/>
      <c r="N666" s="234"/>
    </row>
    <row r="667" spans="10:14" x14ac:dyDescent="0.2">
      <c r="J667" s="234"/>
      <c r="N667" s="234"/>
    </row>
    <row r="668" spans="10:14" x14ac:dyDescent="0.2">
      <c r="J668" s="234"/>
      <c r="N668" s="234"/>
    </row>
    <row r="669" spans="10:14" x14ac:dyDescent="0.2">
      <c r="J669" s="234"/>
      <c r="N669" s="234"/>
    </row>
    <row r="670" spans="10:14" x14ac:dyDescent="0.2">
      <c r="J670" s="234"/>
      <c r="N670" s="234"/>
    </row>
    <row r="671" spans="10:14" x14ac:dyDescent="0.2">
      <c r="J671" s="234"/>
      <c r="N671" s="234"/>
    </row>
    <row r="672" spans="10:14" x14ac:dyDescent="0.2">
      <c r="J672" s="234"/>
      <c r="N672" s="234"/>
    </row>
    <row r="673" spans="10:14" x14ac:dyDescent="0.2">
      <c r="J673" s="234"/>
      <c r="N673" s="234"/>
    </row>
    <row r="674" spans="10:14" x14ac:dyDescent="0.2">
      <c r="J674" s="234"/>
      <c r="N674" s="234"/>
    </row>
    <row r="675" spans="10:14" x14ac:dyDescent="0.2">
      <c r="J675" s="234"/>
      <c r="N675" s="234"/>
    </row>
    <row r="676" spans="10:14" x14ac:dyDescent="0.2">
      <c r="J676" s="234"/>
      <c r="N676" s="234"/>
    </row>
    <row r="677" spans="10:14" x14ac:dyDescent="0.2">
      <c r="J677" s="234"/>
      <c r="N677" s="234"/>
    </row>
    <row r="678" spans="10:14" x14ac:dyDescent="0.2">
      <c r="J678" s="234"/>
      <c r="N678" s="234"/>
    </row>
    <row r="679" spans="10:14" x14ac:dyDescent="0.2">
      <c r="J679" s="234"/>
      <c r="N679" s="234"/>
    </row>
    <row r="680" spans="10:14" x14ac:dyDescent="0.2">
      <c r="J680" s="234"/>
      <c r="N680" s="234"/>
    </row>
    <row r="681" spans="10:14" x14ac:dyDescent="0.2">
      <c r="J681" s="234"/>
      <c r="N681" s="234"/>
    </row>
    <row r="682" spans="10:14" x14ac:dyDescent="0.2">
      <c r="J682" s="234"/>
      <c r="N682" s="234"/>
    </row>
    <row r="683" spans="10:14" x14ac:dyDescent="0.2">
      <c r="J683" s="234"/>
      <c r="N683" s="234"/>
    </row>
    <row r="684" spans="10:14" x14ac:dyDescent="0.2">
      <c r="J684" s="234"/>
      <c r="N684" s="234"/>
    </row>
    <row r="685" spans="10:14" x14ac:dyDescent="0.2">
      <c r="J685" s="234"/>
      <c r="N685" s="234"/>
    </row>
    <row r="686" spans="10:14" x14ac:dyDescent="0.2">
      <c r="J686" s="234"/>
      <c r="N686" s="234"/>
    </row>
    <row r="687" spans="10:14" x14ac:dyDescent="0.2">
      <c r="J687" s="234"/>
      <c r="N687" s="234"/>
    </row>
    <row r="688" spans="10:14" x14ac:dyDescent="0.2">
      <c r="J688" s="234"/>
      <c r="N688" s="234"/>
    </row>
    <row r="689" spans="10:14" x14ac:dyDescent="0.2">
      <c r="J689" s="234"/>
      <c r="N689" s="234"/>
    </row>
    <row r="690" spans="10:14" x14ac:dyDescent="0.2">
      <c r="J690" s="234"/>
      <c r="N690" s="234"/>
    </row>
    <row r="691" spans="10:14" x14ac:dyDescent="0.2">
      <c r="J691" s="234"/>
      <c r="N691" s="234"/>
    </row>
    <row r="692" spans="10:14" x14ac:dyDescent="0.2">
      <c r="J692" s="234"/>
      <c r="N692" s="234"/>
    </row>
    <row r="693" spans="10:14" x14ac:dyDescent="0.2">
      <c r="J693" s="234"/>
      <c r="N693" s="234"/>
    </row>
    <row r="694" spans="10:14" x14ac:dyDescent="0.2">
      <c r="J694" s="234"/>
      <c r="N694" s="234"/>
    </row>
    <row r="695" spans="10:14" x14ac:dyDescent="0.2">
      <c r="J695" s="234"/>
      <c r="N695" s="234"/>
    </row>
    <row r="696" spans="10:14" x14ac:dyDescent="0.2">
      <c r="J696" s="234"/>
      <c r="N696" s="234"/>
    </row>
    <row r="697" spans="10:14" x14ac:dyDescent="0.2">
      <c r="J697" s="234"/>
      <c r="N697" s="234"/>
    </row>
    <row r="698" spans="10:14" x14ac:dyDescent="0.2">
      <c r="J698" s="234"/>
      <c r="N698" s="234"/>
    </row>
    <row r="699" spans="10:14" x14ac:dyDescent="0.2">
      <c r="J699" s="234"/>
      <c r="N699" s="234"/>
    </row>
    <row r="700" spans="10:14" x14ac:dyDescent="0.2">
      <c r="J700" s="234"/>
      <c r="N700" s="234"/>
    </row>
    <row r="701" spans="10:14" x14ac:dyDescent="0.2">
      <c r="J701" s="234"/>
      <c r="N701" s="234"/>
    </row>
    <row r="702" spans="10:14" x14ac:dyDescent="0.2">
      <c r="J702" s="234"/>
      <c r="N702" s="234"/>
    </row>
    <row r="703" spans="10:14" x14ac:dyDescent="0.2">
      <c r="J703" s="234"/>
      <c r="N703" s="234"/>
    </row>
    <row r="704" spans="10:14" x14ac:dyDescent="0.2">
      <c r="J704" s="234"/>
      <c r="N704" s="234"/>
    </row>
    <row r="705" spans="10:14" x14ac:dyDescent="0.2">
      <c r="J705" s="234"/>
      <c r="N705" s="234"/>
    </row>
    <row r="706" spans="10:14" x14ac:dyDescent="0.2">
      <c r="J706" s="234"/>
      <c r="N706" s="234"/>
    </row>
    <row r="707" spans="10:14" x14ac:dyDescent="0.2">
      <c r="J707" s="234"/>
      <c r="N707" s="234"/>
    </row>
    <row r="708" spans="10:14" x14ac:dyDescent="0.2">
      <c r="J708" s="234"/>
      <c r="N708" s="234"/>
    </row>
    <row r="709" spans="10:14" x14ac:dyDescent="0.2">
      <c r="J709" s="234"/>
      <c r="N709" s="234"/>
    </row>
    <row r="710" spans="10:14" x14ac:dyDescent="0.2">
      <c r="J710" s="234"/>
      <c r="N710" s="234"/>
    </row>
    <row r="711" spans="10:14" x14ac:dyDescent="0.2">
      <c r="J711" s="234"/>
      <c r="N711" s="234"/>
    </row>
    <row r="712" spans="10:14" x14ac:dyDescent="0.2">
      <c r="J712" s="234"/>
      <c r="N712" s="234"/>
    </row>
    <row r="713" spans="10:14" x14ac:dyDescent="0.2">
      <c r="J713" s="234"/>
      <c r="N713" s="234"/>
    </row>
    <row r="714" spans="10:14" x14ac:dyDescent="0.2">
      <c r="J714" s="234"/>
      <c r="N714" s="234"/>
    </row>
    <row r="715" spans="10:14" x14ac:dyDescent="0.2">
      <c r="J715" s="234"/>
      <c r="N715" s="234"/>
    </row>
    <row r="716" spans="10:14" x14ac:dyDescent="0.2">
      <c r="J716" s="234"/>
      <c r="N716" s="234"/>
    </row>
    <row r="717" spans="10:14" x14ac:dyDescent="0.2">
      <c r="J717" s="234"/>
      <c r="N717" s="234"/>
    </row>
    <row r="718" spans="10:14" x14ac:dyDescent="0.2">
      <c r="J718" s="234"/>
      <c r="N718" s="234"/>
    </row>
    <row r="719" spans="10:14" x14ac:dyDescent="0.2">
      <c r="J719" s="234"/>
      <c r="N719" s="234"/>
    </row>
    <row r="720" spans="10:14" x14ac:dyDescent="0.2">
      <c r="J720" s="234"/>
      <c r="N720" s="234"/>
    </row>
    <row r="721" spans="10:14" x14ac:dyDescent="0.2">
      <c r="J721" s="234"/>
      <c r="N721" s="234"/>
    </row>
    <row r="722" spans="10:14" x14ac:dyDescent="0.2">
      <c r="J722" s="234"/>
      <c r="N722" s="234"/>
    </row>
    <row r="723" spans="10:14" x14ac:dyDescent="0.2">
      <c r="J723" s="234"/>
      <c r="N723" s="234"/>
    </row>
    <row r="724" spans="10:14" x14ac:dyDescent="0.2">
      <c r="J724" s="234"/>
      <c r="N724" s="234"/>
    </row>
    <row r="725" spans="10:14" x14ac:dyDescent="0.2">
      <c r="J725" s="234"/>
      <c r="N725" s="234"/>
    </row>
    <row r="726" spans="10:14" x14ac:dyDescent="0.2">
      <c r="J726" s="234"/>
      <c r="N726" s="234"/>
    </row>
    <row r="727" spans="10:14" x14ac:dyDescent="0.2">
      <c r="J727" s="234"/>
      <c r="N727" s="234"/>
    </row>
    <row r="728" spans="10:14" x14ac:dyDescent="0.2">
      <c r="J728" s="234"/>
      <c r="N728" s="234"/>
    </row>
    <row r="729" spans="10:14" x14ac:dyDescent="0.2">
      <c r="J729" s="234"/>
      <c r="N729" s="234"/>
    </row>
    <row r="730" spans="10:14" x14ac:dyDescent="0.2">
      <c r="J730" s="234"/>
      <c r="N730" s="234"/>
    </row>
    <row r="731" spans="10:14" x14ac:dyDescent="0.2">
      <c r="J731" s="234"/>
      <c r="N731" s="234"/>
    </row>
    <row r="732" spans="10:14" x14ac:dyDescent="0.2">
      <c r="J732" s="234"/>
      <c r="N732" s="234"/>
    </row>
    <row r="733" spans="10:14" x14ac:dyDescent="0.2">
      <c r="J733" s="234"/>
      <c r="N733" s="234"/>
    </row>
    <row r="734" spans="10:14" x14ac:dyDescent="0.2">
      <c r="J734" s="234"/>
      <c r="N734" s="234"/>
    </row>
    <row r="735" spans="10:14" x14ac:dyDescent="0.2">
      <c r="J735" s="234"/>
      <c r="N735" s="234"/>
    </row>
    <row r="736" spans="10:14" x14ac:dyDescent="0.2">
      <c r="J736" s="234"/>
      <c r="N736" s="234"/>
    </row>
    <row r="737" spans="10:14" x14ac:dyDescent="0.2">
      <c r="J737" s="234"/>
      <c r="N737" s="234"/>
    </row>
    <row r="738" spans="10:14" x14ac:dyDescent="0.2">
      <c r="J738" s="234"/>
      <c r="N738" s="234"/>
    </row>
    <row r="739" spans="10:14" x14ac:dyDescent="0.2">
      <c r="J739" s="234"/>
      <c r="N739" s="234"/>
    </row>
    <row r="740" spans="10:14" x14ac:dyDescent="0.2">
      <c r="J740" s="234"/>
      <c r="N740" s="234"/>
    </row>
    <row r="741" spans="10:14" x14ac:dyDescent="0.2">
      <c r="J741" s="234"/>
      <c r="N741" s="234"/>
    </row>
    <row r="742" spans="10:14" x14ac:dyDescent="0.2">
      <c r="J742" s="234"/>
      <c r="N742" s="234"/>
    </row>
    <row r="743" spans="10:14" x14ac:dyDescent="0.2">
      <c r="J743" s="234"/>
      <c r="N743" s="234"/>
    </row>
    <row r="744" spans="10:14" x14ac:dyDescent="0.2">
      <c r="J744" s="234"/>
      <c r="N744" s="234"/>
    </row>
    <row r="745" spans="10:14" x14ac:dyDescent="0.2">
      <c r="J745" s="234"/>
      <c r="N745" s="234"/>
    </row>
    <row r="746" spans="10:14" x14ac:dyDescent="0.2">
      <c r="J746" s="234"/>
      <c r="N746" s="234"/>
    </row>
    <row r="747" spans="10:14" x14ac:dyDescent="0.2">
      <c r="J747" s="234"/>
      <c r="N747" s="234"/>
    </row>
    <row r="748" spans="10:14" x14ac:dyDescent="0.2">
      <c r="J748" s="234"/>
      <c r="N748" s="234"/>
    </row>
    <row r="749" spans="10:14" x14ac:dyDescent="0.2">
      <c r="J749" s="234"/>
      <c r="N749" s="234"/>
    </row>
    <row r="750" spans="10:14" x14ac:dyDescent="0.2">
      <c r="J750" s="234"/>
      <c r="N750" s="234"/>
    </row>
    <row r="751" spans="10:14" x14ac:dyDescent="0.2">
      <c r="J751" s="234"/>
      <c r="N751" s="234"/>
    </row>
    <row r="752" spans="10:14" x14ac:dyDescent="0.2">
      <c r="J752" s="234"/>
      <c r="N752" s="234"/>
    </row>
    <row r="753" spans="10:14" x14ac:dyDescent="0.2">
      <c r="J753" s="234"/>
      <c r="N753" s="234"/>
    </row>
    <row r="754" spans="10:14" x14ac:dyDescent="0.2">
      <c r="J754" s="234"/>
      <c r="N754" s="234"/>
    </row>
    <row r="755" spans="10:14" x14ac:dyDescent="0.2">
      <c r="J755" s="234"/>
      <c r="N755" s="234"/>
    </row>
    <row r="756" spans="10:14" x14ac:dyDescent="0.2">
      <c r="J756" s="234"/>
      <c r="N756" s="234"/>
    </row>
    <row r="757" spans="10:14" x14ac:dyDescent="0.2">
      <c r="J757" s="234"/>
      <c r="N757" s="234"/>
    </row>
    <row r="758" spans="10:14" x14ac:dyDescent="0.2">
      <c r="J758" s="234"/>
      <c r="N758" s="234"/>
    </row>
    <row r="759" spans="10:14" x14ac:dyDescent="0.2">
      <c r="J759" s="234"/>
      <c r="N759" s="234"/>
    </row>
    <row r="760" spans="10:14" x14ac:dyDescent="0.2">
      <c r="J760" s="234"/>
      <c r="N760" s="234"/>
    </row>
    <row r="761" spans="10:14" x14ac:dyDescent="0.2">
      <c r="J761" s="234"/>
      <c r="N761" s="234"/>
    </row>
    <row r="762" spans="10:14" x14ac:dyDescent="0.2">
      <c r="J762" s="234"/>
      <c r="N762" s="234"/>
    </row>
    <row r="763" spans="10:14" x14ac:dyDescent="0.2">
      <c r="J763" s="234"/>
      <c r="N763" s="234"/>
    </row>
    <row r="764" spans="10:14" x14ac:dyDescent="0.2">
      <c r="J764" s="234"/>
      <c r="N764" s="234"/>
    </row>
    <row r="765" spans="10:14" x14ac:dyDescent="0.2">
      <c r="J765" s="234"/>
      <c r="N765" s="234"/>
    </row>
    <row r="766" spans="10:14" x14ac:dyDescent="0.2">
      <c r="J766" s="234"/>
      <c r="N766" s="234"/>
    </row>
    <row r="767" spans="10:14" x14ac:dyDescent="0.2">
      <c r="J767" s="234"/>
      <c r="N767" s="234"/>
    </row>
    <row r="768" spans="10:14" x14ac:dyDescent="0.2">
      <c r="J768" s="234"/>
      <c r="N768" s="234"/>
    </row>
    <row r="769" spans="10:14" x14ac:dyDescent="0.2">
      <c r="J769" s="234"/>
      <c r="N769" s="234"/>
    </row>
    <row r="770" spans="10:14" x14ac:dyDescent="0.2">
      <c r="J770" s="234"/>
      <c r="N770" s="234"/>
    </row>
    <row r="771" spans="10:14" x14ac:dyDescent="0.2">
      <c r="J771" s="234"/>
      <c r="N771" s="234"/>
    </row>
    <row r="772" spans="10:14" x14ac:dyDescent="0.2">
      <c r="J772" s="234"/>
      <c r="N772" s="234"/>
    </row>
    <row r="773" spans="10:14" x14ac:dyDescent="0.2">
      <c r="J773" s="234"/>
      <c r="N773" s="234"/>
    </row>
    <row r="774" spans="10:14" x14ac:dyDescent="0.2">
      <c r="J774" s="234"/>
      <c r="N774" s="234"/>
    </row>
    <row r="775" spans="10:14" x14ac:dyDescent="0.2">
      <c r="J775" s="234"/>
      <c r="N775" s="234"/>
    </row>
    <row r="776" spans="10:14" x14ac:dyDescent="0.2">
      <c r="J776" s="234"/>
      <c r="N776" s="234"/>
    </row>
    <row r="777" spans="10:14" x14ac:dyDescent="0.2">
      <c r="J777" s="234"/>
      <c r="N777" s="234"/>
    </row>
    <row r="778" spans="10:14" x14ac:dyDescent="0.2">
      <c r="J778" s="234"/>
      <c r="N778" s="234"/>
    </row>
    <row r="779" spans="10:14" x14ac:dyDescent="0.2">
      <c r="J779" s="234"/>
      <c r="N779" s="234"/>
    </row>
    <row r="780" spans="10:14" x14ac:dyDescent="0.2">
      <c r="J780" s="234"/>
      <c r="N780" s="234"/>
    </row>
    <row r="781" spans="10:14" x14ac:dyDescent="0.2">
      <c r="J781" s="234"/>
      <c r="N781" s="234"/>
    </row>
    <row r="782" spans="10:14" x14ac:dyDescent="0.2">
      <c r="J782" s="234"/>
      <c r="N782" s="234"/>
    </row>
    <row r="783" spans="10:14" x14ac:dyDescent="0.2">
      <c r="J783" s="234"/>
      <c r="N783" s="234"/>
    </row>
    <row r="784" spans="10:14" x14ac:dyDescent="0.2">
      <c r="J784" s="234"/>
      <c r="N784" s="234"/>
    </row>
    <row r="785" spans="10:14" x14ac:dyDescent="0.2">
      <c r="J785" s="234"/>
      <c r="N785" s="234"/>
    </row>
    <row r="786" spans="10:14" x14ac:dyDescent="0.2">
      <c r="J786" s="234"/>
      <c r="N786" s="234"/>
    </row>
    <row r="787" spans="10:14" x14ac:dyDescent="0.2">
      <c r="J787" s="234"/>
      <c r="N787" s="234"/>
    </row>
    <row r="788" spans="10:14" x14ac:dyDescent="0.2">
      <c r="J788" s="234"/>
      <c r="N788" s="234"/>
    </row>
    <row r="789" spans="10:14" x14ac:dyDescent="0.2">
      <c r="J789" s="234"/>
      <c r="N789" s="234"/>
    </row>
    <row r="790" spans="10:14" x14ac:dyDescent="0.2">
      <c r="J790" s="234"/>
      <c r="N790" s="234"/>
    </row>
    <row r="791" spans="10:14" x14ac:dyDescent="0.2">
      <c r="J791" s="234"/>
      <c r="N791" s="234"/>
    </row>
    <row r="792" spans="10:14" x14ac:dyDescent="0.2">
      <c r="J792" s="234"/>
      <c r="N792" s="234"/>
    </row>
    <row r="793" spans="10:14" x14ac:dyDescent="0.2">
      <c r="J793" s="234"/>
      <c r="N793" s="234"/>
    </row>
    <row r="794" spans="10:14" x14ac:dyDescent="0.2">
      <c r="J794" s="234"/>
      <c r="N794" s="234"/>
    </row>
    <row r="795" spans="10:14" x14ac:dyDescent="0.2">
      <c r="J795" s="234"/>
      <c r="N795" s="234"/>
    </row>
    <row r="796" spans="10:14" x14ac:dyDescent="0.2">
      <c r="J796" s="234"/>
      <c r="N796" s="234"/>
    </row>
    <row r="797" spans="10:14" x14ac:dyDescent="0.2">
      <c r="J797" s="234"/>
      <c r="N797" s="234"/>
    </row>
    <row r="798" spans="10:14" x14ac:dyDescent="0.2">
      <c r="J798" s="234"/>
      <c r="N798" s="234"/>
    </row>
    <row r="799" spans="10:14" x14ac:dyDescent="0.2">
      <c r="J799" s="234"/>
      <c r="N799" s="234"/>
    </row>
    <row r="800" spans="10:14" x14ac:dyDescent="0.2">
      <c r="J800" s="234"/>
      <c r="N800" s="234"/>
    </row>
    <row r="801" spans="10:14" x14ac:dyDescent="0.2">
      <c r="J801" s="234"/>
      <c r="N801" s="234"/>
    </row>
    <row r="802" spans="10:14" x14ac:dyDescent="0.2">
      <c r="J802" s="234"/>
      <c r="N802" s="234"/>
    </row>
    <row r="803" spans="10:14" x14ac:dyDescent="0.2">
      <c r="J803" s="234"/>
      <c r="N803" s="234"/>
    </row>
    <row r="804" spans="10:14" x14ac:dyDescent="0.2">
      <c r="J804" s="234"/>
      <c r="N804" s="234"/>
    </row>
    <row r="805" spans="10:14" x14ac:dyDescent="0.2">
      <c r="J805" s="234"/>
      <c r="N805" s="234"/>
    </row>
    <row r="806" spans="10:14" x14ac:dyDescent="0.2">
      <c r="J806" s="234"/>
      <c r="N806" s="234"/>
    </row>
    <row r="807" spans="10:14" x14ac:dyDescent="0.2">
      <c r="J807" s="234"/>
      <c r="N807" s="234"/>
    </row>
    <row r="808" spans="10:14" x14ac:dyDescent="0.2">
      <c r="J808" s="234"/>
      <c r="N808" s="234"/>
    </row>
    <row r="809" spans="10:14" x14ac:dyDescent="0.2">
      <c r="J809" s="234"/>
      <c r="N809" s="234"/>
    </row>
    <row r="810" spans="10:14" x14ac:dyDescent="0.2">
      <c r="J810" s="234"/>
      <c r="N810" s="234"/>
    </row>
    <row r="811" spans="10:14" x14ac:dyDescent="0.2">
      <c r="J811" s="234"/>
      <c r="N811" s="234"/>
    </row>
    <row r="812" spans="10:14" x14ac:dyDescent="0.2">
      <c r="J812" s="234"/>
      <c r="N812" s="234"/>
    </row>
    <row r="813" spans="10:14" x14ac:dyDescent="0.2">
      <c r="J813" s="234"/>
      <c r="N813" s="234"/>
    </row>
    <row r="814" spans="10:14" x14ac:dyDescent="0.2">
      <c r="J814" s="234"/>
      <c r="N814" s="234"/>
    </row>
    <row r="815" spans="10:14" x14ac:dyDescent="0.2">
      <c r="J815" s="234"/>
      <c r="N815" s="234"/>
    </row>
    <row r="816" spans="10:14" x14ac:dyDescent="0.2">
      <c r="J816" s="234"/>
      <c r="N816" s="234"/>
    </row>
    <row r="817" spans="10:14" x14ac:dyDescent="0.2">
      <c r="J817" s="234"/>
      <c r="N817" s="234"/>
    </row>
    <row r="818" spans="10:14" x14ac:dyDescent="0.2">
      <c r="J818" s="234"/>
      <c r="N818" s="234"/>
    </row>
    <row r="819" spans="10:14" x14ac:dyDescent="0.2">
      <c r="J819" s="234"/>
      <c r="N819" s="234"/>
    </row>
    <row r="820" spans="10:14" x14ac:dyDescent="0.2">
      <c r="J820" s="234"/>
      <c r="N820" s="234"/>
    </row>
    <row r="821" spans="10:14" x14ac:dyDescent="0.2">
      <c r="J821" s="234"/>
      <c r="N821" s="234"/>
    </row>
    <row r="822" spans="10:14" x14ac:dyDescent="0.2">
      <c r="J822" s="234"/>
      <c r="N822" s="234"/>
    </row>
    <row r="823" spans="10:14" x14ac:dyDescent="0.2">
      <c r="J823" s="234"/>
      <c r="N823" s="234"/>
    </row>
    <row r="824" spans="10:14" x14ac:dyDescent="0.2">
      <c r="J824" s="234"/>
      <c r="N824" s="234"/>
    </row>
    <row r="825" spans="10:14" x14ac:dyDescent="0.2">
      <c r="J825" s="234"/>
      <c r="N825" s="234"/>
    </row>
    <row r="826" spans="10:14" x14ac:dyDescent="0.2">
      <c r="J826" s="234"/>
      <c r="N826" s="234"/>
    </row>
    <row r="827" spans="10:14" x14ac:dyDescent="0.2">
      <c r="J827" s="234"/>
      <c r="N827" s="234"/>
    </row>
    <row r="828" spans="10:14" x14ac:dyDescent="0.2">
      <c r="J828" s="234"/>
      <c r="N828" s="234"/>
    </row>
    <row r="829" spans="10:14" x14ac:dyDescent="0.2">
      <c r="J829" s="234"/>
      <c r="N829" s="234"/>
    </row>
    <row r="830" spans="10:14" x14ac:dyDescent="0.2">
      <c r="J830" s="234"/>
      <c r="N830" s="234"/>
    </row>
    <row r="831" spans="10:14" x14ac:dyDescent="0.2">
      <c r="J831" s="234"/>
      <c r="N831" s="234"/>
    </row>
    <row r="832" spans="10:14" x14ac:dyDescent="0.2">
      <c r="J832" s="234"/>
      <c r="N832" s="234"/>
    </row>
    <row r="833" spans="10:14" x14ac:dyDescent="0.2">
      <c r="J833" s="234"/>
      <c r="N833" s="234"/>
    </row>
    <row r="834" spans="10:14" x14ac:dyDescent="0.2">
      <c r="J834" s="234"/>
      <c r="N834" s="234"/>
    </row>
    <row r="835" spans="10:14" x14ac:dyDescent="0.2">
      <c r="J835" s="234"/>
      <c r="N835" s="234"/>
    </row>
    <row r="836" spans="10:14" x14ac:dyDescent="0.2">
      <c r="J836" s="234"/>
      <c r="N836" s="234"/>
    </row>
    <row r="837" spans="10:14" x14ac:dyDescent="0.2">
      <c r="J837" s="234"/>
      <c r="N837" s="234"/>
    </row>
    <row r="838" spans="10:14" x14ac:dyDescent="0.2">
      <c r="J838" s="234"/>
      <c r="N838" s="234"/>
    </row>
    <row r="839" spans="10:14" x14ac:dyDescent="0.2">
      <c r="J839" s="234"/>
      <c r="N839" s="234"/>
    </row>
    <row r="840" spans="10:14" x14ac:dyDescent="0.2">
      <c r="J840" s="234"/>
      <c r="N840" s="234"/>
    </row>
    <row r="841" spans="10:14" x14ac:dyDescent="0.2">
      <c r="J841" s="234"/>
      <c r="N841" s="234"/>
    </row>
    <row r="842" spans="10:14" x14ac:dyDescent="0.2">
      <c r="J842" s="234"/>
      <c r="N842" s="234"/>
    </row>
    <row r="843" spans="10:14" x14ac:dyDescent="0.2">
      <c r="J843" s="234"/>
      <c r="N843" s="234"/>
    </row>
    <row r="844" spans="10:14" x14ac:dyDescent="0.2">
      <c r="J844" s="234"/>
      <c r="N844" s="234"/>
    </row>
    <row r="845" spans="10:14" x14ac:dyDescent="0.2">
      <c r="J845" s="234"/>
      <c r="N845" s="234"/>
    </row>
    <row r="846" spans="10:14" x14ac:dyDescent="0.2">
      <c r="J846" s="234"/>
      <c r="N846" s="234"/>
    </row>
    <row r="847" spans="10:14" x14ac:dyDescent="0.2">
      <c r="J847" s="234"/>
      <c r="N847" s="234"/>
    </row>
    <row r="848" spans="10:14" x14ac:dyDescent="0.2">
      <c r="J848" s="234"/>
      <c r="N848" s="234"/>
    </row>
    <row r="849" spans="10:14" x14ac:dyDescent="0.2">
      <c r="J849" s="234"/>
      <c r="N849" s="234"/>
    </row>
    <row r="850" spans="10:14" x14ac:dyDescent="0.2">
      <c r="J850" s="234"/>
      <c r="N850" s="234"/>
    </row>
    <row r="851" spans="10:14" x14ac:dyDescent="0.2">
      <c r="J851" s="234"/>
      <c r="N851" s="234"/>
    </row>
    <row r="852" spans="10:14" x14ac:dyDescent="0.2">
      <c r="J852" s="234"/>
      <c r="N852" s="234"/>
    </row>
    <row r="853" spans="10:14" x14ac:dyDescent="0.2">
      <c r="J853" s="234"/>
      <c r="N853" s="234"/>
    </row>
    <row r="854" spans="10:14" x14ac:dyDescent="0.2">
      <c r="J854" s="234"/>
      <c r="N854" s="234"/>
    </row>
    <row r="855" spans="10:14" x14ac:dyDescent="0.2">
      <c r="J855" s="234"/>
      <c r="N855" s="234"/>
    </row>
    <row r="856" spans="10:14" x14ac:dyDescent="0.2">
      <c r="J856" s="234"/>
      <c r="N856" s="234"/>
    </row>
    <row r="857" spans="10:14" x14ac:dyDescent="0.2">
      <c r="J857" s="234"/>
      <c r="N857" s="234"/>
    </row>
    <row r="858" spans="10:14" x14ac:dyDescent="0.2">
      <c r="J858" s="234"/>
      <c r="N858" s="234"/>
    </row>
    <row r="859" spans="10:14" x14ac:dyDescent="0.2">
      <c r="J859" s="234"/>
      <c r="N859" s="234"/>
    </row>
    <row r="860" spans="10:14" x14ac:dyDescent="0.2">
      <c r="J860" s="234"/>
      <c r="N860" s="234"/>
    </row>
    <row r="861" spans="10:14" x14ac:dyDescent="0.2">
      <c r="J861" s="234"/>
      <c r="N861" s="234"/>
    </row>
    <row r="862" spans="10:14" x14ac:dyDescent="0.2">
      <c r="J862" s="234"/>
      <c r="N862" s="234"/>
    </row>
    <row r="863" spans="10:14" x14ac:dyDescent="0.2">
      <c r="J863" s="234"/>
      <c r="N863" s="234"/>
    </row>
    <row r="864" spans="10:14" x14ac:dyDescent="0.2">
      <c r="J864" s="234"/>
      <c r="N864" s="234"/>
    </row>
    <row r="865" spans="10:14" x14ac:dyDescent="0.2">
      <c r="J865" s="234"/>
      <c r="N865" s="234"/>
    </row>
    <row r="866" spans="10:14" x14ac:dyDescent="0.2">
      <c r="J866" s="234"/>
      <c r="N866" s="234"/>
    </row>
    <row r="867" spans="10:14" x14ac:dyDescent="0.2">
      <c r="J867" s="234"/>
      <c r="N867" s="234"/>
    </row>
    <row r="868" spans="10:14" x14ac:dyDescent="0.2">
      <c r="J868" s="234"/>
      <c r="N868" s="234"/>
    </row>
    <row r="869" spans="10:14" x14ac:dyDescent="0.2">
      <c r="J869" s="234"/>
      <c r="N869" s="234"/>
    </row>
    <row r="870" spans="10:14" x14ac:dyDescent="0.2">
      <c r="J870" s="234"/>
      <c r="N870" s="234"/>
    </row>
    <row r="871" spans="10:14" x14ac:dyDescent="0.2">
      <c r="J871" s="234"/>
      <c r="N871" s="234"/>
    </row>
    <row r="872" spans="10:14" x14ac:dyDescent="0.2">
      <c r="J872" s="234"/>
      <c r="N872" s="234"/>
    </row>
    <row r="873" spans="10:14" x14ac:dyDescent="0.2">
      <c r="J873" s="234"/>
      <c r="N873" s="234"/>
    </row>
    <row r="874" spans="10:14" x14ac:dyDescent="0.2">
      <c r="J874" s="234"/>
      <c r="N874" s="234"/>
    </row>
    <row r="875" spans="10:14" x14ac:dyDescent="0.2">
      <c r="J875" s="234"/>
      <c r="N875" s="234"/>
    </row>
    <row r="876" spans="10:14" x14ac:dyDescent="0.2">
      <c r="J876" s="234"/>
      <c r="N876" s="234"/>
    </row>
    <row r="877" spans="10:14" x14ac:dyDescent="0.2">
      <c r="J877" s="234"/>
      <c r="N877" s="234"/>
    </row>
    <row r="878" spans="10:14" x14ac:dyDescent="0.2">
      <c r="J878" s="234"/>
      <c r="N878" s="234"/>
    </row>
    <row r="879" spans="10:14" x14ac:dyDescent="0.2">
      <c r="J879" s="234"/>
      <c r="N879" s="234"/>
    </row>
    <row r="880" spans="10:14" x14ac:dyDescent="0.2">
      <c r="J880" s="234"/>
      <c r="N880" s="234"/>
    </row>
    <row r="881" spans="10:14" x14ac:dyDescent="0.2">
      <c r="J881" s="234"/>
      <c r="N881" s="234"/>
    </row>
    <row r="882" spans="10:14" x14ac:dyDescent="0.2">
      <c r="J882" s="234"/>
      <c r="N882" s="234"/>
    </row>
    <row r="883" spans="10:14" x14ac:dyDescent="0.2">
      <c r="J883" s="234"/>
      <c r="N883" s="234"/>
    </row>
    <row r="884" spans="10:14" x14ac:dyDescent="0.2">
      <c r="J884" s="234"/>
      <c r="N884" s="234"/>
    </row>
    <row r="885" spans="10:14" x14ac:dyDescent="0.2">
      <c r="J885" s="234"/>
      <c r="N885" s="234"/>
    </row>
    <row r="886" spans="10:14" x14ac:dyDescent="0.2">
      <c r="J886" s="234"/>
      <c r="N886" s="234"/>
    </row>
    <row r="887" spans="10:14" x14ac:dyDescent="0.2">
      <c r="J887" s="234"/>
      <c r="N887" s="234"/>
    </row>
    <row r="888" spans="10:14" x14ac:dyDescent="0.2">
      <c r="J888" s="234"/>
      <c r="N888" s="234"/>
    </row>
    <row r="889" spans="10:14" x14ac:dyDescent="0.2">
      <c r="J889" s="234"/>
      <c r="N889" s="234"/>
    </row>
    <row r="890" spans="10:14" x14ac:dyDescent="0.2">
      <c r="J890" s="234"/>
      <c r="N890" s="234"/>
    </row>
    <row r="891" spans="10:14" x14ac:dyDescent="0.2">
      <c r="J891" s="234"/>
      <c r="N891" s="234"/>
    </row>
    <row r="892" spans="10:14" x14ac:dyDescent="0.2">
      <c r="J892" s="234"/>
      <c r="N892" s="234"/>
    </row>
    <row r="893" spans="10:14" x14ac:dyDescent="0.2">
      <c r="J893" s="234"/>
      <c r="N893" s="234"/>
    </row>
    <row r="894" spans="10:14" x14ac:dyDescent="0.2">
      <c r="J894" s="234"/>
      <c r="N894" s="234"/>
    </row>
    <row r="895" spans="10:14" x14ac:dyDescent="0.2">
      <c r="J895" s="234"/>
      <c r="N895" s="234"/>
    </row>
    <row r="896" spans="10:14" x14ac:dyDescent="0.2">
      <c r="J896" s="234"/>
      <c r="N896" s="234"/>
    </row>
    <row r="897" spans="10:14" x14ac:dyDescent="0.2">
      <c r="J897" s="234"/>
      <c r="N897" s="234"/>
    </row>
    <row r="898" spans="10:14" x14ac:dyDescent="0.2">
      <c r="J898" s="234"/>
      <c r="N898" s="234"/>
    </row>
    <row r="899" spans="10:14" x14ac:dyDescent="0.2">
      <c r="J899" s="234"/>
      <c r="N899" s="234"/>
    </row>
    <row r="900" spans="10:14" x14ac:dyDescent="0.2">
      <c r="J900" s="234"/>
      <c r="N900" s="234"/>
    </row>
    <row r="901" spans="10:14" x14ac:dyDescent="0.2">
      <c r="J901" s="234"/>
      <c r="N901" s="234"/>
    </row>
    <row r="902" spans="10:14" x14ac:dyDescent="0.2">
      <c r="J902" s="234"/>
      <c r="N902" s="234"/>
    </row>
    <row r="903" spans="10:14" x14ac:dyDescent="0.2">
      <c r="J903" s="234"/>
      <c r="N903" s="234"/>
    </row>
    <row r="904" spans="10:14" x14ac:dyDescent="0.2">
      <c r="J904" s="234"/>
      <c r="N904" s="234"/>
    </row>
    <row r="905" spans="10:14" x14ac:dyDescent="0.2">
      <c r="J905" s="234"/>
      <c r="N905" s="234"/>
    </row>
    <row r="906" spans="10:14" x14ac:dyDescent="0.2">
      <c r="J906" s="234"/>
      <c r="N906" s="234"/>
    </row>
    <row r="907" spans="10:14" x14ac:dyDescent="0.2">
      <c r="J907" s="234"/>
      <c r="N907" s="234"/>
    </row>
    <row r="908" spans="10:14" x14ac:dyDescent="0.2">
      <c r="J908" s="234"/>
      <c r="N908" s="234"/>
    </row>
    <row r="909" spans="10:14" x14ac:dyDescent="0.2">
      <c r="J909" s="234"/>
      <c r="N909" s="234"/>
    </row>
    <row r="910" spans="10:14" x14ac:dyDescent="0.2">
      <c r="J910" s="234"/>
      <c r="N910" s="234"/>
    </row>
    <row r="911" spans="10:14" x14ac:dyDescent="0.2">
      <c r="J911" s="234"/>
      <c r="N911" s="234"/>
    </row>
    <row r="912" spans="10:14" x14ac:dyDescent="0.2">
      <c r="J912" s="234"/>
      <c r="N912" s="234"/>
    </row>
    <row r="913" spans="10:14" x14ac:dyDescent="0.2">
      <c r="J913" s="234"/>
      <c r="N913" s="234"/>
    </row>
    <row r="914" spans="10:14" x14ac:dyDescent="0.2">
      <c r="J914" s="234"/>
      <c r="N914" s="234"/>
    </row>
    <row r="915" spans="10:14" x14ac:dyDescent="0.2">
      <c r="J915" s="234"/>
      <c r="N915" s="234"/>
    </row>
    <row r="916" spans="10:14" x14ac:dyDescent="0.2">
      <c r="J916" s="234"/>
      <c r="N916" s="234"/>
    </row>
    <row r="917" spans="10:14" x14ac:dyDescent="0.2">
      <c r="J917" s="234"/>
      <c r="N917" s="234"/>
    </row>
    <row r="918" spans="10:14" x14ac:dyDescent="0.2">
      <c r="J918" s="234"/>
      <c r="N918" s="234"/>
    </row>
    <row r="919" spans="10:14" x14ac:dyDescent="0.2">
      <c r="J919" s="234"/>
      <c r="N919" s="234"/>
    </row>
    <row r="920" spans="10:14" x14ac:dyDescent="0.2">
      <c r="J920" s="234"/>
      <c r="N920" s="234"/>
    </row>
    <row r="921" spans="10:14" x14ac:dyDescent="0.2">
      <c r="J921" s="234"/>
      <c r="N921" s="234"/>
    </row>
    <row r="922" spans="10:14" x14ac:dyDescent="0.2">
      <c r="J922" s="234"/>
      <c r="N922" s="234"/>
    </row>
    <row r="923" spans="10:14" x14ac:dyDescent="0.2">
      <c r="J923" s="234"/>
      <c r="N923" s="234"/>
    </row>
    <row r="924" spans="10:14" x14ac:dyDescent="0.2">
      <c r="J924" s="234"/>
      <c r="N924" s="234"/>
    </row>
    <row r="925" spans="10:14" x14ac:dyDescent="0.2">
      <c r="J925" s="234"/>
      <c r="N925" s="234"/>
    </row>
    <row r="926" spans="10:14" x14ac:dyDescent="0.2">
      <c r="J926" s="234"/>
      <c r="N926" s="234"/>
    </row>
    <row r="927" spans="10:14" x14ac:dyDescent="0.2">
      <c r="J927" s="234"/>
      <c r="N927" s="234"/>
    </row>
    <row r="928" spans="10:14" x14ac:dyDescent="0.2">
      <c r="J928" s="234"/>
      <c r="N928" s="234"/>
    </row>
    <row r="929" spans="10:14" x14ac:dyDescent="0.2">
      <c r="J929" s="234"/>
      <c r="N929" s="234"/>
    </row>
    <row r="930" spans="10:14" x14ac:dyDescent="0.2">
      <c r="J930" s="234"/>
      <c r="N930" s="234"/>
    </row>
    <row r="931" spans="10:14" x14ac:dyDescent="0.2">
      <c r="J931" s="234"/>
      <c r="N931" s="234"/>
    </row>
    <row r="932" spans="10:14" x14ac:dyDescent="0.2">
      <c r="J932" s="234"/>
      <c r="N932" s="234"/>
    </row>
    <row r="933" spans="10:14" x14ac:dyDescent="0.2">
      <c r="J933" s="234"/>
      <c r="N933" s="234"/>
    </row>
    <row r="934" spans="10:14" x14ac:dyDescent="0.2">
      <c r="J934" s="234"/>
      <c r="N934" s="234"/>
    </row>
    <row r="935" spans="10:14" x14ac:dyDescent="0.2">
      <c r="J935" s="234"/>
      <c r="N935" s="234"/>
    </row>
    <row r="936" spans="10:14" x14ac:dyDescent="0.2">
      <c r="J936" s="234"/>
      <c r="N936" s="234"/>
    </row>
    <row r="937" spans="10:14" x14ac:dyDescent="0.2">
      <c r="J937" s="234"/>
      <c r="N937" s="234"/>
    </row>
    <row r="938" spans="10:14" x14ac:dyDescent="0.2">
      <c r="J938" s="234"/>
      <c r="N938" s="234"/>
    </row>
    <row r="939" spans="10:14" x14ac:dyDescent="0.2">
      <c r="J939" s="234"/>
      <c r="N939" s="234"/>
    </row>
    <row r="940" spans="10:14" x14ac:dyDescent="0.2">
      <c r="J940" s="234"/>
      <c r="N940" s="234"/>
    </row>
    <row r="941" spans="10:14" x14ac:dyDescent="0.2">
      <c r="J941" s="234"/>
      <c r="N941" s="234"/>
    </row>
    <row r="942" spans="10:14" x14ac:dyDescent="0.2">
      <c r="J942" s="234"/>
      <c r="N942" s="234"/>
    </row>
    <row r="943" spans="10:14" x14ac:dyDescent="0.2">
      <c r="J943" s="234"/>
      <c r="N943" s="234"/>
    </row>
    <row r="944" spans="10:14" x14ac:dyDescent="0.2">
      <c r="J944" s="234"/>
      <c r="N944" s="234"/>
    </row>
    <row r="945" spans="10:14" x14ac:dyDescent="0.2">
      <c r="J945" s="234"/>
      <c r="N945" s="234"/>
    </row>
    <row r="946" spans="10:14" x14ac:dyDescent="0.2">
      <c r="J946" s="234"/>
      <c r="N946" s="234"/>
    </row>
    <row r="947" spans="10:14" x14ac:dyDescent="0.2">
      <c r="J947" s="234"/>
      <c r="N947" s="234"/>
    </row>
    <row r="948" spans="10:14" x14ac:dyDescent="0.2">
      <c r="J948" s="234"/>
      <c r="N948" s="234"/>
    </row>
    <row r="949" spans="10:14" x14ac:dyDescent="0.2">
      <c r="J949" s="234"/>
      <c r="N949" s="234"/>
    </row>
    <row r="950" spans="10:14" x14ac:dyDescent="0.2">
      <c r="J950" s="234"/>
      <c r="N950" s="234"/>
    </row>
    <row r="951" spans="10:14" x14ac:dyDescent="0.2">
      <c r="J951" s="234"/>
      <c r="N951" s="234"/>
    </row>
    <row r="952" spans="10:14" x14ac:dyDescent="0.2">
      <c r="J952" s="234"/>
      <c r="N952" s="234"/>
    </row>
    <row r="953" spans="10:14" x14ac:dyDescent="0.2">
      <c r="J953" s="234"/>
      <c r="N953" s="234"/>
    </row>
    <row r="954" spans="10:14" x14ac:dyDescent="0.2">
      <c r="J954" s="234"/>
      <c r="N954" s="234"/>
    </row>
    <row r="955" spans="10:14" x14ac:dyDescent="0.2">
      <c r="J955" s="234"/>
      <c r="N955" s="234"/>
    </row>
    <row r="956" spans="10:14" x14ac:dyDescent="0.2">
      <c r="J956" s="234"/>
      <c r="N956" s="234"/>
    </row>
    <row r="957" spans="10:14" x14ac:dyDescent="0.2">
      <c r="J957" s="234"/>
      <c r="N957" s="234"/>
    </row>
    <row r="958" spans="10:14" x14ac:dyDescent="0.2">
      <c r="J958" s="234"/>
      <c r="N958" s="234"/>
    </row>
    <row r="959" spans="10:14" x14ac:dyDescent="0.2">
      <c r="J959" s="234"/>
      <c r="N959" s="234"/>
    </row>
    <row r="960" spans="10:14" x14ac:dyDescent="0.2">
      <c r="J960" s="234"/>
      <c r="N960" s="234"/>
    </row>
    <row r="961" spans="10:14" x14ac:dyDescent="0.2">
      <c r="J961" s="234"/>
      <c r="N961" s="234"/>
    </row>
    <row r="962" spans="10:14" x14ac:dyDescent="0.2">
      <c r="J962" s="234"/>
      <c r="N962" s="234"/>
    </row>
    <row r="963" spans="10:14" x14ac:dyDescent="0.2">
      <c r="J963" s="234"/>
      <c r="N963" s="234"/>
    </row>
    <row r="964" spans="10:14" x14ac:dyDescent="0.2">
      <c r="J964" s="234"/>
      <c r="N964" s="234"/>
    </row>
    <row r="965" spans="10:14" x14ac:dyDescent="0.2">
      <c r="J965" s="234"/>
      <c r="N965" s="234"/>
    </row>
    <row r="966" spans="10:14" x14ac:dyDescent="0.2">
      <c r="J966" s="234"/>
      <c r="N966" s="234"/>
    </row>
    <row r="967" spans="10:14" x14ac:dyDescent="0.2">
      <c r="J967" s="234"/>
      <c r="N967" s="234"/>
    </row>
    <row r="968" spans="10:14" x14ac:dyDescent="0.2">
      <c r="J968" s="234"/>
      <c r="N968" s="234"/>
    </row>
    <row r="969" spans="10:14" x14ac:dyDescent="0.2">
      <c r="J969" s="234"/>
      <c r="N969" s="234"/>
    </row>
    <row r="970" spans="10:14" x14ac:dyDescent="0.2">
      <c r="J970" s="234"/>
      <c r="N970" s="234"/>
    </row>
    <row r="971" spans="10:14" x14ac:dyDescent="0.2">
      <c r="J971" s="234"/>
      <c r="N971" s="234"/>
    </row>
    <row r="972" spans="10:14" x14ac:dyDescent="0.2">
      <c r="J972" s="234"/>
      <c r="N972" s="234"/>
    </row>
    <row r="973" spans="10:14" x14ac:dyDescent="0.2">
      <c r="J973" s="234"/>
      <c r="N973" s="234"/>
    </row>
    <row r="974" spans="10:14" x14ac:dyDescent="0.2">
      <c r="J974" s="234"/>
      <c r="N974" s="234"/>
    </row>
    <row r="975" spans="10:14" x14ac:dyDescent="0.2">
      <c r="J975" s="234"/>
      <c r="N975" s="234"/>
    </row>
    <row r="976" spans="10:14" x14ac:dyDescent="0.2">
      <c r="J976" s="234"/>
      <c r="N976" s="234"/>
    </row>
    <row r="977" spans="10:14" x14ac:dyDescent="0.2">
      <c r="J977" s="234"/>
      <c r="N977" s="234"/>
    </row>
    <row r="978" spans="10:14" x14ac:dyDescent="0.2">
      <c r="J978" s="234"/>
      <c r="N978" s="234"/>
    </row>
    <row r="979" spans="10:14" x14ac:dyDescent="0.2">
      <c r="J979" s="234"/>
      <c r="N979" s="234"/>
    </row>
    <row r="980" spans="10:14" x14ac:dyDescent="0.2">
      <c r="J980" s="234"/>
      <c r="N980" s="234"/>
    </row>
    <row r="981" spans="10:14" x14ac:dyDescent="0.2">
      <c r="J981" s="234"/>
      <c r="N981" s="234"/>
    </row>
    <row r="982" spans="10:14" x14ac:dyDescent="0.2">
      <c r="J982" s="234"/>
      <c r="N982" s="234"/>
    </row>
    <row r="983" spans="10:14" x14ac:dyDescent="0.2">
      <c r="J983" s="234"/>
      <c r="N983" s="234"/>
    </row>
    <row r="984" spans="10:14" x14ac:dyDescent="0.2">
      <c r="J984" s="234"/>
      <c r="N984" s="234"/>
    </row>
    <row r="985" spans="10:14" x14ac:dyDescent="0.2">
      <c r="J985" s="234"/>
      <c r="N985" s="234"/>
    </row>
    <row r="986" spans="10:14" x14ac:dyDescent="0.2">
      <c r="J986" s="234"/>
      <c r="N986" s="234"/>
    </row>
    <row r="987" spans="10:14" x14ac:dyDescent="0.2">
      <c r="J987" s="234"/>
      <c r="N987" s="234"/>
    </row>
    <row r="988" spans="10:14" x14ac:dyDescent="0.2">
      <c r="J988" s="234"/>
      <c r="N988" s="234"/>
    </row>
    <row r="989" spans="10:14" x14ac:dyDescent="0.2">
      <c r="J989" s="234"/>
      <c r="N989" s="234"/>
    </row>
    <row r="990" spans="10:14" x14ac:dyDescent="0.2">
      <c r="J990" s="234"/>
      <c r="N990" s="234"/>
    </row>
    <row r="991" spans="10:14" x14ac:dyDescent="0.2">
      <c r="J991" s="234"/>
      <c r="N991" s="234"/>
    </row>
    <row r="992" spans="10:14" x14ac:dyDescent="0.2">
      <c r="J992" s="234"/>
      <c r="N992" s="234"/>
    </row>
    <row r="993" spans="10:14" x14ac:dyDescent="0.2">
      <c r="J993" s="234"/>
      <c r="N993" s="234"/>
    </row>
    <row r="994" spans="10:14" x14ac:dyDescent="0.2">
      <c r="J994" s="234"/>
      <c r="N994" s="234"/>
    </row>
    <row r="995" spans="10:14" x14ac:dyDescent="0.2">
      <c r="J995" s="234"/>
      <c r="N995" s="234"/>
    </row>
    <row r="996" spans="10:14" x14ac:dyDescent="0.2">
      <c r="J996" s="234"/>
      <c r="N996" s="234"/>
    </row>
    <row r="997" spans="10:14" x14ac:dyDescent="0.2">
      <c r="J997" s="234"/>
      <c r="N997" s="234"/>
    </row>
    <row r="998" spans="10:14" x14ac:dyDescent="0.2">
      <c r="J998" s="234"/>
      <c r="N998" s="234"/>
    </row>
    <row r="999" spans="10:14" x14ac:dyDescent="0.2">
      <c r="J999" s="234"/>
      <c r="N999" s="234"/>
    </row>
    <row r="1000" spans="10:14" x14ac:dyDescent="0.2">
      <c r="J1000" s="234"/>
      <c r="N1000" s="234"/>
    </row>
    <row r="1001" spans="10:14" x14ac:dyDescent="0.2">
      <c r="J1001" s="234"/>
      <c r="N1001" s="234"/>
    </row>
    <row r="1002" spans="10:14" x14ac:dyDescent="0.2">
      <c r="J1002" s="234"/>
      <c r="N1002" s="234"/>
    </row>
    <row r="1003" spans="10:14" x14ac:dyDescent="0.2">
      <c r="J1003" s="234"/>
      <c r="N1003" s="234"/>
    </row>
    <row r="1004" spans="10:14" x14ac:dyDescent="0.2">
      <c r="J1004" s="234"/>
      <c r="N1004" s="234"/>
    </row>
    <row r="1005" spans="10:14" x14ac:dyDescent="0.2">
      <c r="J1005" s="234"/>
      <c r="N1005" s="234"/>
    </row>
    <row r="1006" spans="10:14" x14ac:dyDescent="0.2">
      <c r="J1006" s="234"/>
      <c r="N1006" s="234"/>
    </row>
    <row r="1007" spans="10:14" x14ac:dyDescent="0.2">
      <c r="J1007" s="234"/>
      <c r="N1007" s="234"/>
    </row>
    <row r="1008" spans="10:14" x14ac:dyDescent="0.2">
      <c r="J1008" s="234"/>
      <c r="N1008" s="234"/>
    </row>
    <row r="1009" spans="10:14" x14ac:dyDescent="0.2">
      <c r="J1009" s="234"/>
      <c r="N1009" s="234"/>
    </row>
    <row r="1010" spans="10:14" x14ac:dyDescent="0.2">
      <c r="J1010" s="234"/>
      <c r="N1010" s="234"/>
    </row>
    <row r="1011" spans="10:14" x14ac:dyDescent="0.2">
      <c r="J1011" s="234"/>
      <c r="N1011" s="234"/>
    </row>
    <row r="1012" spans="10:14" x14ac:dyDescent="0.2">
      <c r="J1012" s="234"/>
      <c r="N1012" s="234"/>
    </row>
    <row r="1013" spans="10:14" x14ac:dyDescent="0.2">
      <c r="J1013" s="234"/>
      <c r="N1013" s="234"/>
    </row>
    <row r="1014" spans="10:14" x14ac:dyDescent="0.2">
      <c r="J1014" s="234"/>
      <c r="N1014" s="234"/>
    </row>
    <row r="1015" spans="10:14" x14ac:dyDescent="0.2">
      <c r="J1015" s="234"/>
      <c r="N1015" s="234"/>
    </row>
  </sheetData>
  <mergeCells count="50">
    <mergeCell ref="C37:D37"/>
    <mergeCell ref="F88:J88"/>
    <mergeCell ref="F1:J1"/>
    <mergeCell ref="K1:N1"/>
    <mergeCell ref="C2:D2"/>
    <mergeCell ref="I2:J2"/>
    <mergeCell ref="F36:J36"/>
    <mergeCell ref="K36:N36"/>
    <mergeCell ref="V88:W88"/>
    <mergeCell ref="C89:D89"/>
    <mergeCell ref="W99:X99"/>
    <mergeCell ref="C234:D234"/>
    <mergeCell ref="C111:D111"/>
    <mergeCell ref="W133:X133"/>
    <mergeCell ref="F149:J149"/>
    <mergeCell ref="C150:D150"/>
    <mergeCell ref="F182:J182"/>
    <mergeCell ref="C183:D183"/>
    <mergeCell ref="F213:J213"/>
    <mergeCell ref="C214:D214"/>
    <mergeCell ref="B231:I231"/>
    <mergeCell ref="C232:D232"/>
    <mergeCell ref="C233:D233"/>
    <mergeCell ref="F110:J110"/>
    <mergeCell ref="C246:D246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F247:G247"/>
    <mergeCell ref="H247:I247"/>
    <mergeCell ref="F248:G248"/>
    <mergeCell ref="H248:I248"/>
    <mergeCell ref="F249:G249"/>
    <mergeCell ref="H249:I249"/>
    <mergeCell ref="F253:G253"/>
    <mergeCell ref="H253:I253"/>
    <mergeCell ref="F250:G250"/>
    <mergeCell ref="H250:I250"/>
    <mergeCell ref="F251:G251"/>
    <mergeCell ref="H251:I251"/>
    <mergeCell ref="F252:G252"/>
    <mergeCell ref="H252:I252"/>
  </mergeCells>
  <pageMargins left="0.7" right="0.7" top="0.78740157499999996" bottom="0.78740157499999996" header="0.3" footer="0.3"/>
  <pageSetup paperSize="9" scale="3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FD00-928F-4183-AC32-3E4000872D1D}">
  <sheetPr codeName="Tabelle7"/>
  <dimension ref="A1:I32"/>
  <sheetViews>
    <sheetView topLeftCell="A10" zoomScale="175" zoomScaleNormal="175" workbookViewId="0">
      <selection activeCell="I20" sqref="I20"/>
    </sheetView>
  </sheetViews>
  <sheetFormatPr baseColWidth="10" defaultRowHeight="14.25" x14ac:dyDescent="0.2"/>
  <cols>
    <col min="1" max="1" width="28.125" style="253" customWidth="1"/>
    <col min="2" max="7" width="8.125" style="253" customWidth="1"/>
    <col min="8" max="8" width="3.75" style="253" customWidth="1"/>
    <col min="9" max="9" width="58.125" style="253" customWidth="1"/>
    <col min="10" max="16384" width="11" style="253"/>
  </cols>
  <sheetData>
    <row r="1" spans="1:9" ht="15" x14ac:dyDescent="0.25">
      <c r="A1" s="364" t="s">
        <v>331</v>
      </c>
      <c r="B1" s="365"/>
      <c r="C1" s="365"/>
      <c r="D1" s="284"/>
      <c r="E1" s="285"/>
      <c r="F1" s="285"/>
      <c r="G1" s="285"/>
      <c r="H1" s="252"/>
      <c r="I1" s="252"/>
    </row>
    <row r="2" spans="1:9" ht="14.25" customHeight="1" thickBot="1" x14ac:dyDescent="0.25">
      <c r="A2" s="362" t="s">
        <v>400</v>
      </c>
      <c r="B2" s="363"/>
      <c r="C2" s="363"/>
      <c r="D2" s="286"/>
      <c r="E2" s="287"/>
      <c r="F2" s="287"/>
      <c r="G2" s="287"/>
      <c r="H2" s="252"/>
      <c r="I2" s="252"/>
    </row>
    <row r="3" spans="1:9" ht="18.75" customHeight="1" x14ac:dyDescent="0.2">
      <c r="A3" s="288" t="s">
        <v>286</v>
      </c>
      <c r="B3" s="204">
        <v>5000</v>
      </c>
      <c r="C3" s="289" t="s">
        <v>12</v>
      </c>
      <c r="D3" s="290"/>
      <c r="E3" s="291"/>
      <c r="F3" s="291"/>
      <c r="G3" s="271"/>
      <c r="H3" s="257"/>
      <c r="I3" s="252"/>
    </row>
    <row r="4" spans="1:9" ht="4.5" customHeight="1" x14ac:dyDescent="0.2">
      <c r="A4" s="325"/>
      <c r="B4" s="326"/>
      <c r="C4" s="326"/>
      <c r="D4" s="292"/>
      <c r="E4" s="257"/>
      <c r="F4" s="257"/>
      <c r="G4" s="257"/>
      <c r="H4" s="257"/>
      <c r="I4" s="252"/>
    </row>
    <row r="5" spans="1:9" ht="18.75" customHeight="1" x14ac:dyDescent="0.2">
      <c r="A5" s="254" t="s">
        <v>301</v>
      </c>
      <c r="B5" s="205">
        <v>200</v>
      </c>
      <c r="C5" s="293" t="s">
        <v>338</v>
      </c>
      <c r="D5" s="368" t="s">
        <v>399</v>
      </c>
      <c r="E5" s="369"/>
      <c r="F5" s="369"/>
      <c r="G5" s="369"/>
      <c r="H5" s="369"/>
      <c r="I5" s="252"/>
    </row>
    <row r="6" spans="1:9" ht="4.5" customHeight="1" x14ac:dyDescent="0.2">
      <c r="A6" s="325"/>
      <c r="B6" s="326"/>
      <c r="C6" s="326"/>
      <c r="D6" s="290"/>
      <c r="E6" s="294"/>
      <c r="F6" s="294"/>
      <c r="G6" s="294"/>
      <c r="H6" s="295"/>
      <c r="I6" s="252"/>
    </row>
    <row r="7" spans="1:9" ht="18.75" customHeight="1" x14ac:dyDescent="0.2">
      <c r="A7" s="254" t="s">
        <v>295</v>
      </c>
      <c r="B7" s="205">
        <v>300</v>
      </c>
      <c r="C7" s="296" t="s">
        <v>12</v>
      </c>
      <c r="D7" s="360" t="s">
        <v>332</v>
      </c>
      <c r="E7" s="361"/>
      <c r="F7" s="361"/>
      <c r="G7" s="361"/>
      <c r="H7" s="361"/>
      <c r="I7" s="252"/>
    </row>
    <row r="8" spans="1:9" ht="4.5" customHeight="1" thickBot="1" x14ac:dyDescent="0.25">
      <c r="A8" s="325"/>
      <c r="B8" s="326"/>
      <c r="C8" s="327"/>
      <c r="D8" s="257"/>
      <c r="E8" s="257"/>
      <c r="F8" s="257"/>
      <c r="G8" s="257"/>
      <c r="H8" s="261"/>
      <c r="I8" s="252"/>
    </row>
    <row r="9" spans="1:9" ht="18" customHeight="1" x14ac:dyDescent="0.2">
      <c r="A9" s="366" t="s">
        <v>334</v>
      </c>
      <c r="B9" s="297" t="s">
        <v>333</v>
      </c>
      <c r="C9" s="298" t="s">
        <v>39</v>
      </c>
      <c r="D9" s="299" t="s">
        <v>135</v>
      </c>
      <c r="E9" s="299" t="s">
        <v>290</v>
      </c>
      <c r="F9" s="299" t="s">
        <v>390</v>
      </c>
      <c r="G9" s="299" t="s">
        <v>395</v>
      </c>
      <c r="H9" s="300"/>
      <c r="I9" s="360" t="s">
        <v>335</v>
      </c>
    </row>
    <row r="10" spans="1:9" ht="18" customHeight="1" thickBot="1" x14ac:dyDescent="0.25">
      <c r="A10" s="367"/>
      <c r="B10" s="205">
        <v>1000</v>
      </c>
      <c r="C10" s="205">
        <v>1100</v>
      </c>
      <c r="D10" s="248">
        <v>1200</v>
      </c>
      <c r="E10" s="248">
        <v>1300</v>
      </c>
      <c r="F10" s="248">
        <v>1400</v>
      </c>
      <c r="G10" s="248">
        <v>700</v>
      </c>
      <c r="H10" s="301" t="s">
        <v>285</v>
      </c>
      <c r="I10" s="360"/>
    </row>
    <row r="11" spans="1:9" ht="4.5" customHeight="1" x14ac:dyDescent="0.2">
      <c r="A11" s="325"/>
      <c r="B11" s="326"/>
      <c r="C11" s="326"/>
      <c r="D11" s="292"/>
      <c r="E11" s="257"/>
      <c r="F11" s="257"/>
      <c r="G11" s="257"/>
      <c r="H11" s="257"/>
      <c r="I11" s="252"/>
    </row>
    <row r="12" spans="1:9" ht="22.5" customHeight="1" x14ac:dyDescent="0.2">
      <c r="A12" s="254" t="s">
        <v>249</v>
      </c>
      <c r="B12" s="205">
        <v>270</v>
      </c>
      <c r="C12" s="296" t="s">
        <v>200</v>
      </c>
      <c r="D12" s="360" t="s">
        <v>321</v>
      </c>
      <c r="E12" s="361"/>
      <c r="F12" s="361"/>
      <c r="G12" s="361"/>
      <c r="H12" s="361"/>
      <c r="I12" s="252"/>
    </row>
    <row r="13" spans="1:9" ht="4.5" customHeight="1" x14ac:dyDescent="0.2">
      <c r="A13" s="325"/>
      <c r="B13" s="326"/>
      <c r="C13" s="326"/>
      <c r="D13" s="292"/>
      <c r="E13" s="257"/>
      <c r="F13" s="257"/>
      <c r="G13" s="257"/>
      <c r="H13" s="257"/>
      <c r="I13" s="252"/>
    </row>
    <row r="14" spans="1:9" ht="21.75" customHeight="1" x14ac:dyDescent="0.2">
      <c r="A14" s="254" t="s">
        <v>243</v>
      </c>
      <c r="B14" s="205">
        <v>9000</v>
      </c>
      <c r="C14" s="321" t="s">
        <v>200</v>
      </c>
      <c r="D14" s="360" t="s">
        <v>337</v>
      </c>
      <c r="E14" s="361"/>
      <c r="F14" s="361"/>
      <c r="G14" s="361"/>
      <c r="H14" s="361"/>
      <c r="I14" s="252"/>
    </row>
    <row r="15" spans="1:9" ht="4.5" customHeight="1" x14ac:dyDescent="0.2">
      <c r="A15" s="325"/>
      <c r="B15" s="326"/>
      <c r="C15" s="326"/>
      <c r="D15" s="292"/>
      <c r="E15" s="257"/>
      <c r="F15" s="257"/>
      <c r="G15" s="257"/>
      <c r="H15" s="257"/>
      <c r="I15" s="252"/>
    </row>
    <row r="16" spans="1:9" ht="22.5" customHeight="1" x14ac:dyDescent="0.2">
      <c r="A16" s="254" t="s">
        <v>305</v>
      </c>
      <c r="B16" s="205">
        <v>650</v>
      </c>
      <c r="C16" s="296" t="s">
        <v>303</v>
      </c>
      <c r="D16" s="360" t="s">
        <v>342</v>
      </c>
      <c r="E16" s="361"/>
      <c r="F16" s="361"/>
      <c r="G16" s="361"/>
      <c r="H16" s="361"/>
      <c r="I16" s="252"/>
    </row>
    <row r="17" spans="1:9" ht="4.5" customHeight="1" x14ac:dyDescent="0.2">
      <c r="A17" s="325"/>
      <c r="B17" s="326"/>
      <c r="C17" s="326"/>
      <c r="D17" s="292"/>
      <c r="E17" s="257"/>
      <c r="F17" s="257"/>
      <c r="G17" s="257"/>
      <c r="H17" s="257"/>
      <c r="I17" s="252"/>
    </row>
    <row r="18" spans="1:9" ht="18.75" customHeight="1" x14ac:dyDescent="0.2">
      <c r="A18" s="254" t="s">
        <v>314</v>
      </c>
      <c r="B18" s="205">
        <v>50</v>
      </c>
      <c r="C18" s="296" t="s">
        <v>161</v>
      </c>
      <c r="D18" s="360" t="s">
        <v>362</v>
      </c>
      <c r="E18" s="361"/>
      <c r="F18" s="361"/>
      <c r="G18" s="361"/>
      <c r="H18" s="361"/>
      <c r="I18" s="252"/>
    </row>
    <row r="19" spans="1:9" ht="4.5" customHeight="1" x14ac:dyDescent="0.2">
      <c r="A19" s="325"/>
      <c r="B19" s="326"/>
      <c r="C19" s="326"/>
      <c r="D19" s="292"/>
      <c r="E19" s="257"/>
      <c r="F19" s="257"/>
      <c r="G19" s="257"/>
      <c r="H19" s="257"/>
      <c r="I19" s="252"/>
    </row>
    <row r="20" spans="1:9" ht="22.5" customHeight="1" thickBot="1" x14ac:dyDescent="0.25">
      <c r="A20" s="280" t="s">
        <v>306</v>
      </c>
      <c r="B20" s="226">
        <v>250</v>
      </c>
      <c r="C20" s="302" t="s">
        <v>307</v>
      </c>
      <c r="D20" s="303" t="s">
        <v>316</v>
      </c>
      <c r="E20" s="291"/>
      <c r="F20" s="291"/>
      <c r="G20" s="304"/>
      <c r="H20" s="271"/>
      <c r="I20" s="252"/>
    </row>
    <row r="21" spans="1:9" ht="14.25" customHeight="1" thickBot="1" x14ac:dyDescent="0.25">
      <c r="A21" s="328"/>
      <c r="B21" s="329"/>
      <c r="C21" s="330"/>
      <c r="D21" s="252"/>
      <c r="E21" s="252"/>
      <c r="F21" s="252"/>
      <c r="G21" s="252"/>
      <c r="H21" s="252"/>
      <c r="I21" s="252"/>
    </row>
    <row r="22" spans="1:9" ht="18.75" customHeight="1" thickBot="1" x14ac:dyDescent="0.25">
      <c r="A22" s="268" t="s">
        <v>327</v>
      </c>
      <c r="B22" s="269">
        <f>SUM(B25:B31)</f>
        <v>1314.6700111466664</v>
      </c>
      <c r="C22" s="305" t="s">
        <v>341</v>
      </c>
      <c r="D22" s="306"/>
      <c r="E22" s="306"/>
      <c r="F22" s="306"/>
      <c r="G22" s="304"/>
      <c r="H22" s="271"/>
      <c r="I22" s="252"/>
    </row>
    <row r="23" spans="1:9" ht="9" customHeight="1" x14ac:dyDescent="0.2">
      <c r="A23" s="359"/>
      <c r="B23" s="359"/>
      <c r="C23" s="359"/>
      <c r="D23" s="252"/>
      <c r="E23" s="252"/>
      <c r="F23" s="252"/>
      <c r="G23" s="252"/>
      <c r="H23" s="252"/>
      <c r="I23" s="252"/>
    </row>
    <row r="24" spans="1:9" ht="18.75" x14ac:dyDescent="0.35">
      <c r="A24" s="272" t="s">
        <v>329</v>
      </c>
      <c r="B24" s="273" t="s">
        <v>328</v>
      </c>
      <c r="C24" s="252"/>
      <c r="D24" s="252"/>
      <c r="E24" s="252"/>
      <c r="F24" s="252"/>
      <c r="G24" s="252"/>
      <c r="H24" s="252"/>
      <c r="I24" s="252"/>
    </row>
    <row r="25" spans="1:9" x14ac:dyDescent="0.2">
      <c r="A25" s="274" t="s">
        <v>111</v>
      </c>
      <c r="B25" s="275">
        <f>'Calculation Pfähle'!L15</f>
        <v>1098.0268639999999</v>
      </c>
      <c r="C25" s="252"/>
      <c r="D25" s="252"/>
      <c r="E25" s="252"/>
      <c r="F25" s="252"/>
      <c r="G25" s="252"/>
      <c r="H25" s="252"/>
      <c r="I25" s="252"/>
    </row>
    <row r="26" spans="1:9" x14ac:dyDescent="0.2">
      <c r="A26" s="274" t="s">
        <v>112</v>
      </c>
      <c r="B26" s="275">
        <f>'Calculation Pfähle'!L51+(0.07*('Calculation Pfähle'!L5+'Calculation Pfähle'!L6+'Calculation Pfähle'!L7+'Calculation Pfähle'!L8+'Calculation Pfähle'!L9+'Calculation Pfähle'!L11))</f>
        <v>105.51098048</v>
      </c>
      <c r="C26" s="276"/>
      <c r="D26" s="252"/>
      <c r="E26" s="252"/>
      <c r="F26" s="252"/>
      <c r="G26" s="252"/>
      <c r="H26" s="252"/>
      <c r="I26" s="252"/>
    </row>
    <row r="27" spans="1:9" x14ac:dyDescent="0.2">
      <c r="A27" s="274" t="s">
        <v>110</v>
      </c>
      <c r="B27" s="275">
        <f>'Calculation Pfähle'!L103</f>
        <v>22.56</v>
      </c>
      <c r="C27" s="252"/>
      <c r="D27" s="252"/>
      <c r="E27" s="252"/>
      <c r="F27" s="252"/>
      <c r="G27" s="252"/>
      <c r="H27" s="252"/>
      <c r="I27" s="252"/>
    </row>
    <row r="28" spans="1:9" x14ac:dyDescent="0.2">
      <c r="A28" s="274" t="s">
        <v>324</v>
      </c>
      <c r="B28" s="275">
        <f>'Calculation Pfähle'!J131</f>
        <v>20.779666666666664</v>
      </c>
      <c r="C28" s="252"/>
      <c r="D28" s="252"/>
      <c r="E28" s="252"/>
      <c r="F28" s="252"/>
      <c r="G28" s="252"/>
      <c r="H28" s="252"/>
      <c r="I28" s="252"/>
    </row>
    <row r="29" spans="1:9" x14ac:dyDescent="0.2">
      <c r="A29" s="274" t="s">
        <v>325</v>
      </c>
      <c r="B29" s="275">
        <f>'Calculation Pfähle'!L168</f>
        <v>58.262500000000003</v>
      </c>
      <c r="C29" s="252"/>
      <c r="D29" s="252"/>
      <c r="E29" s="252"/>
      <c r="F29" s="252"/>
      <c r="G29" s="252"/>
      <c r="H29" s="252"/>
      <c r="I29" s="252"/>
    </row>
    <row r="30" spans="1:9" x14ac:dyDescent="0.2">
      <c r="A30" s="274" t="s">
        <v>163</v>
      </c>
      <c r="B30" s="277">
        <f>'Calculation Pfähle'!L201</f>
        <v>7.4300000000000006</v>
      </c>
      <c r="C30" s="278"/>
      <c r="D30" s="252"/>
      <c r="E30" s="252"/>
      <c r="F30" s="252"/>
      <c r="G30" s="252"/>
      <c r="H30" s="252"/>
      <c r="I30" s="252"/>
    </row>
    <row r="31" spans="1:9" x14ac:dyDescent="0.2">
      <c r="A31" s="274" t="s">
        <v>326</v>
      </c>
      <c r="B31" s="277">
        <f>'Calculation Pfähle'!L227</f>
        <v>2.1</v>
      </c>
      <c r="C31" s="252"/>
      <c r="D31" s="252"/>
      <c r="E31" s="252"/>
      <c r="F31" s="252"/>
      <c r="G31" s="252"/>
      <c r="H31" s="252"/>
      <c r="I31" s="252"/>
    </row>
    <row r="32" spans="1:9" x14ac:dyDescent="0.2">
      <c r="A32" s="252"/>
      <c r="B32" s="252"/>
      <c r="C32" s="252"/>
      <c r="D32" s="252"/>
      <c r="E32" s="252"/>
      <c r="F32" s="252"/>
      <c r="G32" s="252"/>
      <c r="H32" s="252"/>
      <c r="I32" s="252"/>
    </row>
  </sheetData>
  <sheetProtection formatCells="0" formatColumns="0" formatRows="0" insertColumns="0" insertRows="0" insertHyperlinks="0" deleteColumns="0" deleteRows="0" sort="0" autoFilter="0" pivotTables="0"/>
  <mergeCells count="20">
    <mergeCell ref="A19:C19"/>
    <mergeCell ref="D16:H16"/>
    <mergeCell ref="D18:H18"/>
    <mergeCell ref="A21:C21"/>
    <mergeCell ref="A23:C23"/>
    <mergeCell ref="A17:C17"/>
    <mergeCell ref="I9:I10"/>
    <mergeCell ref="A6:C6"/>
    <mergeCell ref="A2:C2"/>
    <mergeCell ref="A1:C1"/>
    <mergeCell ref="A4:C4"/>
    <mergeCell ref="A8:C8"/>
    <mergeCell ref="D7:H7"/>
    <mergeCell ref="A9:A10"/>
    <mergeCell ref="D5:H5"/>
    <mergeCell ref="A11:C11"/>
    <mergeCell ref="A13:C13"/>
    <mergeCell ref="D12:H12"/>
    <mergeCell ref="D14:H14"/>
    <mergeCell ref="A15:C15"/>
  </mergeCells>
  <pageMargins left="0.7" right="0.7" top="0.78740157499999996" bottom="0.78740157499999996" header="0.3" footer="0.3"/>
  <pageSetup paperSize="9" scale="61" orientation="portrait" r:id="rId1"/>
  <ignoredErrors>
    <ignoredError sqref="B22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AE97-8CAB-464C-A6C4-2EF978CF5EBD}">
  <sheetPr codeName="Tabelle8">
    <pageSetUpPr fitToPage="1"/>
  </sheetPr>
  <dimension ref="A1:BE1026"/>
  <sheetViews>
    <sheetView zoomScale="85" zoomScaleNormal="85" workbookViewId="0">
      <selection activeCell="C10" sqref="C10"/>
    </sheetView>
  </sheetViews>
  <sheetFormatPr baseColWidth="10" defaultRowHeight="14.25" x14ac:dyDescent="0.2"/>
  <cols>
    <col min="1" max="1" width="16" style="206" customWidth="1"/>
    <col min="2" max="2" width="28.75" style="206" customWidth="1"/>
    <col min="3" max="3" width="17" style="206" customWidth="1"/>
    <col min="4" max="4" width="7.25" style="206" customWidth="1"/>
    <col min="5" max="5" width="35.125" style="12" customWidth="1"/>
    <col min="6" max="6" width="11.625" style="206" customWidth="1"/>
    <col min="7" max="7" width="10.75" style="206" customWidth="1"/>
    <col min="8" max="8" width="9.625" style="206" customWidth="1"/>
    <col min="9" max="9" width="10" style="206" customWidth="1"/>
    <col min="10" max="10" width="15.25" style="20" customWidth="1"/>
    <col min="11" max="11" width="11" style="206"/>
    <col min="12" max="12" width="9" style="206" customWidth="1"/>
    <col min="13" max="13" width="18.625" style="206" customWidth="1"/>
    <col min="14" max="14" width="26.25" style="20" customWidth="1"/>
    <col min="15" max="16" width="11.875" style="206" customWidth="1"/>
    <col min="17" max="17" width="10.625" style="206" customWidth="1"/>
    <col min="18" max="18" width="10.125" style="206" customWidth="1"/>
    <col min="19" max="19" width="8.5" style="206" customWidth="1"/>
    <col min="20" max="20" width="10" style="206" customWidth="1"/>
    <col min="21" max="21" width="9.25" style="206" customWidth="1"/>
    <col min="22" max="22" width="11" style="206"/>
    <col min="23" max="23" width="4.5" style="206" customWidth="1"/>
    <col min="24" max="24" width="6.25" style="206" customWidth="1"/>
    <col min="25" max="25" width="9.625" style="206" customWidth="1"/>
    <col min="26" max="26" width="9.25" style="206" customWidth="1"/>
    <col min="27" max="27" width="9.375" style="206" customWidth="1"/>
    <col min="28" max="28" width="9.125" style="206" customWidth="1"/>
    <col min="29" max="29" width="4.75" style="206" hidden="1" customWidth="1"/>
    <col min="30" max="30" width="7.75" style="206" customWidth="1"/>
    <col min="31" max="31" width="5.5" style="206" customWidth="1"/>
    <col min="32" max="37" width="11" style="206"/>
    <col min="38" max="38" width="5.375" style="206" customWidth="1"/>
    <col min="39" max="43" width="11" style="206"/>
    <col min="44" max="44" width="5.75" style="206" customWidth="1"/>
    <col min="45" max="50" width="11" style="206"/>
    <col min="51" max="51" width="5.75" style="307" customWidth="1"/>
    <col min="52" max="16384" width="11" style="206"/>
  </cols>
  <sheetData>
    <row r="1" spans="1:57" ht="18.75" thickBot="1" x14ac:dyDescent="0.25">
      <c r="B1" s="16"/>
      <c r="C1" s="16"/>
      <c r="D1" s="16"/>
      <c r="E1" s="16"/>
      <c r="F1" s="355" t="s">
        <v>111</v>
      </c>
      <c r="G1" s="355"/>
      <c r="H1" s="355"/>
      <c r="I1" s="355"/>
      <c r="J1" s="355"/>
      <c r="K1" s="351" t="s">
        <v>40</v>
      </c>
      <c r="L1" s="351"/>
      <c r="M1" s="351"/>
      <c r="N1" s="351"/>
    </row>
    <row r="2" spans="1:57" ht="57" x14ac:dyDescent="0.2">
      <c r="A2" s="1" t="s">
        <v>33</v>
      </c>
      <c r="B2" s="2"/>
      <c r="C2" s="356" t="s">
        <v>0</v>
      </c>
      <c r="D2" s="357"/>
      <c r="E2" s="214" t="s">
        <v>19</v>
      </c>
      <c r="F2" s="2" t="s">
        <v>1</v>
      </c>
      <c r="G2" s="2" t="s">
        <v>24</v>
      </c>
      <c r="H2" s="2" t="s">
        <v>22</v>
      </c>
      <c r="I2" s="356" t="s">
        <v>35</v>
      </c>
      <c r="J2" s="358"/>
      <c r="K2" s="215" t="s">
        <v>2</v>
      </c>
      <c r="L2" s="2" t="s">
        <v>3</v>
      </c>
      <c r="M2" s="2" t="s">
        <v>4</v>
      </c>
      <c r="N2" s="10" t="s">
        <v>5</v>
      </c>
      <c r="T2" s="206" t="s">
        <v>134</v>
      </c>
      <c r="U2" s="12" t="s">
        <v>131</v>
      </c>
      <c r="AA2" s="206" t="s">
        <v>134</v>
      </c>
      <c r="AB2" s="12" t="s">
        <v>131</v>
      </c>
      <c r="AI2" s="206" t="s">
        <v>134</v>
      </c>
      <c r="AJ2" s="12" t="s">
        <v>131</v>
      </c>
      <c r="AP2" s="206" t="s">
        <v>134</v>
      </c>
      <c r="AQ2" s="12" t="s">
        <v>131</v>
      </c>
      <c r="AW2" s="206" t="s">
        <v>134</v>
      </c>
      <c r="AX2" s="12" t="s">
        <v>131</v>
      </c>
      <c r="AZ2" s="307"/>
      <c r="BA2" s="307"/>
      <c r="BB2" s="307"/>
      <c r="BC2" s="307"/>
      <c r="BD2" s="307" t="s">
        <v>134</v>
      </c>
      <c r="BE2" s="12" t="s">
        <v>131</v>
      </c>
    </row>
    <row r="3" spans="1:57" ht="16.5" thickBot="1" x14ac:dyDescent="0.25">
      <c r="A3" s="5"/>
      <c r="B3" s="6"/>
      <c r="C3" s="7" t="s">
        <v>35</v>
      </c>
      <c r="D3" s="37" t="s">
        <v>115</v>
      </c>
      <c r="E3" s="11"/>
      <c r="F3" s="6" t="s">
        <v>6</v>
      </c>
      <c r="G3" s="6" t="s">
        <v>23</v>
      </c>
      <c r="H3" s="6"/>
      <c r="I3" s="7" t="s">
        <v>35</v>
      </c>
      <c r="J3" s="37" t="s">
        <v>115</v>
      </c>
      <c r="K3" s="18" t="s">
        <v>34</v>
      </c>
      <c r="L3" s="6" t="s">
        <v>7</v>
      </c>
      <c r="M3" s="6"/>
      <c r="N3" s="8"/>
      <c r="AZ3" s="307"/>
      <c r="BA3" s="307"/>
      <c r="BB3" s="307"/>
      <c r="BC3" s="307"/>
      <c r="BD3" s="307"/>
      <c r="BE3" s="307"/>
    </row>
    <row r="4" spans="1:57" x14ac:dyDescent="0.2">
      <c r="A4" s="147" t="s">
        <v>284</v>
      </c>
      <c r="B4" s="147" t="s">
        <v>336</v>
      </c>
      <c r="C4" s="147"/>
      <c r="D4" s="147"/>
      <c r="E4" s="148"/>
      <c r="F4" s="208"/>
      <c r="K4" s="17"/>
      <c r="L4" s="13"/>
      <c r="N4" s="206"/>
      <c r="P4" s="227" t="s">
        <v>293</v>
      </c>
      <c r="Q4" s="206">
        <v>220</v>
      </c>
      <c r="R4" s="206" t="s">
        <v>130</v>
      </c>
      <c r="S4" s="206" t="s">
        <v>125</v>
      </c>
      <c r="T4" s="206">
        <v>466</v>
      </c>
      <c r="U4" s="206">
        <f>Q4/1000*T4/1000</f>
        <v>0.10252</v>
      </c>
      <c r="W4" s="227" t="s">
        <v>289</v>
      </c>
      <c r="X4" s="206">
        <v>240</v>
      </c>
      <c r="Y4" s="206" t="s">
        <v>130</v>
      </c>
      <c r="Z4" s="206" t="s">
        <v>125</v>
      </c>
      <c r="AA4" s="206">
        <v>466</v>
      </c>
      <c r="AB4" s="206">
        <f>X4/1000*AA4/1000</f>
        <v>0.11183999999999999</v>
      </c>
      <c r="AE4" s="227" t="s">
        <v>287</v>
      </c>
      <c r="AF4" s="206">
        <v>320</v>
      </c>
      <c r="AG4" s="206" t="s">
        <v>130</v>
      </c>
      <c r="AH4" s="206" t="s">
        <v>125</v>
      </c>
      <c r="AI4" s="206">
        <v>466</v>
      </c>
      <c r="AJ4" s="206">
        <f>AF4/1000*AI4/1000</f>
        <v>0.14912</v>
      </c>
      <c r="AL4" s="227" t="s">
        <v>288</v>
      </c>
      <c r="AM4" s="206">
        <v>350</v>
      </c>
      <c r="AN4" s="206" t="s">
        <v>130</v>
      </c>
      <c r="AO4" s="206" t="s">
        <v>125</v>
      </c>
      <c r="AP4" s="206">
        <v>466</v>
      </c>
      <c r="AQ4" s="206">
        <f>AM4/1000*AP4/1000</f>
        <v>0.16309999999999999</v>
      </c>
      <c r="AS4" s="227" t="s">
        <v>291</v>
      </c>
      <c r="AT4" s="206">
        <v>370</v>
      </c>
      <c r="AU4" s="206" t="s">
        <v>130</v>
      </c>
      <c r="AV4" s="206" t="s">
        <v>125</v>
      </c>
      <c r="AW4" s="206">
        <v>466</v>
      </c>
      <c r="AX4" s="206">
        <f>AT4/1000*AW4/1000</f>
        <v>0.17241999999999999</v>
      </c>
      <c r="AZ4" s="227" t="s">
        <v>394</v>
      </c>
      <c r="BA4" s="307">
        <v>430</v>
      </c>
      <c r="BB4" s="307" t="s">
        <v>130</v>
      </c>
      <c r="BC4" s="307" t="s">
        <v>125</v>
      </c>
      <c r="BD4" s="307">
        <v>466</v>
      </c>
      <c r="BE4" s="307">
        <f>BA4/1000*BD4/1000</f>
        <v>0.20038</v>
      </c>
    </row>
    <row r="5" spans="1:57" ht="15" x14ac:dyDescent="0.2">
      <c r="A5" s="161"/>
      <c r="B5" s="147" t="s">
        <v>330</v>
      </c>
      <c r="C5" s="156">
        <f>'Pfahl - Pfahlwand'!B10</f>
        <v>1000</v>
      </c>
      <c r="D5" s="147" t="s">
        <v>10</v>
      </c>
      <c r="E5" s="149"/>
      <c r="F5" s="208">
        <f t="shared" ref="F5:F10" si="0">C5</f>
        <v>1000</v>
      </c>
      <c r="I5" s="206">
        <f t="shared" ref="I5:I10" si="1">C5</f>
        <v>1000</v>
      </c>
      <c r="J5" s="20" t="s">
        <v>10</v>
      </c>
      <c r="K5" s="17">
        <f>U14</f>
        <v>0.11109949999999999</v>
      </c>
      <c r="L5" s="208">
        <f t="shared" ref="L5:L8" si="2">I5*K5</f>
        <v>111.09949999999999</v>
      </c>
      <c r="N5" s="206" t="s">
        <v>49</v>
      </c>
      <c r="P5" s="227"/>
      <c r="Q5" s="206">
        <v>135</v>
      </c>
      <c r="R5" s="206" t="s">
        <v>130</v>
      </c>
      <c r="S5" s="206" t="s">
        <v>126</v>
      </c>
      <c r="T5" s="206">
        <v>0.1</v>
      </c>
      <c r="U5" s="206">
        <f>Q5/1000*T5/1000</f>
        <v>1.3500000000000001E-5</v>
      </c>
      <c r="X5" s="206">
        <v>150</v>
      </c>
      <c r="Y5" s="206" t="s">
        <v>130</v>
      </c>
      <c r="Z5" s="206" t="s">
        <v>126</v>
      </c>
      <c r="AA5" s="206">
        <v>0.1</v>
      </c>
      <c r="AB5" s="206">
        <f t="shared" ref="AB5" si="3">X5/1000*AA5/1000</f>
        <v>1.4999999999999999E-5</v>
      </c>
      <c r="AF5" s="206">
        <v>80</v>
      </c>
      <c r="AG5" s="206" t="s">
        <v>130</v>
      </c>
      <c r="AH5" s="206" t="s">
        <v>126</v>
      </c>
      <c r="AI5" s="206">
        <v>0.1</v>
      </c>
      <c r="AJ5" s="206">
        <f t="shared" ref="AJ5" si="4">AF5/1000*AI5/1000</f>
        <v>7.9999999999999996E-6</v>
      </c>
      <c r="AM5" s="206">
        <v>80</v>
      </c>
      <c r="AN5" s="206" t="s">
        <v>130</v>
      </c>
      <c r="AO5" s="206" t="s">
        <v>126</v>
      </c>
      <c r="AP5" s="206">
        <v>0.1</v>
      </c>
      <c r="AQ5" s="206">
        <f t="shared" ref="AQ5" si="5">AM5/1000*AP5/1000</f>
        <v>7.9999999999999996E-6</v>
      </c>
      <c r="AT5" s="206">
        <v>100</v>
      </c>
      <c r="AU5" s="206" t="s">
        <v>130</v>
      </c>
      <c r="AV5" s="206" t="s">
        <v>126</v>
      </c>
      <c r="AW5" s="206">
        <v>0.1</v>
      </c>
      <c r="AX5" s="206">
        <f t="shared" ref="AX5" si="6">AT5/1000*AW5/1000</f>
        <v>1.0000000000000003E-5</v>
      </c>
      <c r="AZ5" s="307"/>
      <c r="BA5" s="307">
        <v>110</v>
      </c>
      <c r="BB5" s="307" t="s">
        <v>130</v>
      </c>
      <c r="BC5" s="307" t="s">
        <v>126</v>
      </c>
      <c r="BD5" s="307">
        <v>0.1</v>
      </c>
      <c r="BE5" s="307">
        <f t="shared" ref="BE5" si="7">BA5/1000*BD5/1000</f>
        <v>1.1000000000000001E-5</v>
      </c>
    </row>
    <row r="6" spans="1:57" x14ac:dyDescent="0.2">
      <c r="A6" s="147"/>
      <c r="B6" s="147" t="s">
        <v>296</v>
      </c>
      <c r="C6" s="156">
        <f>'Pfahl - Pfahlwand'!C10</f>
        <v>1100</v>
      </c>
      <c r="D6" s="147" t="s">
        <v>10</v>
      </c>
      <c r="E6" s="149"/>
      <c r="F6" s="208">
        <f t="shared" si="0"/>
        <v>1100</v>
      </c>
      <c r="I6" s="206">
        <f t="shared" si="1"/>
        <v>1100</v>
      </c>
      <c r="J6" s="20" t="s">
        <v>10</v>
      </c>
      <c r="K6" s="17">
        <f>AB14</f>
        <v>0.122365</v>
      </c>
      <c r="L6" s="208">
        <f t="shared" si="2"/>
        <v>134.60150000000002</v>
      </c>
      <c r="N6" s="206" t="s">
        <v>49</v>
      </c>
      <c r="P6" s="227"/>
      <c r="Q6" s="206">
        <v>850</v>
      </c>
      <c r="R6" s="206" t="s">
        <v>130</v>
      </c>
      <c r="S6" s="206" t="s">
        <v>127</v>
      </c>
      <c r="T6" s="206">
        <v>6</v>
      </c>
      <c r="U6" s="206">
        <f>Q6/1000*T6/1000</f>
        <v>5.0999999999999995E-3</v>
      </c>
      <c r="X6" s="234">
        <v>855</v>
      </c>
      <c r="Y6" s="234" t="s">
        <v>130</v>
      </c>
      <c r="Z6" s="234" t="s">
        <v>127</v>
      </c>
      <c r="AA6" s="234">
        <v>6</v>
      </c>
      <c r="AB6" s="234">
        <f>X6/1000*AA6/1000</f>
        <v>5.13E-3</v>
      </c>
      <c r="AF6" s="234">
        <v>865</v>
      </c>
      <c r="AG6" s="234" t="s">
        <v>130</v>
      </c>
      <c r="AH6" s="234" t="s">
        <v>127</v>
      </c>
      <c r="AI6" s="234">
        <v>6</v>
      </c>
      <c r="AJ6" s="234">
        <f>AF6/1000*AI6/1000</f>
        <v>5.1899999999999993E-3</v>
      </c>
      <c r="AM6" s="234">
        <v>865</v>
      </c>
      <c r="AN6" s="234" t="s">
        <v>130</v>
      </c>
      <c r="AO6" s="234" t="s">
        <v>127</v>
      </c>
      <c r="AP6" s="234">
        <v>6</v>
      </c>
      <c r="AQ6" s="234">
        <f>AM6/1000*AP6/1000</f>
        <v>5.1899999999999993E-3</v>
      </c>
      <c r="AT6" s="234">
        <v>865</v>
      </c>
      <c r="AU6" s="234" t="s">
        <v>130</v>
      </c>
      <c r="AV6" s="234" t="s">
        <v>127</v>
      </c>
      <c r="AW6" s="234">
        <v>6</v>
      </c>
      <c r="AX6" s="234">
        <f>AT6/1000*AW6/1000</f>
        <v>5.1899999999999993E-3</v>
      </c>
      <c r="AZ6" s="307"/>
      <c r="BA6" s="307">
        <v>845</v>
      </c>
      <c r="BB6" s="307" t="s">
        <v>130</v>
      </c>
      <c r="BC6" s="307" t="s">
        <v>127</v>
      </c>
      <c r="BD6" s="307">
        <v>6</v>
      </c>
      <c r="BE6" s="307">
        <f>BA6/1000*BD6/1000</f>
        <v>5.0699999999999999E-3</v>
      </c>
    </row>
    <row r="7" spans="1:57" x14ac:dyDescent="0.2">
      <c r="A7" s="147"/>
      <c r="B7" s="147" t="s">
        <v>297</v>
      </c>
      <c r="C7" s="156">
        <f>'Pfahl - Pfahlwand'!D10</f>
        <v>1200</v>
      </c>
      <c r="D7" s="147" t="s">
        <v>10</v>
      </c>
      <c r="E7" s="149"/>
      <c r="F7" s="208">
        <f t="shared" si="0"/>
        <v>1200</v>
      </c>
      <c r="I7" s="206">
        <f t="shared" si="1"/>
        <v>1200</v>
      </c>
      <c r="J7" s="20" t="s">
        <v>10</v>
      </c>
      <c r="K7" s="17">
        <f>AJ14</f>
        <v>0.161638</v>
      </c>
      <c r="L7" s="208">
        <f t="shared" si="2"/>
        <v>193.96559999999999</v>
      </c>
      <c r="N7" s="206" t="s">
        <v>49</v>
      </c>
      <c r="P7" s="227"/>
      <c r="Q7" s="234">
        <v>850</v>
      </c>
      <c r="R7" s="234" t="s">
        <v>130</v>
      </c>
      <c r="S7" s="206" t="s">
        <v>343</v>
      </c>
      <c r="T7" s="206">
        <v>4</v>
      </c>
      <c r="U7" s="234">
        <f>Q7/1000*T7/1000</f>
        <v>3.3999999999999998E-3</v>
      </c>
      <c r="X7" s="234">
        <v>855</v>
      </c>
      <c r="Y7" s="234" t="s">
        <v>130</v>
      </c>
      <c r="Z7" s="234" t="s">
        <v>343</v>
      </c>
      <c r="AA7" s="234">
        <v>4</v>
      </c>
      <c r="AB7" s="234">
        <f>X7/1000*AA7/1000</f>
        <v>3.4199999999999999E-3</v>
      </c>
      <c r="AF7" s="234">
        <v>865</v>
      </c>
      <c r="AG7" s="234" t="s">
        <v>130</v>
      </c>
      <c r="AH7" s="234" t="s">
        <v>343</v>
      </c>
      <c r="AI7" s="234">
        <v>4</v>
      </c>
      <c r="AJ7" s="234">
        <f>AF7/1000*AI7/1000</f>
        <v>3.46E-3</v>
      </c>
      <c r="AM7" s="234">
        <v>865</v>
      </c>
      <c r="AN7" s="234" t="s">
        <v>130</v>
      </c>
      <c r="AO7" s="234" t="s">
        <v>343</v>
      </c>
      <c r="AP7" s="234">
        <v>4</v>
      </c>
      <c r="AQ7" s="234">
        <f>AM7/1000*AP7/1000</f>
        <v>3.46E-3</v>
      </c>
      <c r="AT7" s="234">
        <v>865</v>
      </c>
      <c r="AU7" s="234" t="s">
        <v>130</v>
      </c>
      <c r="AV7" s="234" t="s">
        <v>343</v>
      </c>
      <c r="AW7" s="234">
        <v>4</v>
      </c>
      <c r="AX7" s="234">
        <f>AT7/1000*AW7/1000</f>
        <v>3.46E-3</v>
      </c>
      <c r="AZ7" s="307"/>
      <c r="BA7" s="307">
        <v>845</v>
      </c>
      <c r="BB7" s="307" t="s">
        <v>130</v>
      </c>
      <c r="BC7" s="307" t="s">
        <v>343</v>
      </c>
      <c r="BD7" s="307">
        <v>4</v>
      </c>
      <c r="BE7" s="307">
        <f>BA7/1000*BD7/1000</f>
        <v>3.3799999999999998E-3</v>
      </c>
    </row>
    <row r="8" spans="1:57" x14ac:dyDescent="0.2">
      <c r="A8" s="147"/>
      <c r="B8" s="147" t="s">
        <v>298</v>
      </c>
      <c r="C8" s="156">
        <f>'Pfahl - Pfahlwand'!E10</f>
        <v>1300</v>
      </c>
      <c r="D8" s="147" t="s">
        <v>10</v>
      </c>
      <c r="E8" s="149"/>
      <c r="F8" s="208">
        <f t="shared" si="0"/>
        <v>1300</v>
      </c>
      <c r="I8" s="206">
        <f t="shared" si="1"/>
        <v>1300</v>
      </c>
      <c r="J8" s="20" t="s">
        <v>10</v>
      </c>
      <c r="K8" s="17">
        <f>AQ14</f>
        <v>0.17657335999999998</v>
      </c>
      <c r="L8" s="208">
        <f t="shared" si="2"/>
        <v>229.54536799999997</v>
      </c>
      <c r="N8" s="206" t="s">
        <v>49</v>
      </c>
      <c r="P8" s="227"/>
      <c r="Q8" s="206">
        <v>220</v>
      </c>
      <c r="R8" s="206" t="s">
        <v>130</v>
      </c>
      <c r="S8" s="206" t="s">
        <v>128</v>
      </c>
      <c r="T8" s="206">
        <v>0.3</v>
      </c>
      <c r="U8" s="206">
        <f>Q8/1000*T8/1000</f>
        <v>6.6000000000000005E-5</v>
      </c>
      <c r="X8" s="206">
        <f>200</f>
        <v>200</v>
      </c>
      <c r="Y8" s="206" t="s">
        <v>130</v>
      </c>
      <c r="Z8" s="206" t="s">
        <v>128</v>
      </c>
      <c r="AA8" s="206">
        <v>0.3</v>
      </c>
      <c r="AB8" s="206">
        <f>X8/1000*AA8/1000</f>
        <v>5.9999999999999995E-5</v>
      </c>
      <c r="AF8" s="206">
        <f>200</f>
        <v>200</v>
      </c>
      <c r="AG8" s="206" t="s">
        <v>130</v>
      </c>
      <c r="AH8" s="206" t="s">
        <v>128</v>
      </c>
      <c r="AI8" s="206">
        <v>0.3</v>
      </c>
      <c r="AJ8" s="206">
        <f>AF8/1000*AI8/1000</f>
        <v>5.9999999999999995E-5</v>
      </c>
      <c r="AM8" s="206">
        <v>190</v>
      </c>
      <c r="AN8" s="206" t="s">
        <v>130</v>
      </c>
      <c r="AO8" s="206" t="s">
        <v>128</v>
      </c>
      <c r="AP8" s="206">
        <v>0.34399999999999997</v>
      </c>
      <c r="AQ8" s="206">
        <f>AM8/1000*AP8/1000</f>
        <v>6.5359999999999998E-5</v>
      </c>
      <c r="AT8" s="206">
        <v>185</v>
      </c>
      <c r="AU8" s="206" t="s">
        <v>130</v>
      </c>
      <c r="AV8" s="206" t="s">
        <v>128</v>
      </c>
      <c r="AW8" s="206">
        <v>0.34399999999999997</v>
      </c>
      <c r="AX8" s="206">
        <f>AT8/1000*AW8/1000</f>
        <v>6.3639999999999994E-5</v>
      </c>
      <c r="AZ8" s="307"/>
      <c r="BA8" s="307">
        <v>170</v>
      </c>
      <c r="BB8" s="307" t="s">
        <v>130</v>
      </c>
      <c r="BC8" s="307" t="s">
        <v>128</v>
      </c>
      <c r="BD8" s="307">
        <v>0.34399999999999997</v>
      </c>
      <c r="BE8" s="307">
        <f>BA8/1000*BD8/1000</f>
        <v>5.8479999999999996E-5</v>
      </c>
    </row>
    <row r="9" spans="1:57" ht="14.25" customHeight="1" x14ac:dyDescent="0.2">
      <c r="B9" s="147" t="s">
        <v>391</v>
      </c>
      <c r="C9" s="156">
        <f>'Pfahl - Pfahlwand'!F10</f>
        <v>1400</v>
      </c>
      <c r="D9" s="147" t="s">
        <v>10</v>
      </c>
      <c r="E9" s="149"/>
      <c r="F9" s="208">
        <f t="shared" si="0"/>
        <v>1400</v>
      </c>
      <c r="I9" s="206">
        <f t="shared" si="1"/>
        <v>1400</v>
      </c>
      <c r="J9" s="20" t="s">
        <v>10</v>
      </c>
      <c r="K9" s="17">
        <f>AX14</f>
        <v>0.18684364000000001</v>
      </c>
      <c r="L9" s="208">
        <f t="shared" ref="L9:L12" si="8">I9*K9</f>
        <v>261.581096</v>
      </c>
      <c r="N9" s="206" t="s">
        <v>49</v>
      </c>
      <c r="AZ9" s="307"/>
      <c r="BA9" s="307"/>
      <c r="BB9" s="307"/>
      <c r="BC9" s="307"/>
      <c r="BD9" s="307"/>
      <c r="BE9" s="307"/>
    </row>
    <row r="10" spans="1:57" s="307" customFormat="1" ht="14.25" customHeight="1" x14ac:dyDescent="0.2">
      <c r="B10" s="147" t="s">
        <v>396</v>
      </c>
      <c r="C10" s="379">
        <f>Schlitzwand!G12</f>
        <v>0</v>
      </c>
      <c r="D10" s="147" t="s">
        <v>10</v>
      </c>
      <c r="E10" s="149"/>
      <c r="F10" s="309">
        <f t="shared" si="0"/>
        <v>0</v>
      </c>
      <c r="I10" s="307">
        <f t="shared" si="1"/>
        <v>0</v>
      </c>
      <c r="J10" s="20" t="s">
        <v>10</v>
      </c>
      <c r="K10" s="17">
        <f>BE15</f>
        <v>0.22029947999999999</v>
      </c>
      <c r="L10" s="309">
        <f t="shared" si="8"/>
        <v>0</v>
      </c>
      <c r="N10" s="307" t="s">
        <v>49</v>
      </c>
    </row>
    <row r="11" spans="1:57" x14ac:dyDescent="0.2">
      <c r="A11" s="147"/>
      <c r="B11" s="147" t="s">
        <v>294</v>
      </c>
      <c r="C11" s="198">
        <f>'Pfahl - Pfahlwand'!B7</f>
        <v>300</v>
      </c>
      <c r="D11" s="147" t="s">
        <v>12</v>
      </c>
      <c r="E11" s="149" t="s">
        <v>38</v>
      </c>
      <c r="F11" s="208">
        <f>C11*0.4</f>
        <v>120</v>
      </c>
      <c r="I11" s="208">
        <f>F11</f>
        <v>120</v>
      </c>
      <c r="J11" s="20" t="s">
        <v>10</v>
      </c>
      <c r="K11" s="17">
        <f>AB14</f>
        <v>0.122365</v>
      </c>
      <c r="L11" s="208">
        <f t="shared" si="8"/>
        <v>14.6838</v>
      </c>
      <c r="N11" s="206" t="s">
        <v>49</v>
      </c>
      <c r="X11" s="206">
        <f>X4/3+X5/2.4+X6/2.65+X8</f>
        <v>665.14150943396226</v>
      </c>
      <c r="AZ11" s="307"/>
      <c r="BA11" s="307"/>
      <c r="BB11" s="307"/>
      <c r="BC11" s="307"/>
      <c r="BD11" s="307"/>
      <c r="BE11" s="307"/>
    </row>
    <row r="12" spans="1:57" x14ac:dyDescent="0.2">
      <c r="A12" s="147"/>
      <c r="B12" s="147" t="s">
        <v>249</v>
      </c>
      <c r="C12" s="156">
        <f>'Pfahl - Pfahlwand'!B12</f>
        <v>270</v>
      </c>
      <c r="D12" s="147" t="s">
        <v>11</v>
      </c>
      <c r="E12" s="149"/>
      <c r="F12" s="208" t="s">
        <v>25</v>
      </c>
      <c r="H12" s="231"/>
      <c r="I12" s="231">
        <f>C12</f>
        <v>270</v>
      </c>
      <c r="J12" s="20" t="s">
        <v>11</v>
      </c>
      <c r="K12" s="206">
        <v>0.56499999999999995</v>
      </c>
      <c r="L12" s="208">
        <f t="shared" si="8"/>
        <v>152.54999999999998</v>
      </c>
      <c r="M12" s="206" t="s">
        <v>41</v>
      </c>
      <c r="N12" s="206" t="s">
        <v>194</v>
      </c>
      <c r="Q12" s="206">
        <v>0</v>
      </c>
      <c r="R12" s="206" t="s">
        <v>130</v>
      </c>
      <c r="S12" s="206" t="s">
        <v>129</v>
      </c>
      <c r="T12" s="206">
        <v>1900</v>
      </c>
      <c r="U12" s="206">
        <f>Q12/1000*T12/1000</f>
        <v>0</v>
      </c>
      <c r="X12" s="206">
        <v>1</v>
      </c>
      <c r="Y12" s="206" t="s">
        <v>130</v>
      </c>
      <c r="Z12" s="206" t="s">
        <v>129</v>
      </c>
      <c r="AA12" s="206">
        <v>1900</v>
      </c>
      <c r="AB12" s="206">
        <f>X12/1000*AA12/1000</f>
        <v>1.9000000000000002E-3</v>
      </c>
      <c r="AF12" s="206">
        <v>2</v>
      </c>
      <c r="AG12" s="206" t="s">
        <v>130</v>
      </c>
      <c r="AH12" s="206" t="s">
        <v>129</v>
      </c>
      <c r="AI12" s="206">
        <v>1900</v>
      </c>
      <c r="AJ12" s="206">
        <f>AF12/1000*AI12/1000</f>
        <v>3.8000000000000004E-3</v>
      </c>
      <c r="AM12" s="206">
        <v>2.5</v>
      </c>
      <c r="AN12" s="206" t="s">
        <v>130</v>
      </c>
      <c r="AO12" s="206" t="s">
        <v>129</v>
      </c>
      <c r="AP12" s="206">
        <v>1900</v>
      </c>
      <c r="AQ12" s="206">
        <f>AM12/1000*AP12/1000</f>
        <v>4.7499999999999999E-3</v>
      </c>
      <c r="AT12" s="206">
        <v>3</v>
      </c>
      <c r="AU12" s="206" t="s">
        <v>130</v>
      </c>
      <c r="AV12" s="206" t="s">
        <v>129</v>
      </c>
      <c r="AW12" s="206">
        <v>1900</v>
      </c>
      <c r="AX12" s="206">
        <f>AT12/1000*AW12/1000</f>
        <v>5.7000000000000002E-3</v>
      </c>
      <c r="AZ12" s="307"/>
      <c r="BA12" s="307"/>
      <c r="BB12" s="307"/>
      <c r="BC12" s="307"/>
      <c r="BD12" s="307"/>
      <c r="BE12" s="307"/>
    </row>
    <row r="13" spans="1:57" x14ac:dyDescent="0.2">
      <c r="A13" s="147"/>
      <c r="B13" s="147"/>
      <c r="C13" s="156"/>
      <c r="D13" s="147"/>
      <c r="E13" s="149"/>
      <c r="F13" s="208"/>
      <c r="H13" s="150"/>
      <c r="I13" s="150"/>
      <c r="L13" s="208"/>
      <c r="N13" s="206"/>
      <c r="AZ13" s="307"/>
      <c r="BA13" s="307">
        <v>6</v>
      </c>
      <c r="BB13" s="307" t="s">
        <v>130</v>
      </c>
      <c r="BC13" s="307" t="s">
        <v>129</v>
      </c>
      <c r="BD13" s="307">
        <v>1900</v>
      </c>
      <c r="BE13" s="307">
        <f>BA13/1000*BD13/1000</f>
        <v>1.14E-2</v>
      </c>
    </row>
    <row r="14" spans="1:57" ht="15" thickBot="1" x14ac:dyDescent="0.25">
      <c r="A14" s="147"/>
      <c r="B14" s="147"/>
      <c r="C14" s="156"/>
      <c r="D14" s="147"/>
      <c r="E14" s="149"/>
      <c r="F14" s="208"/>
      <c r="I14" s="208"/>
      <c r="L14" s="208"/>
      <c r="N14" s="206"/>
      <c r="T14" s="55" t="s">
        <v>292</v>
      </c>
      <c r="U14" s="56">
        <f>SUM(U4:U12)</f>
        <v>0.11109949999999999</v>
      </c>
      <c r="AA14" s="55" t="s">
        <v>132</v>
      </c>
      <c r="AB14" s="56">
        <f>SUM(AB4:AB12)</f>
        <v>0.122365</v>
      </c>
      <c r="AI14" s="55" t="s">
        <v>135</v>
      </c>
      <c r="AJ14" s="56">
        <f>SUM(AJ4:AJ12)</f>
        <v>0.161638</v>
      </c>
      <c r="AP14" s="55" t="s">
        <v>290</v>
      </c>
      <c r="AQ14" s="56">
        <f>SUM(AQ4:AQ12)</f>
        <v>0.17657335999999998</v>
      </c>
      <c r="AW14" s="55" t="s">
        <v>390</v>
      </c>
      <c r="AX14" s="56">
        <f>SUM(AX4:AX12)</f>
        <v>0.18684364000000001</v>
      </c>
      <c r="AZ14" s="307"/>
      <c r="BA14" s="307"/>
      <c r="BB14" s="307"/>
      <c r="BC14" s="307"/>
      <c r="BD14" s="307"/>
      <c r="BE14" s="307"/>
    </row>
    <row r="15" spans="1:57" ht="15" thickBot="1" x14ac:dyDescent="0.25">
      <c r="A15" s="39"/>
      <c r="E15" s="40"/>
      <c r="F15" s="208"/>
      <c r="J15" s="26"/>
      <c r="L15" s="36">
        <f>SUM(L4:L14)</f>
        <v>1098.0268639999999</v>
      </c>
      <c r="N15" s="206"/>
      <c r="AZ15" s="307"/>
      <c r="BA15" s="307"/>
      <c r="BB15" s="307"/>
      <c r="BC15" s="307"/>
      <c r="BD15" s="55" t="s">
        <v>395</v>
      </c>
      <c r="BE15" s="56">
        <f>SUM(BE4:BE13)</f>
        <v>0.22029947999999999</v>
      </c>
    </row>
    <row r="16" spans="1:57" ht="13.5" hidden="1" customHeight="1" x14ac:dyDescent="0.2">
      <c r="A16" s="39"/>
      <c r="B16" s="39"/>
      <c r="C16" s="39"/>
      <c r="D16" s="39"/>
      <c r="E16" s="39"/>
      <c r="J16" s="26"/>
      <c r="N16" s="206"/>
    </row>
    <row r="17" spans="1:14" hidden="1" x14ac:dyDescent="0.2">
      <c r="A17" s="39"/>
      <c r="B17" s="39"/>
      <c r="C17" s="39"/>
      <c r="D17" s="39"/>
      <c r="E17" s="39"/>
      <c r="J17" s="26"/>
      <c r="N17" s="206"/>
    </row>
    <row r="18" spans="1:14" hidden="1" x14ac:dyDescent="0.2">
      <c r="A18" s="39" t="s">
        <v>91</v>
      </c>
      <c r="B18" s="39" t="s">
        <v>16</v>
      </c>
      <c r="C18" s="39">
        <v>0</v>
      </c>
      <c r="D18" s="39" t="s">
        <v>10</v>
      </c>
      <c r="E18" s="40" t="s">
        <v>39</v>
      </c>
      <c r="F18" s="50">
        <f>C18</f>
        <v>0</v>
      </c>
      <c r="G18" s="39"/>
      <c r="H18" s="39"/>
      <c r="I18" s="39">
        <v>0</v>
      </c>
      <c r="J18" s="157" t="s">
        <v>10</v>
      </c>
      <c r="K18" s="158">
        <f>AB43</f>
        <v>0</v>
      </c>
      <c r="L18" s="50">
        <f>I18*K18</f>
        <v>0</v>
      </c>
      <c r="M18" s="39"/>
      <c r="N18" s="39"/>
    </row>
    <row r="19" spans="1:14" hidden="1" x14ac:dyDescent="0.2">
      <c r="A19" s="39"/>
      <c r="B19" s="39" t="s">
        <v>17</v>
      </c>
      <c r="C19" s="39">
        <v>0</v>
      </c>
      <c r="D19" s="39" t="s">
        <v>18</v>
      </c>
      <c r="E19" s="40" t="s">
        <v>190</v>
      </c>
      <c r="F19" s="50" t="s">
        <v>25</v>
      </c>
      <c r="G19" s="39"/>
      <c r="H19" s="39"/>
      <c r="I19" s="39">
        <f>15/1000*C19</f>
        <v>0</v>
      </c>
      <c r="J19" s="157" t="s">
        <v>11</v>
      </c>
      <c r="K19" s="39">
        <v>2.3140000000000001</v>
      </c>
      <c r="L19" s="50">
        <f>I19*K19</f>
        <v>0</v>
      </c>
      <c r="M19" s="39" t="s">
        <v>42</v>
      </c>
      <c r="N19" s="39" t="s">
        <v>194</v>
      </c>
    </row>
    <row r="20" spans="1:14" hidden="1" x14ac:dyDescent="0.2">
      <c r="A20" s="39"/>
      <c r="B20" s="39" t="s">
        <v>20</v>
      </c>
      <c r="C20" s="39">
        <v>0</v>
      </c>
      <c r="D20" s="39" t="s">
        <v>12</v>
      </c>
      <c r="E20" s="40"/>
      <c r="F20" s="49">
        <f>PI()*0.025^2*C20</f>
        <v>0</v>
      </c>
      <c r="G20" s="39">
        <v>7.8</v>
      </c>
      <c r="H20" s="49">
        <f>C20*21/1000</f>
        <v>0</v>
      </c>
      <c r="I20" s="49">
        <f>H20</f>
        <v>0</v>
      </c>
      <c r="J20" s="157" t="s">
        <v>11</v>
      </c>
      <c r="K20" s="39">
        <v>2.266</v>
      </c>
      <c r="L20" s="50">
        <f>I20*K20</f>
        <v>0</v>
      </c>
      <c r="M20" s="39" t="s">
        <v>41</v>
      </c>
      <c r="N20" s="39" t="s">
        <v>194</v>
      </c>
    </row>
    <row r="21" spans="1:14" ht="14.25" hidden="1" customHeight="1" thickBot="1" x14ac:dyDescent="0.25">
      <c r="A21" s="39"/>
      <c r="B21" s="39" t="s">
        <v>9</v>
      </c>
      <c r="C21" s="39">
        <v>0</v>
      </c>
      <c r="D21" s="39" t="s">
        <v>11</v>
      </c>
      <c r="E21" s="40" t="s">
        <v>21</v>
      </c>
      <c r="F21" s="49"/>
      <c r="G21" s="39"/>
      <c r="H21" s="49">
        <f>C21</f>
        <v>0</v>
      </c>
      <c r="I21" s="49">
        <f>H21</f>
        <v>0</v>
      </c>
      <c r="J21" s="157" t="s">
        <v>11</v>
      </c>
      <c r="K21" s="39">
        <v>0.91300000000000003</v>
      </c>
      <c r="L21" s="50">
        <f>I21*K21</f>
        <v>0</v>
      </c>
      <c r="M21" s="39" t="s">
        <v>48</v>
      </c>
      <c r="N21" s="39" t="s">
        <v>49</v>
      </c>
    </row>
    <row r="22" spans="1:14" ht="15" hidden="1" thickBot="1" x14ac:dyDescent="0.25">
      <c r="A22" s="39"/>
      <c r="B22" s="39"/>
      <c r="C22" s="39"/>
      <c r="D22" s="39"/>
      <c r="E22" s="40"/>
      <c r="F22" s="49"/>
      <c r="G22" s="39"/>
      <c r="H22" s="39"/>
      <c r="I22" s="39"/>
      <c r="J22" s="159"/>
      <c r="K22" s="39"/>
      <c r="L22" s="160">
        <f>SUM(L18:L21)</f>
        <v>0</v>
      </c>
      <c r="M22" s="39"/>
      <c r="N22" s="39"/>
    </row>
    <row r="23" spans="1:14" hidden="1" x14ac:dyDescent="0.2">
      <c r="A23" s="39"/>
      <c r="B23" s="39"/>
      <c r="C23" s="39"/>
      <c r="D23" s="39"/>
      <c r="E23" s="39"/>
      <c r="J23" s="26"/>
      <c r="N23" s="206"/>
    </row>
    <row r="24" spans="1:14" x14ac:dyDescent="0.2">
      <c r="A24" s="39"/>
      <c r="B24" s="39"/>
      <c r="C24" s="39"/>
      <c r="D24" s="39"/>
      <c r="E24" s="39"/>
      <c r="J24" s="26"/>
      <c r="N24" s="206"/>
    </row>
    <row r="25" spans="1:14" hidden="1" x14ac:dyDescent="0.2">
      <c r="A25" s="147" t="s">
        <v>92</v>
      </c>
      <c r="B25" s="147" t="s">
        <v>28</v>
      </c>
      <c r="C25" s="150">
        <f>'MIP550-Verbauwand'!B3</f>
        <v>3430</v>
      </c>
      <c r="D25" s="147" t="s">
        <v>26</v>
      </c>
      <c r="E25" s="149" t="s">
        <v>260</v>
      </c>
      <c r="F25" s="154" t="s">
        <v>25</v>
      </c>
      <c r="G25" s="147"/>
      <c r="H25" s="156">
        <f>'MIP550-Verbauwand'!B3*(('MIP550-Verbauwand'!B7/1000)*0.55)</f>
        <v>811.19500000000005</v>
      </c>
      <c r="I25" s="154">
        <f>H25</f>
        <v>811.19500000000005</v>
      </c>
      <c r="J25" s="155" t="s">
        <v>11</v>
      </c>
      <c r="K25" s="17">
        <f>0.27*0.86+0.73*0.0796</f>
        <v>0.29030800000000001</v>
      </c>
      <c r="L25" s="208">
        <f>I25*K25</f>
        <v>235.49639806000002</v>
      </c>
      <c r="M25" s="206" t="s">
        <v>137</v>
      </c>
      <c r="N25" s="206" t="s">
        <v>49</v>
      </c>
    </row>
    <row r="26" spans="1:14" ht="15" hidden="1" x14ac:dyDescent="0.2">
      <c r="A26" s="161" t="s">
        <v>240</v>
      </c>
      <c r="B26" s="147" t="s">
        <v>76</v>
      </c>
      <c r="C26" s="150">
        <f>'MIP550-Verbauwand'!B13</f>
        <v>270</v>
      </c>
      <c r="D26" s="147" t="s">
        <v>11</v>
      </c>
      <c r="E26" s="149" t="s">
        <v>261</v>
      </c>
      <c r="F26" s="154" t="s">
        <v>25</v>
      </c>
      <c r="G26" s="147"/>
      <c r="H26" s="147"/>
      <c r="I26" s="147">
        <f>C26</f>
        <v>270</v>
      </c>
      <c r="J26" s="155" t="s">
        <v>11</v>
      </c>
      <c r="K26" s="206">
        <v>0.67300000000000004</v>
      </c>
      <c r="L26" s="208">
        <f>I26*K26</f>
        <v>181.71</v>
      </c>
      <c r="M26" s="206" t="s">
        <v>42</v>
      </c>
      <c r="N26" s="206" t="s">
        <v>194</v>
      </c>
    </row>
    <row r="27" spans="1:14" hidden="1" x14ac:dyDescent="0.2">
      <c r="A27" s="147"/>
      <c r="B27" s="147" t="s">
        <v>188</v>
      </c>
      <c r="C27" s="198" t="e">
        <f>'MIP550-Verbauwand'!#REF!</f>
        <v>#REF!</v>
      </c>
      <c r="D27" s="147" t="s">
        <v>11</v>
      </c>
      <c r="E27" s="149"/>
      <c r="F27" s="156"/>
      <c r="G27" s="147"/>
      <c r="H27" s="156" t="e">
        <f>C27</f>
        <v>#REF!</v>
      </c>
      <c r="I27" s="147" t="e">
        <f>C27</f>
        <v>#REF!</v>
      </c>
      <c r="J27" s="155" t="s">
        <v>11</v>
      </c>
      <c r="K27" s="206">
        <v>1.0149999999999999</v>
      </c>
      <c r="L27" s="208" t="e">
        <f>I27*K27</f>
        <v>#REF!</v>
      </c>
      <c r="M27" s="206" t="s">
        <v>193</v>
      </c>
      <c r="N27" s="206" t="s">
        <v>194</v>
      </c>
    </row>
    <row r="28" spans="1:14" hidden="1" x14ac:dyDescent="0.2">
      <c r="A28" s="147"/>
      <c r="B28" s="147" t="s">
        <v>189</v>
      </c>
      <c r="C28" s="150" t="e">
        <f>'MIP550-Verbauwand'!#REF!</f>
        <v>#REF!</v>
      </c>
      <c r="D28" s="147" t="s">
        <v>191</v>
      </c>
      <c r="E28" s="149" t="s">
        <v>192</v>
      </c>
      <c r="F28" s="156"/>
      <c r="G28" s="147"/>
      <c r="H28" s="147"/>
      <c r="I28" s="156" t="e">
        <f>C28*22/1000</f>
        <v>#REF!</v>
      </c>
      <c r="J28" s="155" t="s">
        <v>11</v>
      </c>
      <c r="K28" s="206">
        <v>0.86</v>
      </c>
      <c r="L28" s="208" t="e">
        <f>I28*K28</f>
        <v>#REF!</v>
      </c>
      <c r="M28" s="206" t="s">
        <v>48</v>
      </c>
      <c r="N28" s="206" t="s">
        <v>49</v>
      </c>
    </row>
    <row r="29" spans="1:14" ht="15" hidden="1" thickBot="1" x14ac:dyDescent="0.25">
      <c r="A29" s="147"/>
      <c r="B29" s="147" t="s">
        <v>202</v>
      </c>
      <c r="C29" s="150">
        <f>C25</f>
        <v>3430</v>
      </c>
      <c r="D29" s="147" t="s">
        <v>26</v>
      </c>
      <c r="E29" s="149" t="s">
        <v>203</v>
      </c>
      <c r="F29" s="156"/>
      <c r="G29" s="147"/>
      <c r="H29" s="156">
        <f>'MIP550-Verbauwand'!B3*(('MIP550-Verbauwand'!B10/1000)*0.55)</f>
        <v>28.297500000000003</v>
      </c>
      <c r="I29" s="156">
        <f>H29</f>
        <v>28.297500000000003</v>
      </c>
      <c r="J29" s="155" t="s">
        <v>11</v>
      </c>
      <c r="K29" s="206">
        <v>0.47499999999999998</v>
      </c>
      <c r="L29" s="208">
        <f>I29*K29</f>
        <v>13.4413125</v>
      </c>
      <c r="M29" s="206" t="s">
        <v>204</v>
      </c>
      <c r="N29" s="206" t="s">
        <v>194</v>
      </c>
    </row>
    <row r="30" spans="1:14" ht="15" hidden="1" thickBot="1" x14ac:dyDescent="0.25">
      <c r="A30" s="39"/>
      <c r="B30" s="39"/>
      <c r="C30" s="39"/>
      <c r="D30" s="39"/>
      <c r="E30" s="40"/>
      <c r="F30" s="13"/>
      <c r="J30" s="26"/>
      <c r="L30" s="36" t="e">
        <f>SUM(L25:L29)</f>
        <v>#REF!</v>
      </c>
      <c r="N30" s="206"/>
    </row>
    <row r="31" spans="1:14" ht="13.5" hidden="1" customHeight="1" x14ac:dyDescent="0.2">
      <c r="A31" s="39"/>
      <c r="B31" s="39"/>
      <c r="C31" s="39"/>
      <c r="D31" s="39"/>
      <c r="E31" s="39"/>
      <c r="J31" s="26"/>
      <c r="N31" s="206"/>
    </row>
    <row r="32" spans="1:14" hidden="1" x14ac:dyDescent="0.2">
      <c r="A32" s="39"/>
      <c r="B32" s="39"/>
      <c r="C32" s="39"/>
      <c r="D32" s="39"/>
      <c r="E32" s="39"/>
      <c r="J32" s="26"/>
      <c r="N32" s="206"/>
    </row>
    <row r="33" spans="1:28" ht="15" hidden="1" thickBot="1" x14ac:dyDescent="0.25">
      <c r="A33" s="39" t="s">
        <v>93</v>
      </c>
      <c r="B33" s="39" t="s">
        <v>27</v>
      </c>
      <c r="C33" s="39">
        <v>0</v>
      </c>
      <c r="D33" s="39" t="s">
        <v>26</v>
      </c>
      <c r="E33" s="40" t="s">
        <v>75</v>
      </c>
      <c r="F33" s="49" t="s">
        <v>25</v>
      </c>
      <c r="G33" s="39"/>
      <c r="H33" s="39"/>
      <c r="I33" s="39">
        <f>C33*0.233</f>
        <v>0</v>
      </c>
      <c r="J33" s="157" t="s">
        <v>11</v>
      </c>
      <c r="K33" s="39">
        <v>0.91300000000000003</v>
      </c>
      <c r="L33" s="50">
        <f>I33*K33</f>
        <v>0</v>
      </c>
      <c r="M33" s="39" t="s">
        <v>48</v>
      </c>
      <c r="N33" s="39" t="s">
        <v>49</v>
      </c>
    </row>
    <row r="34" spans="1:28" ht="15" hidden="1" thickBot="1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159"/>
      <c r="K34" s="39"/>
      <c r="L34" s="160">
        <f>SUM(L33)</f>
        <v>0</v>
      </c>
      <c r="M34" s="39"/>
      <c r="N34" s="39"/>
    </row>
    <row r="35" spans="1:28" ht="13.5" hidden="1" customHeight="1" x14ac:dyDescent="0.2">
      <c r="A35" s="39"/>
      <c r="B35" s="39"/>
      <c r="C35" s="39"/>
      <c r="D35" s="39"/>
      <c r="E35" s="39"/>
      <c r="F35" s="39"/>
      <c r="G35" s="39"/>
      <c r="H35" s="39"/>
      <c r="I35" s="39"/>
      <c r="J35" s="159"/>
      <c r="K35" s="39"/>
      <c r="L35" s="39"/>
      <c r="M35" s="39"/>
      <c r="N35" s="39"/>
    </row>
    <row r="36" spans="1:28" hidden="1" x14ac:dyDescent="0.2">
      <c r="A36" s="39"/>
      <c r="B36" s="39"/>
      <c r="C36" s="39"/>
      <c r="D36" s="39"/>
      <c r="E36" s="39"/>
      <c r="F36" s="39"/>
      <c r="G36" s="39"/>
      <c r="H36" s="39"/>
      <c r="I36" s="39"/>
      <c r="J36" s="159"/>
      <c r="K36" s="39"/>
      <c r="L36" s="39"/>
      <c r="M36" s="39"/>
      <c r="N36" s="39"/>
    </row>
    <row r="37" spans="1:28" hidden="1" x14ac:dyDescent="0.2">
      <c r="A37" s="39" t="s">
        <v>94</v>
      </c>
      <c r="B37" s="39" t="s">
        <v>43</v>
      </c>
      <c r="C37" s="39" t="s">
        <v>31</v>
      </c>
      <c r="D37" s="39" t="s">
        <v>71</v>
      </c>
      <c r="E37" s="40" t="s">
        <v>29</v>
      </c>
      <c r="F37" s="49" t="s">
        <v>25</v>
      </c>
      <c r="G37" s="39"/>
      <c r="H37" s="39">
        <v>0</v>
      </c>
      <c r="I37" s="39">
        <f>H37</f>
        <v>0</v>
      </c>
      <c r="J37" s="157" t="s">
        <v>11</v>
      </c>
      <c r="K37" s="39">
        <v>0.91300000000000003</v>
      </c>
      <c r="L37" s="50">
        <f>I37*K37</f>
        <v>0</v>
      </c>
      <c r="M37" s="39" t="s">
        <v>48</v>
      </c>
      <c r="N37" s="39" t="s">
        <v>49</v>
      </c>
    </row>
    <row r="38" spans="1:28" hidden="1" x14ac:dyDescent="0.2">
      <c r="A38" s="39"/>
      <c r="B38" s="39" t="s">
        <v>44</v>
      </c>
      <c r="C38" s="39">
        <v>0</v>
      </c>
      <c r="D38" s="39" t="s">
        <v>10</v>
      </c>
      <c r="E38" s="40" t="s">
        <v>30</v>
      </c>
      <c r="F38" s="49" t="s">
        <v>25</v>
      </c>
      <c r="G38" s="39"/>
      <c r="H38" s="39">
        <v>0</v>
      </c>
      <c r="I38" s="39">
        <f>H38</f>
        <v>0</v>
      </c>
      <c r="J38" s="157" t="s">
        <v>11</v>
      </c>
      <c r="K38" s="39">
        <v>0.28000000000000003</v>
      </c>
      <c r="L38" s="50">
        <f>I38*K38</f>
        <v>0</v>
      </c>
      <c r="M38" s="39"/>
      <c r="N38" s="39" t="s">
        <v>50</v>
      </c>
    </row>
    <row r="39" spans="1:28" ht="15" hidden="1" thickBot="1" x14ac:dyDescent="0.25">
      <c r="A39" s="39"/>
      <c r="B39" s="39" t="s">
        <v>45</v>
      </c>
      <c r="C39" s="39">
        <f>47500</f>
        <v>47500</v>
      </c>
      <c r="D39" s="39" t="s">
        <v>12</v>
      </c>
      <c r="E39" s="40" t="s">
        <v>32</v>
      </c>
      <c r="F39" s="49">
        <f>C39*PI()*(0.008^2-0.005^2)</f>
        <v>5.8198003907750913</v>
      </c>
      <c r="G39" s="39">
        <v>1.4</v>
      </c>
      <c r="H39" s="49">
        <v>0</v>
      </c>
      <c r="I39" s="49">
        <f>H39</f>
        <v>0</v>
      </c>
      <c r="J39" s="157" t="s">
        <v>11</v>
      </c>
      <c r="K39" s="39">
        <v>3.23</v>
      </c>
      <c r="L39" s="50">
        <f>I39*K39</f>
        <v>0</v>
      </c>
      <c r="M39" s="39" t="s">
        <v>47</v>
      </c>
      <c r="N39" s="39" t="s">
        <v>46</v>
      </c>
    </row>
    <row r="40" spans="1:28" ht="15" hidden="1" thickBot="1" x14ac:dyDescent="0.25">
      <c r="A40" s="39"/>
      <c r="B40" s="39"/>
      <c r="C40" s="39"/>
      <c r="D40" s="39"/>
      <c r="E40" s="40"/>
      <c r="I40" s="39"/>
      <c r="J40" s="157"/>
      <c r="K40" s="39"/>
      <c r="L40" s="160">
        <f>SUM(L37:L39)</f>
        <v>0</v>
      </c>
      <c r="M40" s="39"/>
      <c r="N40" s="39"/>
    </row>
    <row r="41" spans="1:28" x14ac:dyDescent="0.2">
      <c r="A41" s="39"/>
      <c r="B41" s="39"/>
      <c r="C41" s="39"/>
      <c r="D41" s="39"/>
      <c r="E41" s="40"/>
      <c r="N41" s="206"/>
    </row>
    <row r="42" spans="1:28" x14ac:dyDescent="0.2">
      <c r="A42" s="39"/>
      <c r="B42" s="40"/>
      <c r="C42" s="40"/>
      <c r="D42" s="40"/>
      <c r="E42" s="40"/>
      <c r="F42" s="12"/>
      <c r="G42" s="12"/>
      <c r="H42" s="12"/>
      <c r="I42" s="12"/>
      <c r="J42" s="26"/>
      <c r="N42" s="206"/>
    </row>
    <row r="43" spans="1:28" ht="18.75" thickBot="1" x14ac:dyDescent="0.25">
      <c r="A43" s="39"/>
      <c r="B43" s="41"/>
      <c r="C43" s="41"/>
      <c r="D43" s="41"/>
      <c r="E43" s="41"/>
      <c r="F43" s="349" t="s">
        <v>112</v>
      </c>
      <c r="G43" s="349"/>
      <c r="H43" s="349"/>
      <c r="I43" s="349"/>
      <c r="J43" s="350"/>
      <c r="K43" s="351" t="s">
        <v>40</v>
      </c>
      <c r="L43" s="351"/>
      <c r="M43" s="351"/>
      <c r="N43" s="351"/>
      <c r="AA43" s="55"/>
      <c r="AB43" s="56"/>
    </row>
    <row r="44" spans="1:28" ht="42.75" x14ac:dyDescent="0.2">
      <c r="A44" s="162" t="s">
        <v>33</v>
      </c>
      <c r="B44" s="163"/>
      <c r="C44" s="353" t="s">
        <v>54</v>
      </c>
      <c r="D44" s="354"/>
      <c r="E44" s="163" t="s">
        <v>19</v>
      </c>
      <c r="F44" s="22" t="s">
        <v>56</v>
      </c>
      <c r="G44" s="24" t="s">
        <v>57</v>
      </c>
      <c r="H44" s="24" t="s">
        <v>58</v>
      </c>
      <c r="I44" s="2" t="s">
        <v>74</v>
      </c>
      <c r="J44" s="28" t="s">
        <v>73</v>
      </c>
      <c r="K44" s="215" t="s">
        <v>2</v>
      </c>
      <c r="L44" s="2" t="s">
        <v>3</v>
      </c>
      <c r="M44" s="27" t="s">
        <v>72</v>
      </c>
      <c r="N44" s="10" t="s">
        <v>5</v>
      </c>
      <c r="O44" s="2" t="s">
        <v>64</v>
      </c>
      <c r="P44" s="228"/>
    </row>
    <row r="45" spans="1:28" ht="16.5" thickBot="1" x14ac:dyDescent="0.25">
      <c r="A45" s="44"/>
      <c r="B45" s="45"/>
      <c r="C45" s="46"/>
      <c r="D45" s="47"/>
      <c r="E45" s="48"/>
      <c r="F45" s="6" t="s">
        <v>23</v>
      </c>
      <c r="G45" s="23" t="s">
        <v>7</v>
      </c>
      <c r="H45" s="6" t="s">
        <v>59</v>
      </c>
      <c r="I45" s="6" t="s">
        <v>156</v>
      </c>
      <c r="J45" s="19" t="s">
        <v>60</v>
      </c>
      <c r="K45" s="18" t="s">
        <v>62</v>
      </c>
      <c r="L45" s="6" t="s">
        <v>7</v>
      </c>
      <c r="M45" s="21" t="s">
        <v>40</v>
      </c>
      <c r="N45" s="8"/>
      <c r="O45" s="182" t="s">
        <v>63</v>
      </c>
      <c r="P45" s="229"/>
    </row>
    <row r="46" spans="1:28" x14ac:dyDescent="0.2">
      <c r="A46" s="152" t="s">
        <v>284</v>
      </c>
      <c r="B46" s="152" t="s">
        <v>299</v>
      </c>
      <c r="C46" s="153">
        <f>SUM(I5:I11)</f>
        <v>6120</v>
      </c>
      <c r="D46" s="152" t="s">
        <v>10</v>
      </c>
      <c r="E46" s="164"/>
      <c r="F46" s="152">
        <v>2.2999999999999998</v>
      </c>
      <c r="G46" s="208">
        <f>F46*C46</f>
        <v>14075.999999999998</v>
      </c>
      <c r="H46" s="206">
        <v>24</v>
      </c>
      <c r="I46" s="206">
        <v>8</v>
      </c>
      <c r="J46" s="20">
        <v>20</v>
      </c>
      <c r="K46" s="29">
        <f>IF(N46="Road Rigid &gt; 17t",0.00098,0.00094)</f>
        <v>9.3999999999999997E-4</v>
      </c>
      <c r="L46" s="206">
        <f>J46*M46*K46*(1+O46/100)</f>
        <v>28.763999999999999</v>
      </c>
      <c r="M46" s="206">
        <f>IF($M$45&lt;&gt;0,ROUNDUP(C46/I46,0),ROUNDUP(G46/H46,0))</f>
        <v>765</v>
      </c>
      <c r="N46" s="206" t="s">
        <v>65</v>
      </c>
      <c r="O46" s="206">
        <v>100</v>
      </c>
    </row>
    <row r="47" spans="1:28" x14ac:dyDescent="0.2">
      <c r="A47" s="152"/>
      <c r="B47" s="152" t="s">
        <v>8</v>
      </c>
      <c r="C47" s="153">
        <f>I12</f>
        <v>270</v>
      </c>
      <c r="D47" s="152" t="s">
        <v>11</v>
      </c>
      <c r="E47" s="164"/>
      <c r="F47" s="152" t="s">
        <v>25</v>
      </c>
      <c r="G47" s="13">
        <f>C47</f>
        <v>270</v>
      </c>
      <c r="H47" s="206">
        <v>25</v>
      </c>
      <c r="I47" s="206">
        <f>IF(N47="Road Rigid &gt; 17t",7.5,15)</f>
        <v>15</v>
      </c>
      <c r="J47" s="20">
        <v>300</v>
      </c>
      <c r="K47" s="29">
        <f>IF(N47="Road Rigid &gt; 17t",0.00098,0.00094)</f>
        <v>9.3999999999999997E-4</v>
      </c>
      <c r="L47" s="206">
        <f>J47*M47*K47*(1+O47/100)</f>
        <v>10.151999999999999</v>
      </c>
      <c r="M47" s="206">
        <f>IF($M$45&lt;&gt;0,ROUNDUP(G47/I47,0),ROUNDUP(G47/H47,0))</f>
        <v>18</v>
      </c>
      <c r="N47" s="206" t="s">
        <v>65</v>
      </c>
      <c r="O47" s="206">
        <v>100</v>
      </c>
    </row>
    <row r="48" spans="1:28" x14ac:dyDescent="0.2">
      <c r="A48" s="152"/>
      <c r="B48" s="152"/>
      <c r="C48" s="153"/>
      <c r="D48" s="152"/>
      <c r="E48" s="164"/>
      <c r="F48" s="152"/>
      <c r="G48" s="13"/>
      <c r="K48" s="29"/>
      <c r="N48" s="206"/>
    </row>
    <row r="49" spans="1:16" x14ac:dyDescent="0.2">
      <c r="A49" s="152"/>
      <c r="B49" s="152"/>
      <c r="C49" s="153"/>
      <c r="D49" s="152"/>
      <c r="E49" s="164"/>
      <c r="F49" s="152"/>
      <c r="G49" s="13"/>
      <c r="K49" s="29"/>
      <c r="N49" s="206"/>
    </row>
    <row r="50" spans="1:16" ht="15" thickBot="1" x14ac:dyDescent="0.25">
      <c r="A50" s="152"/>
      <c r="B50" s="152" t="s">
        <v>208</v>
      </c>
      <c r="C50" s="199">
        <f>C164</f>
        <v>16250</v>
      </c>
      <c r="D50" s="152" t="s">
        <v>70</v>
      </c>
      <c r="E50" s="164"/>
      <c r="F50" s="152"/>
      <c r="G50" s="208">
        <f>C50</f>
        <v>16250</v>
      </c>
      <c r="H50" s="206">
        <v>25</v>
      </c>
      <c r="I50" s="206">
        <v>800</v>
      </c>
      <c r="J50" s="20">
        <v>10</v>
      </c>
      <c r="K50" s="29">
        <f>IF(N50="Road Rigid &gt; 17t",0.00098,0.00094)</f>
        <v>9.7999999999999997E-4</v>
      </c>
      <c r="L50" s="206">
        <f>J50*M50*K50*(1+O50/100)</f>
        <v>0.41159999999999997</v>
      </c>
      <c r="M50" s="206">
        <f>IF($M$45&lt;&gt;0,ROUNDUP(G50/I50,0),ROUNDUP(G50/H50,0))</f>
        <v>21</v>
      </c>
      <c r="N50" s="206" t="s">
        <v>61</v>
      </c>
      <c r="O50" s="206">
        <v>100</v>
      </c>
    </row>
    <row r="51" spans="1:16" ht="15" thickBot="1" x14ac:dyDescent="0.25">
      <c r="A51" s="39"/>
      <c r="B51" s="39"/>
      <c r="C51" s="39"/>
      <c r="D51" s="39"/>
      <c r="E51" s="40"/>
      <c r="L51" s="36">
        <f>SUM(L46:L50)</f>
        <v>39.327599999999997</v>
      </c>
      <c r="M51" s="36">
        <f>SUM(M46:M50)</f>
        <v>804</v>
      </c>
      <c r="N51" s="206"/>
    </row>
    <row r="52" spans="1:16" x14ac:dyDescent="0.2">
      <c r="A52" s="39"/>
      <c r="B52" s="39"/>
      <c r="C52" s="39"/>
      <c r="D52" s="39"/>
      <c r="E52" s="40"/>
      <c r="N52" s="206"/>
    </row>
    <row r="53" spans="1:16" hidden="1" x14ac:dyDescent="0.2">
      <c r="A53" s="39"/>
      <c r="B53" s="39"/>
      <c r="C53" s="39"/>
      <c r="D53" s="39"/>
      <c r="E53" s="40"/>
      <c r="N53" s="206"/>
    </row>
    <row r="54" spans="1:16" hidden="1" x14ac:dyDescent="0.2">
      <c r="A54" s="39" t="s">
        <v>91</v>
      </c>
      <c r="B54" s="39" t="s">
        <v>51</v>
      </c>
      <c r="C54" s="39">
        <f>C18</f>
        <v>0</v>
      </c>
      <c r="D54" s="39" t="s">
        <v>10</v>
      </c>
      <c r="E54" s="40" t="s">
        <v>113</v>
      </c>
      <c r="F54" s="39">
        <v>2.2999999999999998</v>
      </c>
      <c r="G54" s="39">
        <f>F54*C54</f>
        <v>0</v>
      </c>
      <c r="H54" s="39">
        <v>24</v>
      </c>
      <c r="I54" s="39">
        <v>8</v>
      </c>
      <c r="J54" s="157">
        <v>20</v>
      </c>
      <c r="K54" s="165">
        <f t="shared" ref="K54:K55" si="9">IF(N54="Road Rigid &gt; 17t",0.00122,0.0012)</f>
        <v>1.1999999999999999E-3</v>
      </c>
      <c r="L54" s="39">
        <f>J54*M54*K54*(1+O54/100)</f>
        <v>0</v>
      </c>
      <c r="M54" s="39">
        <f>IF($M$45&lt;&gt;0,ROUNDUP(C54/I54,0),ROUNDUP(G54/H54,0))</f>
        <v>0</v>
      </c>
      <c r="N54" s="39" t="s">
        <v>65</v>
      </c>
      <c r="O54" s="39">
        <v>100</v>
      </c>
      <c r="P54" s="39"/>
    </row>
    <row r="55" spans="1:16" hidden="1" x14ac:dyDescent="0.2">
      <c r="A55" s="39"/>
      <c r="B55" s="39" t="s">
        <v>67</v>
      </c>
      <c r="C55" s="49">
        <f>I19+I20</f>
        <v>0</v>
      </c>
      <c r="D55" s="39" t="s">
        <v>11</v>
      </c>
      <c r="E55" s="40" t="s">
        <v>114</v>
      </c>
      <c r="F55" s="39" t="s">
        <v>25</v>
      </c>
      <c r="G55" s="49">
        <f>C55</f>
        <v>0</v>
      </c>
      <c r="H55" s="39">
        <v>25</v>
      </c>
      <c r="I55" s="39">
        <f>IF(N55="Road Rigid &gt; 17t",7.5,15)</f>
        <v>15</v>
      </c>
      <c r="J55" s="157">
        <v>300</v>
      </c>
      <c r="K55" s="165">
        <f t="shared" si="9"/>
        <v>1.1999999999999999E-3</v>
      </c>
      <c r="L55" s="39">
        <f>J55*M55*K55*(1+O55/100)</f>
        <v>0</v>
      </c>
      <c r="M55" s="39">
        <f>IF($M$45&lt;&gt;0,ROUNDUP(G55/I55,0),ROUNDUP(G55/H55,0))</f>
        <v>0</v>
      </c>
      <c r="N55" s="39" t="s">
        <v>65</v>
      </c>
      <c r="O55" s="39">
        <v>100</v>
      </c>
      <c r="P55" s="39"/>
    </row>
    <row r="56" spans="1:16" hidden="1" x14ac:dyDescent="0.2">
      <c r="A56" s="39"/>
      <c r="B56" s="39" t="s">
        <v>52</v>
      </c>
      <c r="C56" s="49">
        <f>I21</f>
        <v>0</v>
      </c>
      <c r="D56" s="39" t="s">
        <v>11</v>
      </c>
      <c r="E56" s="40"/>
      <c r="F56" s="39" t="s">
        <v>25</v>
      </c>
      <c r="G56" s="49">
        <f t="shared" ref="G56" si="10">C56</f>
        <v>0</v>
      </c>
      <c r="H56" s="39">
        <v>25</v>
      </c>
      <c r="I56" s="39">
        <f>IF(N56="Road Rigid &gt; 17t",7.5,15)</f>
        <v>15</v>
      </c>
      <c r="J56" s="157">
        <v>20</v>
      </c>
      <c r="K56" s="165">
        <f>IF(N56="Road Rigid &gt; 17t",0.00122,0.0012)</f>
        <v>1.1999999999999999E-3</v>
      </c>
      <c r="L56" s="39">
        <f>J56*M56*K56*(1+O56/100)</f>
        <v>0</v>
      </c>
      <c r="M56" s="39">
        <f>IF($M$45&lt;&gt;0,ROUNDUP(G56/I56,0),ROUNDUP(G56/H56,0))</f>
        <v>0</v>
      </c>
      <c r="N56" s="39" t="s">
        <v>65</v>
      </c>
      <c r="O56" s="39">
        <v>100</v>
      </c>
      <c r="P56" s="39"/>
    </row>
    <row r="57" spans="1:16" ht="15" hidden="1" thickBot="1" x14ac:dyDescent="0.25">
      <c r="A57" s="39"/>
      <c r="B57" s="39"/>
      <c r="C57" s="49"/>
      <c r="D57" s="39"/>
      <c r="E57" s="40"/>
      <c r="F57" s="39"/>
      <c r="G57" s="49"/>
      <c r="H57" s="39"/>
      <c r="I57" s="39"/>
      <c r="J57" s="157"/>
      <c r="K57" s="165"/>
      <c r="L57" s="160">
        <f>SUM(L54:L56)</f>
        <v>0</v>
      </c>
      <c r="M57" s="160">
        <f>SUM(M54:M56)</f>
        <v>0</v>
      </c>
      <c r="N57" s="39"/>
      <c r="O57" s="39"/>
      <c r="P57" s="39"/>
    </row>
    <row r="58" spans="1:16" hidden="1" x14ac:dyDescent="0.2">
      <c r="A58" s="39"/>
      <c r="B58" s="39"/>
      <c r="C58" s="49"/>
      <c r="D58" s="39"/>
      <c r="E58" s="40"/>
      <c r="G58" s="13"/>
      <c r="K58" s="29"/>
      <c r="N58" s="206"/>
    </row>
    <row r="59" spans="1:16" hidden="1" x14ac:dyDescent="0.2">
      <c r="A59" s="39"/>
      <c r="B59" s="39"/>
      <c r="C59" s="39"/>
      <c r="D59" s="39"/>
      <c r="E59" s="40"/>
      <c r="N59" s="206"/>
    </row>
    <row r="60" spans="1:16" hidden="1" x14ac:dyDescent="0.2">
      <c r="A60" s="147" t="s">
        <v>92</v>
      </c>
      <c r="B60" s="147" t="s">
        <v>66</v>
      </c>
      <c r="C60" s="156">
        <f>I25</f>
        <v>811.19500000000005</v>
      </c>
      <c r="D60" s="147" t="s">
        <v>11</v>
      </c>
      <c r="E60" s="147"/>
      <c r="F60" s="147" t="s">
        <v>25</v>
      </c>
      <c r="G60" s="208">
        <f>C60</f>
        <v>811.19500000000005</v>
      </c>
      <c r="H60" s="206">
        <v>25</v>
      </c>
      <c r="I60" s="206">
        <f>IF(N60="Road Rigid &gt; 17t",7.5,15)</f>
        <v>15</v>
      </c>
      <c r="J60" s="20">
        <v>20</v>
      </c>
      <c r="K60" s="29">
        <f>IF(N60="Road Rigid &gt; 17t",0.00122,0.0012)</f>
        <v>1.1999999999999999E-3</v>
      </c>
      <c r="L60" s="206">
        <f t="shared" ref="L60:L65" si="11">J60*M60*K60*(1+O60/100)</f>
        <v>2.6399999999999997</v>
      </c>
      <c r="M60" s="206">
        <f t="shared" ref="M60:M65" si="12">IF($M$45&lt;&gt;0,ROUNDUP(G60/I60,0),ROUNDUP(G60/H60,0))</f>
        <v>55</v>
      </c>
      <c r="N60" s="206" t="s">
        <v>65</v>
      </c>
      <c r="O60" s="206">
        <v>100</v>
      </c>
    </row>
    <row r="61" spans="1:16" hidden="1" x14ac:dyDescent="0.2">
      <c r="A61" s="147"/>
      <c r="B61" s="147" t="s">
        <v>67</v>
      </c>
      <c r="C61" s="147">
        <f>I26</f>
        <v>270</v>
      </c>
      <c r="D61" s="147" t="s">
        <v>11</v>
      </c>
      <c r="E61" s="147"/>
      <c r="F61" s="147" t="s">
        <v>25</v>
      </c>
      <c r="G61" s="206">
        <f>C61</f>
        <v>270</v>
      </c>
      <c r="H61" s="206">
        <v>25</v>
      </c>
      <c r="I61" s="206">
        <f>IF(N61="Road Rigid &gt; 17t",7.5,15)</f>
        <v>15</v>
      </c>
      <c r="J61" s="20">
        <v>300</v>
      </c>
      <c r="K61" s="29">
        <f>IF(N61="Road Rigid &gt; 17t",0.00122,0.0012)</f>
        <v>1.1999999999999999E-3</v>
      </c>
      <c r="L61" s="206">
        <f t="shared" si="11"/>
        <v>12.959999999999999</v>
      </c>
      <c r="M61" s="206">
        <f t="shared" si="12"/>
        <v>18</v>
      </c>
      <c r="N61" s="206" t="s">
        <v>65</v>
      </c>
      <c r="O61" s="206">
        <v>100</v>
      </c>
    </row>
    <row r="62" spans="1:16" hidden="1" x14ac:dyDescent="0.2">
      <c r="A62" s="147"/>
      <c r="B62" s="147" t="s">
        <v>188</v>
      </c>
      <c r="C62" s="147" t="e">
        <f>I27</f>
        <v>#REF!</v>
      </c>
      <c r="D62" s="147" t="s">
        <v>11</v>
      </c>
      <c r="E62" s="149"/>
      <c r="F62" s="147"/>
      <c r="G62" s="13" t="e">
        <f t="shared" ref="G62:G64" si="13">C62</f>
        <v>#REF!</v>
      </c>
      <c r="H62" s="206">
        <v>25</v>
      </c>
      <c r="I62" s="206">
        <f>IF(N62="Road Rigid &gt; 17t",7.5,15)</f>
        <v>15</v>
      </c>
      <c r="J62" s="20">
        <v>300</v>
      </c>
      <c r="K62" s="29">
        <f t="shared" ref="K62:K65" si="14">IF(N62="Road Rigid &gt; 17t",0.00122,0.0012)</f>
        <v>1.1999999999999999E-3</v>
      </c>
      <c r="L62" s="206" t="e">
        <f t="shared" si="11"/>
        <v>#REF!</v>
      </c>
      <c r="M62" s="206" t="e">
        <f t="shared" si="12"/>
        <v>#REF!</v>
      </c>
      <c r="N62" s="206" t="s">
        <v>65</v>
      </c>
      <c r="O62" s="206">
        <v>100</v>
      </c>
    </row>
    <row r="63" spans="1:16" hidden="1" x14ac:dyDescent="0.2">
      <c r="A63" s="147"/>
      <c r="B63" s="147" t="s">
        <v>189</v>
      </c>
      <c r="C63" s="156" t="e">
        <f>I28</f>
        <v>#REF!</v>
      </c>
      <c r="D63" s="147" t="s">
        <v>11</v>
      </c>
      <c r="E63" s="149"/>
      <c r="F63" s="147"/>
      <c r="G63" s="13" t="e">
        <f t="shared" si="13"/>
        <v>#REF!</v>
      </c>
      <c r="H63" s="206">
        <v>25</v>
      </c>
      <c r="I63" s="206">
        <f>IF(N63="Road Rigid &gt; 17t",7.5,15)</f>
        <v>15</v>
      </c>
      <c r="J63" s="20">
        <v>20</v>
      </c>
      <c r="K63" s="29">
        <f t="shared" si="14"/>
        <v>1.1999999999999999E-3</v>
      </c>
      <c r="L63" s="206" t="e">
        <f t="shared" si="11"/>
        <v>#REF!</v>
      </c>
      <c r="M63" s="206" t="e">
        <f t="shared" si="12"/>
        <v>#REF!</v>
      </c>
      <c r="N63" s="206" t="s">
        <v>65</v>
      </c>
      <c r="O63" s="206">
        <v>100</v>
      </c>
    </row>
    <row r="64" spans="1:16" hidden="1" x14ac:dyDescent="0.2">
      <c r="A64" s="147"/>
      <c r="B64" s="147" t="s">
        <v>202</v>
      </c>
      <c r="C64" s="156">
        <f>I29</f>
        <v>28.297500000000003</v>
      </c>
      <c r="D64" s="147" t="s">
        <v>11</v>
      </c>
      <c r="E64" s="149"/>
      <c r="F64" s="147"/>
      <c r="G64" s="13">
        <f t="shared" si="13"/>
        <v>28.297500000000003</v>
      </c>
      <c r="H64" s="206">
        <v>25</v>
      </c>
      <c r="I64" s="206">
        <v>15</v>
      </c>
      <c r="J64" s="20">
        <v>300</v>
      </c>
      <c r="K64" s="29">
        <f t="shared" si="14"/>
        <v>1.1999999999999999E-3</v>
      </c>
      <c r="L64" s="206">
        <f t="shared" si="11"/>
        <v>1.44</v>
      </c>
      <c r="M64" s="206">
        <f t="shared" si="12"/>
        <v>2</v>
      </c>
      <c r="N64" s="206" t="s">
        <v>65</v>
      </c>
      <c r="O64" s="206">
        <v>100</v>
      </c>
    </row>
    <row r="65" spans="1:16" ht="15" hidden="1" thickBot="1" x14ac:dyDescent="0.25">
      <c r="A65" s="147"/>
      <c r="B65" s="147" t="s">
        <v>208</v>
      </c>
      <c r="C65" s="198">
        <f>C176+C177+C178</f>
        <v>14491.75</v>
      </c>
      <c r="D65" s="147" t="s">
        <v>70</v>
      </c>
      <c r="E65" s="149"/>
      <c r="F65" s="147"/>
      <c r="G65" s="208">
        <f>C65</f>
        <v>14491.75</v>
      </c>
      <c r="H65" s="206">
        <v>25</v>
      </c>
      <c r="I65" s="206">
        <v>800</v>
      </c>
      <c r="J65" s="20">
        <v>10</v>
      </c>
      <c r="K65" s="29">
        <f t="shared" si="14"/>
        <v>1.2199999999999999E-3</v>
      </c>
      <c r="L65" s="206">
        <f t="shared" si="11"/>
        <v>0.46359999999999996</v>
      </c>
      <c r="M65" s="206">
        <f t="shared" si="12"/>
        <v>19</v>
      </c>
      <c r="N65" s="206" t="s">
        <v>61</v>
      </c>
      <c r="O65" s="206">
        <v>100</v>
      </c>
    </row>
    <row r="66" spans="1:16" ht="15" hidden="1" thickBot="1" x14ac:dyDescent="0.25">
      <c r="A66" s="39"/>
      <c r="B66" s="39"/>
      <c r="C66" s="39"/>
      <c r="D66" s="39"/>
      <c r="E66" s="39"/>
      <c r="K66" s="29"/>
      <c r="L66" s="36" t="e">
        <f>SUM(L60:L65)</f>
        <v>#REF!</v>
      </c>
      <c r="M66" s="36" t="e">
        <f>SUM(M60:M65)</f>
        <v>#REF!</v>
      </c>
      <c r="N66" s="206"/>
    </row>
    <row r="67" spans="1:16" hidden="1" x14ac:dyDescent="0.2">
      <c r="A67" s="39"/>
      <c r="B67" s="39"/>
      <c r="C67" s="39"/>
      <c r="D67" s="39"/>
      <c r="E67" s="39"/>
      <c r="K67" s="29"/>
      <c r="N67" s="206"/>
    </row>
    <row r="68" spans="1:16" hidden="1" x14ac:dyDescent="0.2">
      <c r="A68" s="39"/>
      <c r="B68" s="39"/>
      <c r="C68" s="39"/>
      <c r="D68" s="39"/>
      <c r="E68" s="39"/>
      <c r="K68" s="29"/>
      <c r="N68" s="206"/>
    </row>
    <row r="69" spans="1:16" hidden="1" x14ac:dyDescent="0.2">
      <c r="A69" s="39" t="s">
        <v>93</v>
      </c>
      <c r="B69" s="39" t="s">
        <v>68</v>
      </c>
      <c r="C69" s="39">
        <f>I33</f>
        <v>0</v>
      </c>
      <c r="D69" s="39" t="s">
        <v>11</v>
      </c>
      <c r="E69" s="39"/>
      <c r="F69" s="39" t="s">
        <v>25</v>
      </c>
      <c r="G69" s="39">
        <f>C69</f>
        <v>0</v>
      </c>
      <c r="H69" s="39">
        <v>25</v>
      </c>
      <c r="I69" s="39">
        <f>IF(N69="Road Rigid &gt; 17t",7.5,15)</f>
        <v>15</v>
      </c>
      <c r="J69" s="157">
        <v>20</v>
      </c>
      <c r="K69" s="165">
        <f>IF(N69="Road Rigid &gt; 17t",0.00122,0.0012)</f>
        <v>1.1999999999999999E-3</v>
      </c>
      <c r="L69" s="39">
        <f>J69*M69*K69*(1+O69/100)</f>
        <v>0</v>
      </c>
      <c r="M69" s="39">
        <f>IF($M$45&lt;&gt;0,ROUNDUP(G69/I69,0),ROUNDUP(G69/H69,0))</f>
        <v>0</v>
      </c>
      <c r="N69" s="39" t="s">
        <v>65</v>
      </c>
      <c r="O69" s="39">
        <v>100</v>
      </c>
      <c r="P69" s="39"/>
    </row>
    <row r="70" spans="1:16" hidden="1" x14ac:dyDescent="0.2">
      <c r="A70" s="39"/>
      <c r="B70" s="39" t="s">
        <v>208</v>
      </c>
      <c r="C70" s="50">
        <v>0</v>
      </c>
      <c r="D70" s="39" t="s">
        <v>70</v>
      </c>
      <c r="E70" s="40"/>
      <c r="F70" s="39"/>
      <c r="G70" s="49">
        <f>C70</f>
        <v>0</v>
      </c>
      <c r="H70" s="39">
        <v>25</v>
      </c>
      <c r="I70" s="39">
        <v>800</v>
      </c>
      <c r="J70" s="157">
        <v>0</v>
      </c>
      <c r="K70" s="165">
        <f t="shared" ref="K70" si="15">IF(N70="Road Rigid &gt; 17t",0.00122,0.0012)</f>
        <v>1.2199999999999999E-3</v>
      </c>
      <c r="L70" s="39">
        <f>J70*M70*K70*(1+O70/100)</f>
        <v>0</v>
      </c>
      <c r="M70" s="39">
        <f>IF($M$45&lt;&gt;0,ROUNDUP(G70/I70,0),ROUNDUP(G70/H70,0))</f>
        <v>0</v>
      </c>
      <c r="N70" s="39" t="s">
        <v>61</v>
      </c>
      <c r="O70" s="39">
        <v>100</v>
      </c>
      <c r="P70" s="39"/>
    </row>
    <row r="71" spans="1:16" ht="15" hidden="1" thickBot="1" x14ac:dyDescent="0.25">
      <c r="A71" s="39"/>
      <c r="B71" s="39"/>
      <c r="C71" s="39"/>
      <c r="D71" s="39"/>
      <c r="E71" s="40"/>
      <c r="F71" s="39"/>
      <c r="G71" s="39"/>
      <c r="H71" s="39"/>
      <c r="I71" s="39"/>
      <c r="J71" s="157"/>
      <c r="K71" s="39"/>
      <c r="L71" s="160">
        <f>SUM(L69:L70)</f>
        <v>0</v>
      </c>
      <c r="M71" s="160">
        <f>SUM(M69:M70)</f>
        <v>0</v>
      </c>
      <c r="N71" s="39"/>
      <c r="O71" s="39"/>
      <c r="P71" s="39"/>
    </row>
    <row r="72" spans="1:16" hidden="1" x14ac:dyDescent="0.2">
      <c r="A72" s="39"/>
      <c r="B72" s="39"/>
      <c r="C72" s="39"/>
      <c r="D72" s="39"/>
      <c r="E72" s="40"/>
      <c r="F72" s="39"/>
      <c r="G72" s="39"/>
      <c r="H72" s="39"/>
      <c r="I72" s="39"/>
      <c r="J72" s="157"/>
      <c r="K72" s="39"/>
      <c r="L72" s="39"/>
      <c r="M72" s="39"/>
      <c r="N72" s="39"/>
      <c r="O72" s="39"/>
      <c r="P72" s="39"/>
    </row>
    <row r="73" spans="1:16" hidden="1" x14ac:dyDescent="0.2">
      <c r="A73" s="39"/>
      <c r="B73" s="39"/>
      <c r="C73" s="39"/>
      <c r="D73" s="39"/>
      <c r="E73" s="40"/>
      <c r="F73" s="39"/>
      <c r="G73" s="39"/>
      <c r="H73" s="39"/>
      <c r="I73" s="39"/>
      <c r="J73" s="157"/>
      <c r="K73" s="39"/>
      <c r="L73" s="39"/>
      <c r="M73" s="39"/>
      <c r="N73" s="39"/>
      <c r="O73" s="39"/>
      <c r="P73" s="39"/>
    </row>
    <row r="74" spans="1:16" hidden="1" x14ac:dyDescent="0.2">
      <c r="A74" s="39" t="s">
        <v>94</v>
      </c>
      <c r="B74" s="39" t="s">
        <v>43</v>
      </c>
      <c r="C74" s="39">
        <f>I37</f>
        <v>0</v>
      </c>
      <c r="D74" s="39" t="s">
        <v>11</v>
      </c>
      <c r="E74" s="39"/>
      <c r="F74" s="39" t="s">
        <v>25</v>
      </c>
      <c r="G74" s="39">
        <f>C74</f>
        <v>0</v>
      </c>
      <c r="H74" s="39">
        <v>31</v>
      </c>
      <c r="I74" s="39">
        <f>IF(N74="Road Rigid &gt; 17t",7.5,15)</f>
        <v>15</v>
      </c>
      <c r="J74" s="157">
        <v>20</v>
      </c>
      <c r="K74" s="165">
        <f>IF(N74="Road Rigid &gt; 17t",0.00122,0.0012)</f>
        <v>1.1999999999999999E-3</v>
      </c>
      <c r="L74" s="39">
        <f>J74*M74*K74*(1+O74/100)</f>
        <v>0</v>
      </c>
      <c r="M74" s="39">
        <f>IF($M$45&lt;&gt;0,ROUNDUP(G74/I74,0),ROUNDUP(G74/H74,0))</f>
        <v>0</v>
      </c>
      <c r="N74" s="39" t="s">
        <v>65</v>
      </c>
      <c r="O74" s="39">
        <v>100</v>
      </c>
      <c r="P74" s="39"/>
    </row>
    <row r="75" spans="1:16" hidden="1" x14ac:dyDescent="0.2">
      <c r="A75" s="39"/>
      <c r="B75" s="39" t="s">
        <v>44</v>
      </c>
      <c r="C75" s="39">
        <f>I38</f>
        <v>0</v>
      </c>
      <c r="D75" s="39" t="s">
        <v>11</v>
      </c>
      <c r="E75" s="39"/>
      <c r="F75" s="39" t="s">
        <v>25</v>
      </c>
      <c r="G75" s="39">
        <f>C75</f>
        <v>0</v>
      </c>
      <c r="H75" s="39">
        <v>32</v>
      </c>
      <c r="I75" s="39">
        <f>IF(N75="Road Rigid &gt; 17t",7.5,15)</f>
        <v>15</v>
      </c>
      <c r="J75" s="157">
        <v>300</v>
      </c>
      <c r="K75" s="165">
        <f>IF(N75="Road Rigid &gt; 17t",0.00122,0.0012)</f>
        <v>1.1999999999999999E-3</v>
      </c>
      <c r="L75" s="39">
        <f>J75*M75*K75*(1+O75/100)</f>
        <v>0</v>
      </c>
      <c r="M75" s="39">
        <f>IF($M$45&lt;&gt;0,ROUNDUP(G75/I75,0),ROUNDUP(G75/H75,0))</f>
        <v>0</v>
      </c>
      <c r="N75" s="39" t="s">
        <v>65</v>
      </c>
      <c r="O75" s="39">
        <v>100</v>
      </c>
      <c r="P75" s="39"/>
    </row>
    <row r="76" spans="1:16" hidden="1" x14ac:dyDescent="0.2">
      <c r="A76" s="39"/>
      <c r="B76" s="39" t="s">
        <v>45</v>
      </c>
      <c r="C76" s="49">
        <f>I39</f>
        <v>0</v>
      </c>
      <c r="D76" s="39" t="s">
        <v>11</v>
      </c>
      <c r="E76" s="39"/>
      <c r="F76" s="39" t="s">
        <v>25</v>
      </c>
      <c r="G76" s="39">
        <f>C76</f>
        <v>0</v>
      </c>
      <c r="H76" s="39">
        <v>33</v>
      </c>
      <c r="I76" s="39">
        <f>IF(N76="Road Rigid &gt; 17t",7.5,15)</f>
        <v>15</v>
      </c>
      <c r="J76" s="157">
        <v>300</v>
      </c>
      <c r="K76" s="165">
        <f>IF(N76="Road Rigid &gt; 17t",0.00122,0.0012)</f>
        <v>1.1999999999999999E-3</v>
      </c>
      <c r="L76" s="39">
        <f>J76*M76*K76*(1+O76/100)</f>
        <v>0</v>
      </c>
      <c r="M76" s="39">
        <f>IF($M$45&lt;&gt;0,ROUNDUP(G76/I76,0),ROUNDUP(G76/H76,0))</f>
        <v>0</v>
      </c>
      <c r="N76" s="39" t="s">
        <v>65</v>
      </c>
      <c r="O76" s="39">
        <v>100</v>
      </c>
      <c r="P76" s="39"/>
    </row>
    <row r="77" spans="1:16" hidden="1" x14ac:dyDescent="0.2">
      <c r="A77" s="39"/>
      <c r="B77" s="39" t="s">
        <v>208</v>
      </c>
      <c r="C77" s="50">
        <v>0</v>
      </c>
      <c r="D77" s="39" t="s">
        <v>70</v>
      </c>
      <c r="E77" s="40"/>
      <c r="F77" s="39"/>
      <c r="G77" s="49">
        <f>C77</f>
        <v>0</v>
      </c>
      <c r="H77" s="39">
        <v>25</v>
      </c>
      <c r="I77" s="39">
        <v>800</v>
      </c>
      <c r="J77" s="157">
        <v>50</v>
      </c>
      <c r="K77" s="165">
        <f t="shared" ref="K77" si="16">IF(N77="Road Rigid &gt; 17t",0.00122,0.0012)</f>
        <v>1.2199999999999999E-3</v>
      </c>
      <c r="L77" s="39">
        <f>J77*M77*K77*(1+O77/100)</f>
        <v>0</v>
      </c>
      <c r="M77" s="39">
        <f>IF($M$45&lt;&gt;0,ROUNDUP(G77/I77,0),ROUNDUP(G77/H77,0))</f>
        <v>0</v>
      </c>
      <c r="N77" s="39" t="s">
        <v>61</v>
      </c>
      <c r="O77" s="39">
        <v>100</v>
      </c>
      <c r="P77" s="39"/>
    </row>
    <row r="78" spans="1:16" ht="15" hidden="1" thickBot="1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157"/>
      <c r="K78" s="165"/>
      <c r="L78" s="160">
        <f>SUM(L74:L77)</f>
        <v>0</v>
      </c>
      <c r="M78" s="160">
        <f>SUM(M74:M77)</f>
        <v>0</v>
      </c>
      <c r="N78" s="39"/>
      <c r="O78" s="39"/>
      <c r="P78" s="39"/>
    </row>
    <row r="79" spans="1:16" hidden="1" x14ac:dyDescent="0.2">
      <c r="A79" s="39"/>
      <c r="B79" s="39"/>
      <c r="C79" s="39"/>
      <c r="D79" s="39"/>
      <c r="E79" s="39"/>
      <c r="K79" s="29"/>
      <c r="N79" s="206"/>
    </row>
    <row r="80" spans="1:16" hidden="1" x14ac:dyDescent="0.2">
      <c r="B80" s="39" t="s">
        <v>139</v>
      </c>
      <c r="C80" s="39">
        <v>0</v>
      </c>
      <c r="D80" s="39" t="s">
        <v>10</v>
      </c>
      <c r="E80" s="39" t="s">
        <v>138</v>
      </c>
      <c r="F80" s="39" t="s">
        <v>125</v>
      </c>
      <c r="G80" s="39">
        <v>0</v>
      </c>
      <c r="H80" s="39"/>
      <c r="I80" s="39">
        <v>15</v>
      </c>
      <c r="J80" s="157">
        <v>20</v>
      </c>
      <c r="K80" s="29">
        <f>IF(N80="Road Rigid &gt; 17t",0.00122,0.0012)</f>
        <v>1.2199999999999999E-3</v>
      </c>
      <c r="L80" s="206">
        <f>J80*M80*K80*(1+O80/100)</f>
        <v>0</v>
      </c>
      <c r="M80" s="206">
        <f>IF($M$45&lt;&gt;0,ROUNDUP(G80/I80,0),ROUNDUP(G80/H80,0))</f>
        <v>0</v>
      </c>
      <c r="N80" s="206" t="s">
        <v>61</v>
      </c>
      <c r="O80" s="206">
        <v>100</v>
      </c>
    </row>
    <row r="81" spans="1:27" hidden="1" x14ac:dyDescent="0.2">
      <c r="B81" s="39"/>
      <c r="C81" s="39"/>
      <c r="D81" s="39"/>
      <c r="E81" s="39"/>
      <c r="F81" s="39" t="s">
        <v>141</v>
      </c>
      <c r="G81" s="39">
        <v>0</v>
      </c>
      <c r="H81" s="39"/>
      <c r="I81" s="39">
        <v>15</v>
      </c>
      <c r="J81" s="157">
        <v>300</v>
      </c>
      <c r="K81" s="29">
        <f t="shared" ref="K81:K83" si="17">IF(N81="Road Rigid &gt; 17t",0.00122,0.0012)</f>
        <v>1.2199999999999999E-3</v>
      </c>
      <c r="L81" s="206">
        <f>J81*M81*K81*(1+O81/100)</f>
        <v>0</v>
      </c>
      <c r="M81" s="206">
        <f>IF($M$45&lt;&gt;0,ROUNDUP(G81/I81,0),ROUNDUP(G81/H81,0))</f>
        <v>0</v>
      </c>
      <c r="N81" s="206" t="s">
        <v>61</v>
      </c>
      <c r="O81" s="206">
        <v>100</v>
      </c>
    </row>
    <row r="82" spans="1:27" hidden="1" x14ac:dyDescent="0.2">
      <c r="B82" s="39"/>
      <c r="C82" s="39"/>
      <c r="D82" s="39"/>
      <c r="E82" s="39"/>
      <c r="F82" s="39" t="s">
        <v>127</v>
      </c>
      <c r="G82" s="39">
        <v>0</v>
      </c>
      <c r="H82" s="39"/>
      <c r="I82" s="39">
        <v>15</v>
      </c>
      <c r="J82" s="157">
        <v>20</v>
      </c>
      <c r="K82" s="29">
        <f t="shared" si="17"/>
        <v>1.1999999999999999E-3</v>
      </c>
      <c r="L82" s="206">
        <f>J82*M82*K82*(1+O82/100)</f>
        <v>0</v>
      </c>
      <c r="M82" s="206">
        <f>IF($M$45&lt;&gt;0,ROUNDUP(G82/I82,0),ROUNDUP(G82/H82,0))</f>
        <v>0</v>
      </c>
      <c r="N82" s="206" t="s">
        <v>65</v>
      </c>
      <c r="O82" s="206">
        <v>100</v>
      </c>
    </row>
    <row r="83" spans="1:27" hidden="1" x14ac:dyDescent="0.2">
      <c r="B83" s="39"/>
      <c r="C83" s="39"/>
      <c r="D83" s="39"/>
      <c r="E83" s="39"/>
      <c r="F83" s="39" t="s">
        <v>142</v>
      </c>
      <c r="G83" s="39">
        <v>0</v>
      </c>
      <c r="H83" s="39"/>
      <c r="I83" s="39">
        <v>1</v>
      </c>
      <c r="J83" s="157">
        <v>0</v>
      </c>
      <c r="K83" s="29">
        <f t="shared" si="17"/>
        <v>1.1999999999999999E-3</v>
      </c>
      <c r="L83" s="206">
        <f>J83*M83*K83*(1+O83/100)</f>
        <v>0</v>
      </c>
      <c r="M83" s="206">
        <f>IF($M$45&lt;&gt;0,ROUNDUP(G83/I83,0),ROUNDUP(G83/H83,0))</f>
        <v>0</v>
      </c>
      <c r="N83" s="206" t="s">
        <v>65</v>
      </c>
      <c r="O83" s="206">
        <v>100</v>
      </c>
    </row>
    <row r="84" spans="1:27" ht="15" hidden="1" thickBot="1" x14ac:dyDescent="0.25">
      <c r="B84" s="39"/>
      <c r="C84" s="39"/>
      <c r="D84" s="39"/>
      <c r="E84" s="39"/>
      <c r="K84" s="29"/>
      <c r="L84" s="36">
        <f>SUM(L80:L83)</f>
        <v>0</v>
      </c>
      <c r="M84" s="36">
        <f>SUM(M80:M82)</f>
        <v>0</v>
      </c>
      <c r="N84" s="206"/>
    </row>
    <row r="85" spans="1:27" x14ac:dyDescent="0.2">
      <c r="B85" s="39"/>
      <c r="C85" s="39"/>
      <c r="D85" s="39"/>
      <c r="E85" s="39"/>
      <c r="K85" s="29"/>
      <c r="N85" s="206"/>
    </row>
    <row r="86" spans="1:27" x14ac:dyDescent="0.2">
      <c r="A86" s="39"/>
      <c r="B86" s="147" t="s">
        <v>140</v>
      </c>
      <c r="C86" s="156">
        <f>C46</f>
        <v>6120</v>
      </c>
      <c r="D86" s="147" t="s">
        <v>10</v>
      </c>
      <c r="E86" s="147" t="s">
        <v>138</v>
      </c>
      <c r="F86" s="206" t="s">
        <v>125</v>
      </c>
      <c r="G86" s="222">
        <f>(AF4*$C$86)/1000</f>
        <v>1958.4</v>
      </c>
      <c r="I86" s="206">
        <v>15</v>
      </c>
      <c r="J86" s="20">
        <v>20</v>
      </c>
      <c r="K86" s="29">
        <f>IF(N86="Road Rigid &gt; 17t",0.00098,0.00094)</f>
        <v>9.7999999999999997E-4</v>
      </c>
      <c r="L86" s="206">
        <f>J86*M86*K86*(1+O86/100)</f>
        <v>5.1352000000000002</v>
      </c>
      <c r="M86" s="206">
        <f>IF($M$45&lt;&gt;0,ROUNDUP(G86/I86,0),ROUNDUP(G86/H86,0))</f>
        <v>131</v>
      </c>
      <c r="N86" s="206" t="s">
        <v>61</v>
      </c>
      <c r="O86" s="206">
        <v>100</v>
      </c>
    </row>
    <row r="87" spans="1:27" x14ac:dyDescent="0.2">
      <c r="A87" s="39"/>
      <c r="B87" s="147"/>
      <c r="C87" s="147"/>
      <c r="D87" s="147"/>
      <c r="E87" s="147"/>
      <c r="F87" s="206" t="s">
        <v>141</v>
      </c>
      <c r="G87" s="222">
        <f>(AF5*$C$86)/1000</f>
        <v>489.6</v>
      </c>
      <c r="I87" s="206">
        <v>15</v>
      </c>
      <c r="J87" s="20">
        <v>300</v>
      </c>
      <c r="K87" s="29">
        <f>IF(N87="Road Rigid &gt; 17t",0.00098,0.00094)</f>
        <v>9.7999999999999997E-4</v>
      </c>
      <c r="L87" s="206">
        <f>J87*M87*K87*(1+O87/100)</f>
        <v>19.404</v>
      </c>
      <c r="M87" s="206">
        <f>IF($M$45&lt;&gt;0,ROUNDUP(G87/I87,0),ROUNDUP(G87/H87,0))</f>
        <v>33</v>
      </c>
      <c r="N87" s="206" t="s">
        <v>61</v>
      </c>
      <c r="O87" s="206">
        <v>100</v>
      </c>
    </row>
    <row r="88" spans="1:27" x14ac:dyDescent="0.2">
      <c r="A88" s="39"/>
      <c r="B88" s="147"/>
      <c r="C88" s="147"/>
      <c r="D88" s="147"/>
      <c r="E88" s="147"/>
      <c r="F88" s="206" t="s">
        <v>127</v>
      </c>
      <c r="G88" s="222">
        <f>(AF6*$C$86)/1000</f>
        <v>5293.8</v>
      </c>
      <c r="I88" s="206">
        <v>15</v>
      </c>
      <c r="J88" s="20">
        <v>20</v>
      </c>
      <c r="K88" s="29">
        <f>IF(N88="Road Rigid &gt; 17t",0.00098,0.00094)</f>
        <v>9.3999999999999997E-4</v>
      </c>
      <c r="L88" s="206">
        <f>J88*M88*K88*(1+O88/100)</f>
        <v>13.2728</v>
      </c>
      <c r="M88" s="206">
        <f>IF($M$45&lt;&gt;0,ROUNDUP(G88/I88,0),ROUNDUP(G88/H88,0))</f>
        <v>353</v>
      </c>
      <c r="N88" s="206" t="s">
        <v>65</v>
      </c>
      <c r="O88" s="206">
        <v>100</v>
      </c>
    </row>
    <row r="89" spans="1:27" ht="15" thickBot="1" x14ac:dyDescent="0.25">
      <c r="A89" s="39"/>
      <c r="B89" s="147"/>
      <c r="C89" s="147"/>
      <c r="D89" s="147"/>
      <c r="E89" s="147"/>
      <c r="F89" s="206" t="s">
        <v>142</v>
      </c>
      <c r="G89" s="222">
        <f>(AF8*$C$86)/1000</f>
        <v>1224</v>
      </c>
      <c r="I89" s="206">
        <v>1</v>
      </c>
      <c r="J89" s="20">
        <v>0</v>
      </c>
      <c r="K89" s="29">
        <v>4.8999999999999998E-4</v>
      </c>
      <c r="L89" s="17">
        <f>J89*M89*K89*(1+O89/100)</f>
        <v>0</v>
      </c>
      <c r="M89" s="206">
        <f>IF($M$45&lt;&gt;0,ROUNDUP(G89/I89,0),ROUNDUP(G89/H89,0))</f>
        <v>1224</v>
      </c>
      <c r="N89" s="206" t="s">
        <v>360</v>
      </c>
      <c r="O89" s="206">
        <v>100</v>
      </c>
    </row>
    <row r="90" spans="1:27" ht="15" thickBot="1" x14ac:dyDescent="0.25">
      <c r="A90" s="39"/>
      <c r="B90" s="39"/>
      <c r="C90" s="39"/>
      <c r="D90" s="39"/>
      <c r="E90" s="39"/>
      <c r="K90" s="29"/>
      <c r="L90" s="36">
        <f>SUM(L86:L89)</f>
        <v>37.811999999999998</v>
      </c>
      <c r="M90" s="36">
        <f>SUM(M86:M88)</f>
        <v>517</v>
      </c>
      <c r="N90" s="206"/>
    </row>
    <row r="91" spans="1:27" x14ac:dyDescent="0.2">
      <c r="A91" s="39"/>
      <c r="B91" s="39"/>
      <c r="C91" s="39"/>
      <c r="D91" s="39"/>
      <c r="E91" s="39"/>
      <c r="K91" s="29"/>
      <c r="L91" s="210"/>
      <c r="N91" s="206"/>
    </row>
    <row r="92" spans="1:27" hidden="1" x14ac:dyDescent="0.2">
      <c r="A92" s="39"/>
      <c r="B92" s="39" t="s">
        <v>16</v>
      </c>
      <c r="C92" s="39">
        <v>9500</v>
      </c>
      <c r="D92" s="39" t="s">
        <v>10</v>
      </c>
      <c r="E92" s="39" t="s">
        <v>138</v>
      </c>
      <c r="F92" s="39" t="s">
        <v>125</v>
      </c>
      <c r="G92" s="39">
        <v>0</v>
      </c>
      <c r="H92" s="39"/>
      <c r="I92" s="39">
        <v>15</v>
      </c>
      <c r="J92" s="157">
        <v>20</v>
      </c>
      <c r="K92" s="29">
        <f>IF(N92="Road Rigid &gt; 17t",0.00122,0.0012)</f>
        <v>1.2199999999999999E-3</v>
      </c>
      <c r="L92" s="206">
        <f>J92*M92*K92*(1+O92/100)</f>
        <v>0</v>
      </c>
      <c r="M92" s="206">
        <f>IF($M$45&lt;&gt;0,ROUNDUP(G92/I92,0),ROUNDUP(G92/H92,0))</f>
        <v>0</v>
      </c>
      <c r="N92" s="206" t="s">
        <v>61</v>
      </c>
      <c r="O92" s="206">
        <v>100</v>
      </c>
    </row>
    <row r="93" spans="1:27" hidden="1" x14ac:dyDescent="0.2">
      <c r="A93" s="39"/>
      <c r="B93" s="39"/>
      <c r="C93" s="39"/>
      <c r="D93" s="39"/>
      <c r="E93" s="39"/>
      <c r="F93" s="39" t="s">
        <v>141</v>
      </c>
      <c r="G93" s="39">
        <v>0</v>
      </c>
      <c r="H93" s="39"/>
      <c r="I93" s="39">
        <v>15</v>
      </c>
      <c r="J93" s="157">
        <v>300</v>
      </c>
      <c r="K93" s="29">
        <f t="shared" ref="K93:K95" si="18">IF(N93="Road Rigid &gt; 17t",0.00122,0.0012)</f>
        <v>1.2199999999999999E-3</v>
      </c>
      <c r="L93" s="206">
        <f>J93*M93*K93*(1+O93/100)</f>
        <v>0</v>
      </c>
      <c r="M93" s="206">
        <f>IF($M$45&lt;&gt;0,ROUNDUP(G93/I93,0),ROUNDUP(G93/H93,0))</f>
        <v>0</v>
      </c>
      <c r="N93" s="206" t="s">
        <v>61</v>
      </c>
      <c r="O93" s="206">
        <v>100</v>
      </c>
    </row>
    <row r="94" spans="1:27" hidden="1" x14ac:dyDescent="0.2">
      <c r="A94" s="39"/>
      <c r="B94" s="39"/>
      <c r="C94" s="39"/>
      <c r="D94" s="39"/>
      <c r="E94" s="39"/>
      <c r="F94" s="39" t="s">
        <v>127</v>
      </c>
      <c r="G94" s="39">
        <v>0</v>
      </c>
      <c r="H94" s="39"/>
      <c r="I94" s="39">
        <v>15</v>
      </c>
      <c r="J94" s="157">
        <v>20</v>
      </c>
      <c r="K94" s="29">
        <f t="shared" si="18"/>
        <v>1.1999999999999999E-3</v>
      </c>
      <c r="L94" s="206">
        <f>J94*M94*K94*(1+O94/100)</f>
        <v>0</v>
      </c>
      <c r="M94" s="206">
        <f>IF($M$45&lt;&gt;0,ROUNDUP(G94/I94,0),ROUNDUP(G94/H94,0))</f>
        <v>0</v>
      </c>
      <c r="N94" s="206" t="s">
        <v>65</v>
      </c>
      <c r="O94" s="206">
        <v>100</v>
      </c>
    </row>
    <row r="95" spans="1:27" hidden="1" x14ac:dyDescent="0.2">
      <c r="A95" s="39"/>
      <c r="B95" s="39"/>
      <c r="C95" s="39"/>
      <c r="D95" s="39"/>
      <c r="E95" s="39"/>
      <c r="F95" s="39" t="s">
        <v>142</v>
      </c>
      <c r="G95" s="39">
        <v>0</v>
      </c>
      <c r="H95" s="39"/>
      <c r="I95" s="39">
        <v>1</v>
      </c>
      <c r="J95" s="157">
        <v>0</v>
      </c>
      <c r="K95" s="29">
        <f t="shared" si="18"/>
        <v>1.1999999999999999E-3</v>
      </c>
      <c r="L95" s="206">
        <f>J95*M95*K95*(1+O95/100)</f>
        <v>0</v>
      </c>
      <c r="M95" s="206">
        <f>IF($M$45&lt;&gt;0,ROUNDUP(G95/I95,0),ROUNDUP(G95/H95,0))</f>
        <v>0</v>
      </c>
      <c r="N95" s="206" t="s">
        <v>65</v>
      </c>
      <c r="O95" s="206">
        <v>100</v>
      </c>
      <c r="W95" s="206">
        <f>0.29781*4952+3477</f>
        <v>4951.7551199999998</v>
      </c>
      <c r="X95" s="208">
        <f>SUM(X99:X105)</f>
        <v>1286.2986306666664</v>
      </c>
      <c r="Y95" s="208" t="e">
        <f>SUM(Y99:Y105)</f>
        <v>#REF!</v>
      </c>
      <c r="Z95" s="208" t="e">
        <f>X95-Y95</f>
        <v>#REF!</v>
      </c>
      <c r="AA95" s="206" t="e">
        <f>1-(Y95/X95)</f>
        <v>#REF!</v>
      </c>
    </row>
    <row r="96" spans="1:27" ht="15" hidden="1" thickBot="1" x14ac:dyDescent="0.25">
      <c r="A96" s="39"/>
      <c r="B96" s="39"/>
      <c r="C96" s="39"/>
      <c r="D96" s="39"/>
      <c r="E96" s="40"/>
      <c r="K96" s="29"/>
      <c r="L96" s="36">
        <f>SUM(L92:L95)</f>
        <v>0</v>
      </c>
      <c r="M96" s="36">
        <f>SUM(M92:M94)</f>
        <v>0</v>
      </c>
      <c r="N96" s="206"/>
    </row>
    <row r="97" spans="1:31" ht="18.75" customHeight="1" thickBot="1" x14ac:dyDescent="0.25">
      <c r="A97" s="39"/>
      <c r="B97" s="41"/>
      <c r="C97" s="41"/>
      <c r="D97" s="41"/>
      <c r="E97" s="41"/>
      <c r="F97" s="349" t="s">
        <v>110</v>
      </c>
      <c r="G97" s="349"/>
      <c r="H97" s="349"/>
      <c r="I97" s="349"/>
      <c r="J97" s="350"/>
      <c r="K97" s="213" t="s">
        <v>40</v>
      </c>
      <c r="L97" s="213"/>
      <c r="M97" s="213"/>
      <c r="N97" s="213"/>
      <c r="W97" s="344"/>
      <c r="X97" s="345"/>
      <c r="Y97" s="211"/>
    </row>
    <row r="98" spans="1:31" ht="34.5" customHeight="1" thickBot="1" x14ac:dyDescent="0.25">
      <c r="A98" s="166" t="s">
        <v>33</v>
      </c>
      <c r="B98" s="167"/>
      <c r="C98" s="346" t="s">
        <v>54</v>
      </c>
      <c r="D98" s="347"/>
      <c r="E98" s="167" t="s">
        <v>19</v>
      </c>
      <c r="F98" s="22" t="s">
        <v>56</v>
      </c>
      <c r="G98" s="24" t="s">
        <v>57</v>
      </c>
      <c r="H98" s="24" t="s">
        <v>58</v>
      </c>
      <c r="I98" s="2" t="s">
        <v>74</v>
      </c>
      <c r="J98" s="28" t="s">
        <v>73</v>
      </c>
      <c r="K98" s="215" t="s">
        <v>2</v>
      </c>
      <c r="L98" s="2" t="s">
        <v>3</v>
      </c>
      <c r="M98" s="27" t="s">
        <v>72</v>
      </c>
      <c r="N98" s="10" t="s">
        <v>5</v>
      </c>
      <c r="O98" s="2" t="s">
        <v>64</v>
      </c>
      <c r="P98" s="228"/>
      <c r="R98" s="206" t="s">
        <v>236</v>
      </c>
      <c r="S98" s="206" t="s">
        <v>237</v>
      </c>
      <c r="T98" s="206" t="s">
        <v>238</v>
      </c>
      <c r="U98" s="206" t="s">
        <v>178</v>
      </c>
      <c r="V98" s="211"/>
      <c r="W98" s="104" t="s">
        <v>218</v>
      </c>
      <c r="X98" s="108" t="s">
        <v>219</v>
      </c>
      <c r="Y98" s="116" t="s">
        <v>235</v>
      </c>
      <c r="Z98" s="112" t="s">
        <v>222</v>
      </c>
      <c r="AB98" s="12" t="s">
        <v>182</v>
      </c>
      <c r="AC98" s="12" t="s">
        <v>181</v>
      </c>
    </row>
    <row r="99" spans="1:31" ht="16.5" thickBot="1" x14ac:dyDescent="0.25">
      <c r="A99" s="168"/>
      <c r="B99" s="169"/>
      <c r="C99" s="170"/>
      <c r="D99" s="171"/>
      <c r="E99" s="172"/>
      <c r="F99" s="6" t="s">
        <v>23</v>
      </c>
      <c r="G99" s="23" t="s">
        <v>7</v>
      </c>
      <c r="H99" s="6" t="s">
        <v>59</v>
      </c>
      <c r="I99" s="6" t="s">
        <v>59</v>
      </c>
      <c r="J99" s="19" t="s">
        <v>60</v>
      </c>
      <c r="K99" s="18" t="s">
        <v>62</v>
      </c>
      <c r="L99" s="6" t="s">
        <v>7</v>
      </c>
      <c r="M99" s="21" t="s">
        <v>77</v>
      </c>
      <c r="N99" s="8"/>
      <c r="O99" s="182" t="s">
        <v>63</v>
      </c>
      <c r="P99" s="229"/>
      <c r="R99" s="206" t="s">
        <v>151</v>
      </c>
      <c r="S99" s="208">
        <f>M51+M57+M84+M90+M96</f>
        <v>1321</v>
      </c>
      <c r="T99" s="208">
        <f>M103</f>
        <v>600</v>
      </c>
      <c r="V99" s="211"/>
      <c r="W99" s="105" t="s">
        <v>211</v>
      </c>
      <c r="X99" s="109">
        <f>B251</f>
        <v>1098.0268639999999</v>
      </c>
      <c r="Y99" s="109" t="e">
        <f>B252</f>
        <v>#REF!</v>
      </c>
      <c r="Z99" s="113" t="e">
        <f>1-(Y99/X99)</f>
        <v>#REF!</v>
      </c>
      <c r="AA99" s="208">
        <f>B253</f>
        <v>0</v>
      </c>
      <c r="AB99" s="66" t="e">
        <f t="shared" ref="AB99:AB105" si="19">1-(Z99/X99)</f>
        <v>#REF!</v>
      </c>
      <c r="AC99" s="66" t="e">
        <f t="shared" ref="AC99:AC105" si="20">1-(Z99/Y99)</f>
        <v>#REF!</v>
      </c>
    </row>
    <row r="100" spans="1:31" x14ac:dyDescent="0.2">
      <c r="A100" s="147" t="s">
        <v>90</v>
      </c>
      <c r="B100" s="39" t="s">
        <v>53</v>
      </c>
      <c r="C100" s="39">
        <v>0</v>
      </c>
      <c r="D100" s="39" t="s">
        <v>11</v>
      </c>
      <c r="E100" s="40"/>
      <c r="F100" s="206" t="s">
        <v>25</v>
      </c>
      <c r="G100" s="208">
        <f>C100</f>
        <v>0</v>
      </c>
      <c r="H100" s="206">
        <v>24</v>
      </c>
      <c r="I100" s="206">
        <f>IF(N100="Road Rigid &gt; 17t",7.5,15)</f>
        <v>15</v>
      </c>
      <c r="J100" s="20">
        <v>20</v>
      </c>
      <c r="K100" s="29">
        <f>IF(N100="Road Rigid &gt; 17t",0.00098,0.00094)</f>
        <v>9.3999999999999997E-4</v>
      </c>
      <c r="L100" s="206">
        <f>J100*M100*K100*(1+O100/100)</f>
        <v>0</v>
      </c>
      <c r="M100" s="206">
        <f>IF($M$45&lt;&gt;0,ROUNDUP(G100/I100,0),ROUNDUP(G100/H100,0))</f>
        <v>0</v>
      </c>
      <c r="N100" s="206" t="s">
        <v>65</v>
      </c>
      <c r="O100" s="206">
        <v>100</v>
      </c>
      <c r="R100" s="206" t="s">
        <v>152</v>
      </c>
      <c r="S100" s="208" t="e">
        <f>M66+M71</f>
        <v>#REF!</v>
      </c>
      <c r="T100" s="208" t="e">
        <f>M108+M112</f>
        <v>#REF!</v>
      </c>
      <c r="V100" s="211"/>
      <c r="W100" s="106" t="s">
        <v>214</v>
      </c>
      <c r="X100" s="110">
        <f>C251</f>
        <v>58.262500000000003</v>
      </c>
      <c r="Y100" s="110">
        <f>C252</f>
        <v>53.247320000000002</v>
      </c>
      <c r="Z100" s="114">
        <f t="shared" ref="Z100:Z105" si="21">1-(Y100/X100)</f>
        <v>8.6079038832868493E-2</v>
      </c>
      <c r="AA100" s="208">
        <f>C253</f>
        <v>0</v>
      </c>
      <c r="AB100" s="66" t="e">
        <f>1-(Z101/X101)</f>
        <v>#REF!</v>
      </c>
      <c r="AC100" s="67" t="e">
        <f>1-(Z101/Y101)</f>
        <v>#REF!</v>
      </c>
      <c r="AE100" s="206" t="s">
        <v>183</v>
      </c>
    </row>
    <row r="101" spans="1:31" x14ac:dyDescent="0.2">
      <c r="A101" s="39"/>
      <c r="B101" s="39" t="s">
        <v>55</v>
      </c>
      <c r="C101" s="39">
        <v>0</v>
      </c>
      <c r="D101" s="39" t="s">
        <v>11</v>
      </c>
      <c r="E101" s="40"/>
      <c r="F101" s="206" t="s">
        <v>25</v>
      </c>
      <c r="G101" s="208">
        <f>C101</f>
        <v>0</v>
      </c>
      <c r="H101" s="206">
        <v>24</v>
      </c>
      <c r="I101" s="206">
        <f>IF(N101="Road Rigid &gt; 17t",7.5,15)</f>
        <v>15</v>
      </c>
      <c r="J101" s="20">
        <v>20</v>
      </c>
      <c r="K101" s="29">
        <f>IF(N101="Road Rigid &gt; 17t",0.00098,0.00094)</f>
        <v>9.3999999999999997E-4</v>
      </c>
      <c r="L101" s="206">
        <f>J101*M101*K101*(1+O101/100)</f>
        <v>0</v>
      </c>
      <c r="M101" s="206">
        <f>IF($M$45&lt;&gt;0,ROUNDUP(G101/I101,0),ROUNDUP(G101/H101,0))</f>
        <v>0</v>
      </c>
      <c r="N101" s="206" t="s">
        <v>65</v>
      </c>
      <c r="O101" s="206">
        <v>100</v>
      </c>
      <c r="R101" s="206" t="s">
        <v>153</v>
      </c>
      <c r="S101" s="208" t="e">
        <f>M66+M78</f>
        <v>#REF!</v>
      </c>
      <c r="T101" s="208" t="e">
        <f>M108+M116</f>
        <v>#REF!</v>
      </c>
      <c r="V101" s="211"/>
      <c r="W101" s="106" t="s">
        <v>212</v>
      </c>
      <c r="X101" s="110">
        <f>E251</f>
        <v>77.139600000000002</v>
      </c>
      <c r="Y101" s="110" t="e">
        <f>E252</f>
        <v>#REF!</v>
      </c>
      <c r="Z101" s="114" t="e">
        <f t="shared" si="21"/>
        <v>#REF!</v>
      </c>
      <c r="AA101" s="208">
        <f>E253</f>
        <v>0</v>
      </c>
      <c r="AB101" s="66">
        <f>1-(Z100/X100)</f>
        <v>0.99852256530645156</v>
      </c>
      <c r="AC101" s="66">
        <f>1-(Z100/Y100)</f>
        <v>0.99838341086776072</v>
      </c>
    </row>
    <row r="102" spans="1:31" ht="15" thickBot="1" x14ac:dyDescent="0.25">
      <c r="A102" s="39"/>
      <c r="B102" s="147" t="s">
        <v>242</v>
      </c>
      <c r="C102" s="156">
        <f>'Pfahl - Pfahlwand'!B14</f>
        <v>9000</v>
      </c>
      <c r="D102" s="147" t="s">
        <v>11</v>
      </c>
      <c r="E102" s="39"/>
      <c r="G102" s="208">
        <f>C102</f>
        <v>9000</v>
      </c>
      <c r="H102" s="206">
        <v>24</v>
      </c>
      <c r="I102" s="206">
        <f>IF(N102="Road Rigid &gt; 17t",7.5,15)</f>
        <v>15</v>
      </c>
      <c r="J102" s="20">
        <v>20</v>
      </c>
      <c r="K102" s="29">
        <f>IF(N102="Road Rigid &gt; 17t",0.00098,0.00094)</f>
        <v>9.3999999999999997E-4</v>
      </c>
      <c r="L102" s="13">
        <f>J102*M102*K102*(1+O102/100)</f>
        <v>22.56</v>
      </c>
      <c r="M102" s="206">
        <f>IF($M$45&lt;&gt;0,ROUNDUP(G102/I102,0),ROUNDUP(G102/H102,0))</f>
        <v>600</v>
      </c>
      <c r="N102" s="206" t="s">
        <v>65</v>
      </c>
      <c r="O102" s="206">
        <v>100</v>
      </c>
      <c r="V102" s="211"/>
      <c r="W102" s="106" t="s">
        <v>220</v>
      </c>
      <c r="X102" s="110">
        <f>F251</f>
        <v>7.4300000000000006</v>
      </c>
      <c r="Y102" s="110">
        <f>F252</f>
        <v>4.2160000000000002</v>
      </c>
      <c r="Z102" s="114">
        <f t="shared" si="21"/>
        <v>0.43257065948855988</v>
      </c>
      <c r="AA102" s="208">
        <f>F253</f>
        <v>0</v>
      </c>
      <c r="AB102" s="66">
        <f>1-(Z104/X104)</f>
        <v>0.98323842217552415</v>
      </c>
      <c r="AC102" s="67">
        <f>1-(Z104/Y104)</f>
        <v>0.97428022429879413</v>
      </c>
      <c r="AE102" s="206" t="s">
        <v>184</v>
      </c>
    </row>
    <row r="103" spans="1:31" ht="15" thickBot="1" x14ac:dyDescent="0.25">
      <c r="A103" s="39"/>
      <c r="B103" s="39"/>
      <c r="C103" s="50"/>
      <c r="D103" s="39"/>
      <c r="E103" s="40"/>
      <c r="L103" s="36">
        <f>SUM(L100:L102)</f>
        <v>22.56</v>
      </c>
      <c r="M103" s="36">
        <f>SUM(M100:M102)</f>
        <v>600</v>
      </c>
      <c r="N103" s="206"/>
      <c r="V103" s="211"/>
      <c r="W103" s="106" t="s">
        <v>217</v>
      </c>
      <c r="X103" s="110">
        <f>G251</f>
        <v>2.1</v>
      </c>
      <c r="Y103" s="110">
        <f>G252</f>
        <v>1.5091999999999999</v>
      </c>
      <c r="Z103" s="114">
        <f t="shared" si="21"/>
        <v>0.28133333333333344</v>
      </c>
      <c r="AA103" s="208">
        <f>G253</f>
        <v>0</v>
      </c>
      <c r="AB103" s="66">
        <f>1-(Z102/X102)</f>
        <v>0.94178053035147247</v>
      </c>
      <c r="AC103" s="66">
        <f>1-(Z102/Y102)</f>
        <v>0.89739785116495263</v>
      </c>
    </row>
    <row r="104" spans="1:31" x14ac:dyDescent="0.2">
      <c r="A104" s="39"/>
      <c r="B104" s="39"/>
      <c r="C104" s="50"/>
      <c r="D104" s="39"/>
      <c r="E104" s="40"/>
      <c r="N104" s="206"/>
      <c r="R104" s="206" t="s">
        <v>92</v>
      </c>
      <c r="S104" s="208" t="e">
        <f>M66</f>
        <v>#REF!</v>
      </c>
      <c r="T104" s="208" t="e">
        <f>M108</f>
        <v>#REF!</v>
      </c>
      <c r="V104" s="211"/>
      <c r="W104" s="106" t="s">
        <v>213</v>
      </c>
      <c r="X104" s="110">
        <f>H251</f>
        <v>20.779666666666664</v>
      </c>
      <c r="Y104" s="110">
        <f>H252</f>
        <v>13.542108766666667</v>
      </c>
      <c r="Z104" s="114">
        <f t="shared" si="21"/>
        <v>0.34829999999999994</v>
      </c>
      <c r="AA104" s="208">
        <f>H253</f>
        <v>0</v>
      </c>
      <c r="AB104" s="66">
        <f>1-(Z103/X103)</f>
        <v>0.86603174603174593</v>
      </c>
      <c r="AC104" s="67">
        <f>1-(Z103/Y103)</f>
        <v>0.81358777277144623</v>
      </c>
      <c r="AE104" s="206" t="s">
        <v>184</v>
      </c>
    </row>
    <row r="105" spans="1:31" ht="15" hidden="1" thickBot="1" x14ac:dyDescent="0.25">
      <c r="A105" s="147" t="s">
        <v>92</v>
      </c>
      <c r="B105" s="147" t="s">
        <v>243</v>
      </c>
      <c r="C105" s="156" t="e">
        <f>'MIP550-Verbauwand'!B3*('MIP550-Verbauwand'!#REF!/100)*('MIP550-Verbauwand'!B21/100)*2.2</f>
        <v>#REF!</v>
      </c>
      <c r="D105" s="147" t="s">
        <v>11</v>
      </c>
      <c r="E105" s="39"/>
      <c r="F105" s="206" t="s">
        <v>25</v>
      </c>
      <c r="G105" s="208" t="e">
        <f t="shared" ref="G105:G106" si="22">C105</f>
        <v>#REF!</v>
      </c>
      <c r="H105" s="206">
        <v>24</v>
      </c>
      <c r="I105" s="206">
        <f>IF(N105="Road Rigid &gt; 17t",7.5,15)</f>
        <v>15</v>
      </c>
      <c r="J105" s="20">
        <v>20</v>
      </c>
      <c r="K105" s="29">
        <f t="shared" ref="K105:K107" si="23">IF(N105="Road Rigid &gt; 17t",0.00122,0.0012)</f>
        <v>1.1999999999999999E-3</v>
      </c>
      <c r="L105" s="13" t="e">
        <f>J105*M105*K105*(1+O105/100)</f>
        <v>#REF!</v>
      </c>
      <c r="M105" s="206" t="e">
        <f>IF($M$45&lt;&gt;0,ROUNDUP(G105/I105,0),ROUNDUP(G105/H105,0))</f>
        <v>#REF!</v>
      </c>
      <c r="N105" s="206" t="s">
        <v>65</v>
      </c>
      <c r="O105" s="206">
        <v>100</v>
      </c>
      <c r="R105" s="206" t="s">
        <v>93</v>
      </c>
      <c r="S105" s="208">
        <f>M71</f>
        <v>0</v>
      </c>
      <c r="T105" s="208">
        <f>M112</f>
        <v>0</v>
      </c>
      <c r="V105" s="211"/>
      <c r="W105" s="107" t="s">
        <v>210</v>
      </c>
      <c r="X105" s="111">
        <f>I251</f>
        <v>22.56</v>
      </c>
      <c r="Y105" s="111" t="e">
        <f>I252</f>
        <v>#REF!</v>
      </c>
      <c r="Z105" s="115" t="e">
        <f t="shared" si="21"/>
        <v>#REF!</v>
      </c>
      <c r="AA105" s="208">
        <f>I253</f>
        <v>0</v>
      </c>
      <c r="AB105" s="66" t="e">
        <f t="shared" si="19"/>
        <v>#REF!</v>
      </c>
      <c r="AC105" s="66" t="e">
        <f t="shared" si="20"/>
        <v>#REF!</v>
      </c>
    </row>
    <row r="106" spans="1:31" ht="16.5" hidden="1" x14ac:dyDescent="0.2">
      <c r="A106" s="39"/>
      <c r="B106" s="39" t="s">
        <v>55</v>
      </c>
      <c r="C106" s="39">
        <v>0</v>
      </c>
      <c r="D106" s="39" t="s">
        <v>11</v>
      </c>
      <c r="E106" s="39"/>
      <c r="F106" s="206" t="s">
        <v>25</v>
      </c>
      <c r="G106" s="206">
        <f t="shared" si="22"/>
        <v>0</v>
      </c>
      <c r="H106" s="206">
        <v>24</v>
      </c>
      <c r="I106" s="206">
        <f>IF(N106="Road Rigid &gt; 17t",7.5,15)</f>
        <v>15</v>
      </c>
      <c r="J106" s="20">
        <v>20</v>
      </c>
      <c r="K106" s="29">
        <f t="shared" si="23"/>
        <v>1.1999999999999999E-3</v>
      </c>
      <c r="L106" s="206">
        <f>J106*M106*K106*(1+O106/100)</f>
        <v>0</v>
      </c>
      <c r="M106" s="206">
        <f>IF($M$45&lt;&gt;0,ROUNDUP(G106/I106,0),ROUNDUP(G106/H106,0))</f>
        <v>0</v>
      </c>
      <c r="N106" s="206" t="s">
        <v>65</v>
      </c>
      <c r="O106" s="206">
        <v>100</v>
      </c>
      <c r="R106" s="206" t="s">
        <v>94</v>
      </c>
      <c r="S106" s="208">
        <f>M78</f>
        <v>0</v>
      </c>
      <c r="T106" s="206">
        <f>0</f>
        <v>0</v>
      </c>
      <c r="W106" s="100" t="s">
        <v>187</v>
      </c>
      <c r="X106" s="101" t="s">
        <v>223</v>
      </c>
      <c r="Y106" s="101" t="s">
        <v>227</v>
      </c>
      <c r="Z106" s="102"/>
      <c r="AB106" s="66" t="e">
        <f>1-(Y106/X106)</f>
        <v>#VALUE!</v>
      </c>
      <c r="AC106" s="66" t="e">
        <f>1-(SUM(Z99:Z105)/SUM(Y99:Y105))</f>
        <v>#REF!</v>
      </c>
    </row>
    <row r="107" spans="1:31" ht="15.75" hidden="1" thickBot="1" x14ac:dyDescent="0.25">
      <c r="A107" s="39"/>
      <c r="B107" s="147" t="s">
        <v>206</v>
      </c>
      <c r="C107" s="147">
        <v>0</v>
      </c>
      <c r="D107" s="147" t="s">
        <v>11</v>
      </c>
      <c r="E107" s="147" t="s">
        <v>207</v>
      </c>
      <c r="F107" s="147"/>
      <c r="G107" s="147">
        <f>C107*2</f>
        <v>0</v>
      </c>
      <c r="H107" s="147">
        <v>24</v>
      </c>
      <c r="I107" s="147">
        <f>IF(N107="Road Rigid &gt; 17t",7.5,15)</f>
        <v>15</v>
      </c>
      <c r="J107" s="155">
        <v>50</v>
      </c>
      <c r="K107" s="29">
        <f t="shared" si="23"/>
        <v>1.1999999999999999E-3</v>
      </c>
      <c r="L107" s="206">
        <f>J107*M107*K107*(1+O107/100)</f>
        <v>0</v>
      </c>
      <c r="M107" s="206">
        <f>IF($M$45&lt;&gt;0,ROUNDUP(G107/I107,0),ROUNDUP(G107/H107,0))</f>
        <v>0</v>
      </c>
      <c r="N107" s="206" t="s">
        <v>65</v>
      </c>
      <c r="O107" s="206">
        <v>100</v>
      </c>
      <c r="W107" s="100"/>
      <c r="X107" s="101"/>
      <c r="Y107" s="101"/>
      <c r="Z107" s="102"/>
      <c r="AB107" s="66"/>
      <c r="AC107" s="66"/>
    </row>
    <row r="108" spans="1:31" ht="17.25" hidden="1" thickBot="1" x14ac:dyDescent="0.35">
      <c r="A108" s="39"/>
      <c r="B108" s="39"/>
      <c r="C108" s="39"/>
      <c r="D108" s="39"/>
      <c r="E108" s="40"/>
      <c r="L108" s="36" t="e">
        <f>SUM(L105:L107)</f>
        <v>#REF!</v>
      </c>
      <c r="M108" s="36" t="e">
        <f>SUM(M105:M106)</f>
        <v>#REF!</v>
      </c>
      <c r="N108" s="206"/>
      <c r="W108" s="117" t="s">
        <v>221</v>
      </c>
      <c r="X108" s="348" t="s">
        <v>234</v>
      </c>
      <c r="Y108" s="348"/>
      <c r="Z108" s="118">
        <v>0.27</v>
      </c>
    </row>
    <row r="109" spans="1:31" x14ac:dyDescent="0.2">
      <c r="A109" s="39"/>
      <c r="B109" s="39"/>
      <c r="C109" s="39"/>
      <c r="D109" s="39"/>
      <c r="E109" s="40"/>
      <c r="N109" s="206"/>
      <c r="AC109" s="66" t="e">
        <f>1-(Y106/#REF!)</f>
        <v>#VALUE!</v>
      </c>
    </row>
    <row r="110" spans="1:31" ht="15" hidden="1" customHeight="1" x14ac:dyDescent="0.2">
      <c r="A110" s="39"/>
      <c r="B110" s="39"/>
      <c r="C110" s="39"/>
      <c r="D110" s="39"/>
      <c r="E110" s="40"/>
      <c r="L110" s="17"/>
      <c r="N110" s="206"/>
    </row>
    <row r="111" spans="1:31" hidden="1" x14ac:dyDescent="0.2">
      <c r="A111" s="39" t="s">
        <v>93</v>
      </c>
      <c r="B111" s="39" t="s">
        <v>69</v>
      </c>
      <c r="C111" s="39">
        <v>0</v>
      </c>
      <c r="D111" s="39" t="s">
        <v>11</v>
      </c>
      <c r="E111" s="39"/>
      <c r="F111" s="39" t="s">
        <v>25</v>
      </c>
      <c r="G111" s="39">
        <f>C111</f>
        <v>0</v>
      </c>
      <c r="H111" s="39">
        <v>24</v>
      </c>
      <c r="I111" s="39">
        <f>IF(N111="Road Rigid &gt; 17t",7.5,15)</f>
        <v>15</v>
      </c>
      <c r="J111" s="157">
        <v>20</v>
      </c>
      <c r="K111" s="165">
        <f>IF(N111="Road Rigid &gt; 17t",0.00122,0.0012)</f>
        <v>1.1999999999999999E-3</v>
      </c>
      <c r="L111" s="39">
        <f>J111*M111*K111*(1+O111/100)</f>
        <v>0</v>
      </c>
      <c r="M111" s="39">
        <f>IF($M$45&lt;&gt;0,ROUNDUP(G111/I111,0),ROUNDUP(G111/H111,0))</f>
        <v>0</v>
      </c>
      <c r="N111" s="39" t="s">
        <v>65</v>
      </c>
      <c r="O111" s="39">
        <v>100</v>
      </c>
      <c r="P111" s="39"/>
      <c r="Q111" s="39"/>
    </row>
    <row r="112" spans="1:31" ht="15" hidden="1" thickBot="1" x14ac:dyDescent="0.25">
      <c r="A112" s="39"/>
      <c r="B112" s="39"/>
      <c r="C112" s="39"/>
      <c r="D112" s="39"/>
      <c r="E112" s="40"/>
      <c r="F112" s="39"/>
      <c r="G112" s="39"/>
      <c r="H112" s="39"/>
      <c r="I112" s="39"/>
      <c r="J112" s="157"/>
      <c r="K112" s="39"/>
      <c r="L112" s="160">
        <f>SUM(L111)</f>
        <v>0</v>
      </c>
      <c r="M112" s="160">
        <f>SUM(M111)</f>
        <v>0</v>
      </c>
      <c r="N112" s="39"/>
      <c r="O112" s="39"/>
      <c r="P112" s="39"/>
      <c r="Q112" s="39"/>
    </row>
    <row r="113" spans="1:51" ht="15" hidden="1" thickBot="1" x14ac:dyDescent="0.25">
      <c r="A113" s="39"/>
      <c r="B113" s="39"/>
      <c r="C113" s="39"/>
      <c r="D113" s="39"/>
      <c r="E113" s="39"/>
      <c r="F113" s="39"/>
      <c r="G113" s="39"/>
      <c r="H113" s="39"/>
      <c r="I113" s="39"/>
      <c r="J113" s="157"/>
      <c r="K113" s="165"/>
      <c r="L113" s="39"/>
      <c r="M113" s="39"/>
      <c r="N113" s="39"/>
      <c r="O113" s="39"/>
      <c r="P113" s="39"/>
      <c r="Q113" s="39"/>
      <c r="W113" s="212"/>
      <c r="X113" s="212"/>
      <c r="Y113" s="212"/>
      <c r="Z113" s="212"/>
    </row>
    <row r="114" spans="1:51" ht="133.5" hidden="1" thickBot="1" x14ac:dyDescent="0.25">
      <c r="A114" s="39"/>
      <c r="B114" s="39"/>
      <c r="C114" s="39"/>
      <c r="D114" s="39"/>
      <c r="E114" s="40"/>
      <c r="F114" s="39"/>
      <c r="G114" s="39"/>
      <c r="H114" s="39"/>
      <c r="I114" s="39"/>
      <c r="J114" s="157"/>
      <c r="K114" s="39"/>
      <c r="L114" s="158"/>
      <c r="M114" s="39"/>
      <c r="N114" s="39"/>
      <c r="O114" s="39"/>
      <c r="P114" s="39"/>
      <c r="Q114" s="39"/>
      <c r="V114" s="122"/>
      <c r="W114" s="104" t="s">
        <v>218</v>
      </c>
      <c r="X114" s="108" t="s">
        <v>219</v>
      </c>
      <c r="Y114" s="123" t="s">
        <v>230</v>
      </c>
      <c r="Z114" s="124" t="s">
        <v>231</v>
      </c>
    </row>
    <row r="115" spans="1:51" ht="15" hidden="1" customHeight="1" thickBot="1" x14ac:dyDescent="0.25">
      <c r="A115" s="39" t="s">
        <v>94</v>
      </c>
      <c r="B115" s="39" t="s">
        <v>25</v>
      </c>
      <c r="C115" s="39" t="s">
        <v>25</v>
      </c>
      <c r="D115" s="39" t="s">
        <v>25</v>
      </c>
      <c r="E115" s="39" t="s">
        <v>25</v>
      </c>
      <c r="F115" s="39" t="s">
        <v>25</v>
      </c>
      <c r="G115" s="39" t="s">
        <v>25</v>
      </c>
      <c r="H115" s="39" t="s">
        <v>25</v>
      </c>
      <c r="I115" s="39" t="s">
        <v>25</v>
      </c>
      <c r="J115" s="157" t="s">
        <v>25</v>
      </c>
      <c r="K115" s="39" t="s">
        <v>25</v>
      </c>
      <c r="L115" s="39" t="s">
        <v>25</v>
      </c>
      <c r="M115" s="39" t="s">
        <v>25</v>
      </c>
      <c r="N115" s="39" t="s">
        <v>25</v>
      </c>
      <c r="O115" s="39" t="s">
        <v>25</v>
      </c>
      <c r="P115" s="39"/>
      <c r="Q115" s="39"/>
      <c r="V115" s="122"/>
      <c r="W115" s="130" t="s">
        <v>211</v>
      </c>
      <c r="X115" s="119">
        <v>4952.2054160000007</v>
      </c>
      <c r="Y115" s="125" t="e">
        <f t="shared" ref="Y115:Y121" si="24">1-Y99/X99</f>
        <v>#REF!</v>
      </c>
      <c r="Z115" s="126">
        <f>1-AA99/X99</f>
        <v>1</v>
      </c>
    </row>
    <row r="116" spans="1:51" ht="15" hidden="1" customHeight="1" thickBot="1" x14ac:dyDescent="0.25">
      <c r="A116" s="39"/>
      <c r="B116" s="39"/>
      <c r="C116" s="39"/>
      <c r="D116" s="39"/>
      <c r="E116" s="39"/>
      <c r="F116" s="39"/>
      <c r="G116" s="39"/>
      <c r="H116" s="39"/>
      <c r="I116" s="39"/>
      <c r="J116" s="157"/>
      <c r="K116" s="39"/>
      <c r="L116" s="160">
        <f>SUM(L115)</f>
        <v>0</v>
      </c>
      <c r="M116" s="39">
        <v>0</v>
      </c>
      <c r="N116" s="39"/>
      <c r="O116" s="39"/>
      <c r="P116" s="39"/>
      <c r="Q116" s="39"/>
      <c r="V116" s="122"/>
      <c r="W116" s="106" t="s">
        <v>214</v>
      </c>
      <c r="X116" s="110">
        <v>282.07732620000002</v>
      </c>
      <c r="Y116" s="125">
        <f t="shared" si="24"/>
        <v>8.6079038832868493E-2</v>
      </c>
      <c r="Z116" s="126">
        <f t="shared" ref="Z116:Z121" si="25">1-AA100/X100</f>
        <v>1</v>
      </c>
    </row>
    <row r="117" spans="1:51" ht="15" customHeight="1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157"/>
      <c r="K117" s="39"/>
      <c r="L117" s="39"/>
      <c r="M117" s="39"/>
      <c r="N117" s="39"/>
      <c r="O117" s="39"/>
      <c r="P117" s="39"/>
      <c r="Q117" s="39"/>
      <c r="V117" s="122"/>
      <c r="W117" s="106" t="s">
        <v>212</v>
      </c>
      <c r="X117" s="110">
        <v>327.0136</v>
      </c>
      <c r="Y117" s="125" t="e">
        <f t="shared" si="24"/>
        <v>#REF!</v>
      </c>
      <c r="Z117" s="126">
        <f t="shared" si="25"/>
        <v>1</v>
      </c>
    </row>
    <row r="118" spans="1:51" ht="15" customHeight="1" x14ac:dyDescent="0.2">
      <c r="A118" s="39"/>
      <c r="B118" s="39"/>
      <c r="C118" s="39"/>
      <c r="D118" s="39"/>
      <c r="E118" s="39"/>
      <c r="N118" s="206"/>
      <c r="V118" s="122"/>
      <c r="W118" s="106" t="s">
        <v>215</v>
      </c>
      <c r="X118" s="110">
        <v>42.5</v>
      </c>
      <c r="Y118" s="125">
        <f t="shared" si="24"/>
        <v>0.43257065948855988</v>
      </c>
      <c r="Z118" s="126">
        <f t="shared" si="25"/>
        <v>1</v>
      </c>
    </row>
    <row r="119" spans="1:51" ht="15" customHeight="1" thickBot="1" x14ac:dyDescent="0.25">
      <c r="A119" s="39"/>
      <c r="B119" s="41"/>
      <c r="C119" s="41"/>
      <c r="D119" s="41"/>
      <c r="E119" s="41"/>
      <c r="F119" s="349" t="s">
        <v>78</v>
      </c>
      <c r="G119" s="349"/>
      <c r="H119" s="349"/>
      <c r="I119" s="349"/>
      <c r="J119" s="350"/>
      <c r="N119" s="206"/>
      <c r="V119" s="122"/>
      <c r="W119" s="106" t="s">
        <v>217</v>
      </c>
      <c r="X119" s="110">
        <v>5.6320000000000006</v>
      </c>
      <c r="Y119" s="125">
        <f t="shared" si="24"/>
        <v>0.28133333333333344</v>
      </c>
      <c r="Z119" s="126">
        <f t="shared" si="25"/>
        <v>1</v>
      </c>
    </row>
    <row r="120" spans="1:51" ht="15" customHeight="1" x14ac:dyDescent="0.2">
      <c r="A120" s="166" t="s">
        <v>33</v>
      </c>
      <c r="B120" s="167"/>
      <c r="C120" s="346" t="s">
        <v>82</v>
      </c>
      <c r="D120" s="347"/>
      <c r="E120" s="167"/>
      <c r="F120" s="22" t="s">
        <v>103</v>
      </c>
      <c r="G120" s="24" t="s">
        <v>102</v>
      </c>
      <c r="H120" s="24" t="s">
        <v>105</v>
      </c>
      <c r="I120" s="215" t="s">
        <v>2</v>
      </c>
      <c r="J120" s="2" t="s">
        <v>3</v>
      </c>
      <c r="N120" s="206"/>
      <c r="Q120" s="61" t="s">
        <v>144</v>
      </c>
      <c r="R120" s="61" t="s">
        <v>146</v>
      </c>
      <c r="S120" s="61" t="s">
        <v>145</v>
      </c>
      <c r="T120" s="61" t="s">
        <v>154</v>
      </c>
      <c r="U120" s="61" t="s">
        <v>147</v>
      </c>
      <c r="V120" s="122"/>
      <c r="W120" s="106" t="s">
        <v>213</v>
      </c>
      <c r="X120" s="110">
        <v>45.913284666666669</v>
      </c>
      <c r="Y120" s="125">
        <f t="shared" si="24"/>
        <v>0.34829999999999994</v>
      </c>
      <c r="Z120" s="126">
        <f t="shared" si="25"/>
        <v>1</v>
      </c>
    </row>
    <row r="121" spans="1:51" ht="15" customHeight="1" thickBot="1" x14ac:dyDescent="0.25">
      <c r="A121" s="168"/>
      <c r="B121" s="169"/>
      <c r="C121" s="170"/>
      <c r="D121" s="171"/>
      <c r="E121" s="172"/>
      <c r="F121" s="6" t="s">
        <v>107</v>
      </c>
      <c r="G121" s="23" t="s">
        <v>104</v>
      </c>
      <c r="H121" s="6" t="s">
        <v>106</v>
      </c>
      <c r="I121" s="18" t="s">
        <v>34</v>
      </c>
      <c r="J121" s="6" t="s">
        <v>7</v>
      </c>
      <c r="N121" s="206"/>
      <c r="Q121" s="61" t="s">
        <v>157</v>
      </c>
      <c r="R121" s="61" t="s">
        <v>149</v>
      </c>
      <c r="S121" s="61" t="s">
        <v>148</v>
      </c>
      <c r="T121" s="61" t="s">
        <v>155</v>
      </c>
      <c r="U121" s="61" t="s">
        <v>150</v>
      </c>
      <c r="V121" s="122"/>
      <c r="W121" s="131" t="s">
        <v>210</v>
      </c>
      <c r="X121" s="120">
        <v>547.87199999999996</v>
      </c>
      <c r="Y121" s="128" t="e">
        <f t="shared" si="24"/>
        <v>#REF!</v>
      </c>
      <c r="Z121" s="129">
        <f t="shared" si="25"/>
        <v>1</v>
      </c>
    </row>
    <row r="122" spans="1:51" s="230" customFormat="1" ht="15" customHeight="1" x14ac:dyDescent="0.2">
      <c r="A122" s="244"/>
      <c r="B122" s="244"/>
      <c r="C122" s="244"/>
      <c r="D122" s="244"/>
      <c r="E122" s="245"/>
      <c r="F122" s="246"/>
      <c r="G122" s="228"/>
      <c r="H122" s="246"/>
      <c r="I122" s="246"/>
      <c r="J122" s="246"/>
      <c r="Q122" s="228"/>
      <c r="R122" s="228"/>
      <c r="S122" s="228"/>
      <c r="T122" s="228"/>
      <c r="U122" s="228"/>
      <c r="V122" s="232"/>
      <c r="W122" s="174"/>
      <c r="X122" s="175"/>
      <c r="Y122" s="247"/>
      <c r="Z122" s="247"/>
      <c r="AY122" s="307"/>
    </row>
    <row r="123" spans="1:51" s="230" customFormat="1" ht="15" customHeight="1" x14ac:dyDescent="0.2">
      <c r="A123" s="244"/>
      <c r="B123" s="244"/>
      <c r="C123" s="244"/>
      <c r="D123" s="244"/>
      <c r="E123" s="245"/>
      <c r="F123" s="246"/>
      <c r="G123" s="228"/>
      <c r="H123" s="246"/>
      <c r="I123" s="246"/>
      <c r="J123" s="246"/>
      <c r="Q123" s="228"/>
      <c r="R123" s="228"/>
      <c r="S123" s="228"/>
      <c r="T123" s="228"/>
      <c r="U123" s="228"/>
      <c r="V123" s="232"/>
      <c r="W123" s="174"/>
      <c r="X123" s="175"/>
      <c r="Y123" s="247"/>
      <c r="Z123" s="247"/>
      <c r="AY123" s="307"/>
    </row>
    <row r="124" spans="1:51" ht="15" customHeight="1" x14ac:dyDescent="0.2">
      <c r="A124" s="147" t="s">
        <v>90</v>
      </c>
      <c r="B124" s="147" t="s">
        <v>264</v>
      </c>
      <c r="C124" s="147">
        <v>200</v>
      </c>
      <c r="D124" s="147" t="s">
        <v>11</v>
      </c>
      <c r="E124" s="147" t="s">
        <v>263</v>
      </c>
      <c r="F124" s="187">
        <f>'Pfahl - Pfahlwand'!B3/'Pfahl - Pfahlwand'!B5</f>
        <v>25</v>
      </c>
      <c r="G124" s="206">
        <v>10</v>
      </c>
      <c r="H124" s="206">
        <v>150</v>
      </c>
      <c r="I124" s="206">
        <v>3.6669999999999998</v>
      </c>
      <c r="J124" s="13">
        <f>C124*(F124/H124)/G124*I124</f>
        <v>12.223333333333331</v>
      </c>
      <c r="N124" s="206"/>
      <c r="Q124" s="206" t="s">
        <v>151</v>
      </c>
      <c r="R124" s="206">
        <f>4952+282+98+43+20+0.5*(315+548)</f>
        <v>5826.5</v>
      </c>
      <c r="S124" s="206">
        <f>4952+282+98+43+20+1*(315+548)</f>
        <v>6258</v>
      </c>
      <c r="T124" s="206">
        <f>4952+282+98+43+20+1.5*(315+548)</f>
        <v>6689.5</v>
      </c>
      <c r="U124" s="206">
        <f>4952+282+98+43+20+2*(315+548)</f>
        <v>7121</v>
      </c>
      <c r="W124" s="100" t="s">
        <v>187</v>
      </c>
      <c r="X124" s="101" t="s">
        <v>223</v>
      </c>
      <c r="Y124" s="103">
        <v>0.27</v>
      </c>
      <c r="Z124" s="103">
        <v>0.42</v>
      </c>
    </row>
    <row r="125" spans="1:51" ht="15" customHeight="1" x14ac:dyDescent="0.2">
      <c r="A125" s="147"/>
      <c r="B125" s="147" t="s">
        <v>108</v>
      </c>
      <c r="C125" s="147">
        <v>30</v>
      </c>
      <c r="D125" s="147" t="s">
        <v>11</v>
      </c>
      <c r="E125" s="147" t="s">
        <v>121</v>
      </c>
      <c r="F125" s="187">
        <f>F124</f>
        <v>25</v>
      </c>
      <c r="G125" s="206">
        <v>10</v>
      </c>
      <c r="H125" s="206">
        <v>150</v>
      </c>
      <c r="I125" s="206">
        <v>3.6669999999999998</v>
      </c>
      <c r="J125" s="13">
        <f>C125*(F125/H125)/G125*I125</f>
        <v>1.8334999999999999</v>
      </c>
      <c r="N125" s="206"/>
      <c r="Q125" s="206" t="s">
        <v>152</v>
      </c>
      <c r="R125" s="206">
        <f>3450+359+56+36+15+0.5*(35+501)</f>
        <v>4184</v>
      </c>
      <c r="S125" s="206">
        <f>3450+359+56+36+15+1*(35+501)</f>
        <v>4452</v>
      </c>
      <c r="T125" s="206">
        <f>3450+359+56+36+15+1.5*(35+501)</f>
        <v>4720</v>
      </c>
      <c r="U125" s="206">
        <f>3450+359+56+36+15+2*(35+501)</f>
        <v>4988</v>
      </c>
      <c r="W125" s="102"/>
      <c r="X125" s="102"/>
      <c r="Y125" s="39"/>
      <c r="Z125" s="39"/>
    </row>
    <row r="126" spans="1:51" ht="15" customHeight="1" x14ac:dyDescent="0.3">
      <c r="A126" s="147"/>
      <c r="B126" s="147" t="s">
        <v>118</v>
      </c>
      <c r="C126" s="147">
        <v>20</v>
      </c>
      <c r="D126" s="147" t="s">
        <v>117</v>
      </c>
      <c r="E126" s="147"/>
      <c r="F126" s="187">
        <f>F124</f>
        <v>25</v>
      </c>
      <c r="G126" s="206">
        <v>10</v>
      </c>
      <c r="H126" s="206">
        <v>150</v>
      </c>
      <c r="I126" s="206">
        <v>3.6669999999999998</v>
      </c>
      <c r="J126" s="13">
        <f>C126*(F126/H126)/G126*I126</f>
        <v>1.2223333333333333</v>
      </c>
      <c r="N126" s="206"/>
      <c r="Q126" s="206" t="s">
        <v>153</v>
      </c>
      <c r="R126" s="206">
        <f>2618+319+78+35+20+0.5*(55+430)</f>
        <v>3312.5</v>
      </c>
      <c r="S126" s="206">
        <f>2618+319+78+35+20+1*(55+430)</f>
        <v>3555</v>
      </c>
      <c r="T126" s="206">
        <f>2618+319+78+35+20+1.5*(55+430)</f>
        <v>3797.5</v>
      </c>
      <c r="U126" s="206">
        <f t="shared" ref="U126" si="26">2618+319+78+35+20+0.5*(55+430)</f>
        <v>3312.5</v>
      </c>
      <c r="W126" s="117" t="s">
        <v>221</v>
      </c>
      <c r="X126" s="99"/>
      <c r="Y126" s="127" t="s">
        <v>224</v>
      </c>
      <c r="Z126" s="127" t="s">
        <v>225</v>
      </c>
    </row>
    <row r="127" spans="1:51" ht="15" customHeight="1" x14ac:dyDescent="0.25">
      <c r="A127" s="147"/>
      <c r="B127" s="147" t="s">
        <v>158</v>
      </c>
      <c r="C127" s="147">
        <v>10</v>
      </c>
      <c r="D127" s="147" t="s">
        <v>11</v>
      </c>
      <c r="E127" s="147"/>
      <c r="F127" s="187">
        <f>F124</f>
        <v>25</v>
      </c>
      <c r="G127" s="206">
        <v>10</v>
      </c>
      <c r="H127" s="206">
        <v>150</v>
      </c>
      <c r="I127" s="206">
        <v>3.6669999999999998</v>
      </c>
      <c r="J127" s="13">
        <f t="shared" ref="J127" si="27">C127*(F127/H127)/G127*I127</f>
        <v>0.61116666666666664</v>
      </c>
      <c r="N127" s="206"/>
      <c r="W127" s="117"/>
      <c r="X127" s="99"/>
      <c r="Y127" s="127"/>
      <c r="Z127" s="127"/>
    </row>
    <row r="128" spans="1:51" ht="15" customHeight="1" x14ac:dyDescent="0.25">
      <c r="A128" s="147"/>
      <c r="B128" s="147" t="s">
        <v>81</v>
      </c>
      <c r="C128" s="147">
        <v>20</v>
      </c>
      <c r="D128" s="147" t="s">
        <v>11</v>
      </c>
      <c r="E128" s="147"/>
      <c r="F128" s="187">
        <f>F124</f>
        <v>25</v>
      </c>
      <c r="G128" s="206">
        <v>10</v>
      </c>
      <c r="H128" s="206">
        <v>150</v>
      </c>
      <c r="I128" s="206">
        <v>3.6669999999999998</v>
      </c>
      <c r="J128" s="13">
        <f>C128*(F128/H128)/G128*I128</f>
        <v>1.2223333333333333</v>
      </c>
      <c r="N128" s="206"/>
      <c r="W128" s="117"/>
      <c r="X128" s="99"/>
      <c r="Y128" s="127"/>
      <c r="Z128" s="127"/>
    </row>
    <row r="129" spans="1:26" x14ac:dyDescent="0.2">
      <c r="A129" s="147"/>
      <c r="B129" s="147" t="s">
        <v>159</v>
      </c>
      <c r="C129" s="147">
        <v>60</v>
      </c>
      <c r="D129" s="147" t="s">
        <v>11</v>
      </c>
      <c r="E129" s="147"/>
      <c r="F129" s="187">
        <f>F124</f>
        <v>25</v>
      </c>
      <c r="G129" s="206">
        <v>10</v>
      </c>
      <c r="H129" s="206">
        <v>150</v>
      </c>
      <c r="I129" s="206">
        <v>3.6669999999999998</v>
      </c>
      <c r="J129" s="13">
        <f>C129*(F129/H129)/G129*I129</f>
        <v>3.6669999999999998</v>
      </c>
      <c r="N129" s="206"/>
    </row>
    <row r="130" spans="1:26" ht="15" thickBot="1" x14ac:dyDescent="0.25">
      <c r="A130" s="147"/>
      <c r="B130" s="147"/>
      <c r="C130" s="147"/>
      <c r="D130" s="147"/>
      <c r="E130" s="147"/>
      <c r="F130" s="187">
        <f>F124</f>
        <v>25</v>
      </c>
      <c r="G130" s="147">
        <v>10</v>
      </c>
      <c r="H130" s="147">
        <v>150</v>
      </c>
      <c r="I130" s="147">
        <v>3.6669999999999998</v>
      </c>
      <c r="J130" s="154">
        <f>C130*(F130/H130)/G130*I130</f>
        <v>0</v>
      </c>
      <c r="N130" s="206"/>
    </row>
    <row r="131" spans="1:26" ht="15" thickBot="1" x14ac:dyDescent="0.25">
      <c r="A131" s="39"/>
      <c r="B131" s="39"/>
      <c r="C131" s="39"/>
      <c r="D131" s="39"/>
      <c r="E131" s="39"/>
      <c r="F131" s="208"/>
      <c r="J131" s="36">
        <f>SUM(J124:J130)</f>
        <v>20.779666666666664</v>
      </c>
      <c r="N131" s="206"/>
    </row>
    <row r="132" spans="1:26" x14ac:dyDescent="0.2">
      <c r="A132" s="39"/>
      <c r="B132" s="39"/>
      <c r="C132" s="39"/>
      <c r="D132" s="39"/>
      <c r="E132" s="39"/>
      <c r="F132" s="208"/>
      <c r="J132" s="206"/>
      <c r="N132" s="206"/>
    </row>
    <row r="133" spans="1:26" ht="14.25" hidden="1" customHeight="1" thickBot="1" x14ac:dyDescent="0.25">
      <c r="A133" s="39" t="s">
        <v>91</v>
      </c>
      <c r="B133" s="39" t="s">
        <v>79</v>
      </c>
      <c r="C133" s="39">
        <v>9</v>
      </c>
      <c r="D133" s="39" t="s">
        <v>11</v>
      </c>
      <c r="E133" s="39" t="s">
        <v>122</v>
      </c>
      <c r="F133" s="50">
        <f>ROUNDUP($C$18/(10*90),0)</f>
        <v>0</v>
      </c>
      <c r="G133" s="39">
        <v>10</v>
      </c>
      <c r="H133" s="39">
        <v>150</v>
      </c>
      <c r="I133" s="39">
        <v>3.6669999999999998</v>
      </c>
      <c r="J133" s="49">
        <f>C133*(F133/H133)/G133*I133</f>
        <v>0</v>
      </c>
      <c r="N133" s="206"/>
    </row>
    <row r="134" spans="1:26" ht="34.5" hidden="1" customHeight="1" thickBot="1" x14ac:dyDescent="0.25">
      <c r="A134" s="39"/>
      <c r="B134" s="39" t="s">
        <v>80</v>
      </c>
      <c r="C134" s="39">
        <v>45</v>
      </c>
      <c r="D134" s="39" t="s">
        <v>11</v>
      </c>
      <c r="E134" s="39"/>
      <c r="F134" s="50">
        <f t="shared" ref="F134:F136" si="28">ROUNDUP($C$18/(10*90),0)</f>
        <v>0</v>
      </c>
      <c r="G134" s="39">
        <v>10</v>
      </c>
      <c r="H134" s="39">
        <v>150</v>
      </c>
      <c r="I134" s="39">
        <v>3.6669999999999998</v>
      </c>
      <c r="J134" s="49">
        <f t="shared" ref="J134:J142" si="29">C134*(F134/H134)/G134*I134</f>
        <v>0</v>
      </c>
      <c r="N134" s="206"/>
      <c r="W134" s="104" t="s">
        <v>218</v>
      </c>
      <c r="X134" s="108" t="s">
        <v>232</v>
      </c>
      <c r="Y134" s="116" t="s">
        <v>233</v>
      </c>
      <c r="Z134" s="112" t="s">
        <v>222</v>
      </c>
    </row>
    <row r="135" spans="1:26" hidden="1" x14ac:dyDescent="0.2">
      <c r="A135" s="39"/>
      <c r="B135" s="39" t="s">
        <v>81</v>
      </c>
      <c r="C135" s="39">
        <v>43</v>
      </c>
      <c r="D135" s="39" t="s">
        <v>11</v>
      </c>
      <c r="E135" s="39"/>
      <c r="F135" s="50">
        <f t="shared" si="28"/>
        <v>0</v>
      </c>
      <c r="G135" s="39">
        <v>10</v>
      </c>
      <c r="H135" s="39">
        <v>150</v>
      </c>
      <c r="I135" s="39">
        <v>3.6669999999999998</v>
      </c>
      <c r="J135" s="49">
        <f t="shared" si="29"/>
        <v>0</v>
      </c>
      <c r="N135" s="206"/>
      <c r="W135" s="105" t="s">
        <v>211</v>
      </c>
      <c r="X135" s="109">
        <f>B247</f>
        <v>0</v>
      </c>
      <c r="Y135" s="109">
        <f>B248</f>
        <v>0</v>
      </c>
      <c r="Z135" s="113" t="e">
        <f>1-(Y135/X135)</f>
        <v>#DIV/0!</v>
      </c>
    </row>
    <row r="136" spans="1:26" hidden="1" x14ac:dyDescent="0.2">
      <c r="A136" s="39"/>
      <c r="B136" s="39" t="s">
        <v>108</v>
      </c>
      <c r="C136" s="39">
        <v>30</v>
      </c>
      <c r="D136" s="39" t="s">
        <v>11</v>
      </c>
      <c r="E136" s="39" t="s">
        <v>121</v>
      </c>
      <c r="F136" s="50">
        <f t="shared" si="28"/>
        <v>0</v>
      </c>
      <c r="G136" s="39">
        <v>10</v>
      </c>
      <c r="H136" s="39">
        <v>150</v>
      </c>
      <c r="I136" s="39">
        <v>3.6669999999999998</v>
      </c>
      <c r="J136" s="49">
        <f t="shared" si="29"/>
        <v>0</v>
      </c>
      <c r="N136" s="206"/>
      <c r="W136" s="106" t="s">
        <v>214</v>
      </c>
      <c r="X136" s="110">
        <f>C247</f>
        <v>0</v>
      </c>
      <c r="Y136" s="110">
        <f>C248</f>
        <v>0</v>
      </c>
      <c r="Z136" s="114" t="e">
        <f t="shared" ref="Z136:Z141" si="30">1-(Y136/X136)</f>
        <v>#DIV/0!</v>
      </c>
    </row>
    <row r="137" spans="1:26" ht="15" hidden="1" thickBot="1" x14ac:dyDescent="0.25">
      <c r="A137" s="39"/>
      <c r="B137" s="39"/>
      <c r="C137" s="39"/>
      <c r="D137" s="39"/>
      <c r="E137" s="39"/>
      <c r="F137" s="39"/>
      <c r="G137" s="39"/>
      <c r="H137" s="39"/>
      <c r="I137" s="39"/>
      <c r="J137" s="160">
        <f>SUM(J133:J136)</f>
        <v>0</v>
      </c>
      <c r="N137" s="206"/>
      <c r="W137" s="106" t="s">
        <v>212</v>
      </c>
      <c r="X137" s="110">
        <f>E247</f>
        <v>0</v>
      </c>
      <c r="Y137" s="110">
        <f>E248</f>
        <v>0</v>
      </c>
      <c r="Z137" s="114" t="e">
        <f t="shared" si="30"/>
        <v>#DIV/0!</v>
      </c>
    </row>
    <row r="138" spans="1:26" hidden="1" x14ac:dyDescent="0.2">
      <c r="A138" s="39"/>
      <c r="B138" s="39"/>
      <c r="C138" s="39"/>
      <c r="D138" s="39"/>
      <c r="E138" s="39"/>
      <c r="J138" s="13"/>
      <c r="N138" s="206"/>
      <c r="W138" s="106" t="s">
        <v>220</v>
      </c>
      <c r="X138" s="110">
        <f>F247</f>
        <v>0</v>
      </c>
      <c r="Y138" s="110">
        <f>F248</f>
        <v>0</v>
      </c>
      <c r="Z138" s="114" t="e">
        <f t="shared" si="30"/>
        <v>#DIV/0!</v>
      </c>
    </row>
    <row r="139" spans="1:26" hidden="1" x14ac:dyDescent="0.2">
      <c r="A139" s="147" t="s">
        <v>92</v>
      </c>
      <c r="B139" s="147" t="s">
        <v>83</v>
      </c>
      <c r="C139" s="147">
        <v>140</v>
      </c>
      <c r="D139" s="147" t="s">
        <v>11</v>
      </c>
      <c r="E139" s="147" t="s">
        <v>265</v>
      </c>
      <c r="F139" s="187">
        <f>'MIP550-Verbauwand'!B3/200</f>
        <v>17.149999999999999</v>
      </c>
      <c r="G139" s="206">
        <v>10</v>
      </c>
      <c r="H139" s="206">
        <v>150</v>
      </c>
      <c r="I139" s="206">
        <v>3.6669999999999998</v>
      </c>
      <c r="J139" s="13">
        <f t="shared" si="29"/>
        <v>5.8696446666666668</v>
      </c>
      <c r="N139" s="206"/>
      <c r="W139" s="106" t="s">
        <v>217</v>
      </c>
      <c r="X139" s="110">
        <f>G247</f>
        <v>0</v>
      </c>
      <c r="Y139" s="110">
        <f>G248</f>
        <v>0</v>
      </c>
      <c r="Z139" s="114" t="e">
        <f t="shared" si="30"/>
        <v>#DIV/0!</v>
      </c>
    </row>
    <row r="140" spans="1:26" hidden="1" x14ac:dyDescent="0.2">
      <c r="A140" s="147"/>
      <c r="B140" s="147" t="s">
        <v>108</v>
      </c>
      <c r="C140" s="147">
        <v>30</v>
      </c>
      <c r="D140" s="147" t="s">
        <v>11</v>
      </c>
      <c r="E140" s="147" t="s">
        <v>121</v>
      </c>
      <c r="F140" s="187">
        <f>$F$139</f>
        <v>17.149999999999999</v>
      </c>
      <c r="G140" s="206">
        <v>10</v>
      </c>
      <c r="H140" s="206">
        <v>150</v>
      </c>
      <c r="I140" s="206">
        <v>3.6669999999999998</v>
      </c>
      <c r="J140" s="13">
        <f t="shared" si="29"/>
        <v>1.2577809999999998</v>
      </c>
      <c r="N140" s="206"/>
      <c r="W140" s="106" t="s">
        <v>213</v>
      </c>
      <c r="X140" s="110">
        <f>H247</f>
        <v>0</v>
      </c>
      <c r="Y140" s="110">
        <f>H248</f>
        <v>0</v>
      </c>
      <c r="Z140" s="114" t="e">
        <f t="shared" si="30"/>
        <v>#DIV/0!</v>
      </c>
    </row>
    <row r="141" spans="1:26" ht="15" hidden="1" thickBot="1" x14ac:dyDescent="0.25">
      <c r="A141" s="147"/>
      <c r="B141" s="147" t="s">
        <v>119</v>
      </c>
      <c r="C141" s="147">
        <v>20</v>
      </c>
      <c r="D141" s="147" t="s">
        <v>11</v>
      </c>
      <c r="E141" s="147"/>
      <c r="F141" s="187">
        <f>$F$139</f>
        <v>17.149999999999999</v>
      </c>
      <c r="G141" s="206">
        <v>10</v>
      </c>
      <c r="H141" s="206">
        <v>150</v>
      </c>
      <c r="I141" s="206">
        <v>3.6669999999999998</v>
      </c>
      <c r="J141" s="13">
        <f t="shared" si="29"/>
        <v>0.83852066666666658</v>
      </c>
      <c r="N141" s="206"/>
      <c r="S141" s="208"/>
      <c r="W141" s="107" t="s">
        <v>210</v>
      </c>
      <c r="X141" s="111">
        <f>I247</f>
        <v>0</v>
      </c>
      <c r="Y141" s="111">
        <f>I248</f>
        <v>0</v>
      </c>
      <c r="Z141" s="115" t="e">
        <f t="shared" si="30"/>
        <v>#DIV/0!</v>
      </c>
    </row>
    <row r="142" spans="1:26" ht="16.5" hidden="1" x14ac:dyDescent="0.2">
      <c r="A142" s="147"/>
      <c r="B142" s="147" t="s">
        <v>158</v>
      </c>
      <c r="C142" s="147">
        <v>22</v>
      </c>
      <c r="D142" s="147" t="s">
        <v>11</v>
      </c>
      <c r="E142" s="147"/>
      <c r="F142" s="187">
        <f t="shared" ref="F142:F145" si="31">$F$139</f>
        <v>17.149999999999999</v>
      </c>
      <c r="G142" s="206">
        <v>10</v>
      </c>
      <c r="H142" s="206">
        <v>150</v>
      </c>
      <c r="I142" s="206">
        <v>3.6669999999999998</v>
      </c>
      <c r="J142" s="13">
        <f t="shared" si="29"/>
        <v>0.92237273333333325</v>
      </c>
      <c r="N142" s="206"/>
      <c r="S142" s="208"/>
      <c r="W142" s="100" t="s">
        <v>187</v>
      </c>
      <c r="X142" s="101" t="s">
        <v>228</v>
      </c>
      <c r="Y142" s="101" t="s">
        <v>229</v>
      </c>
      <c r="Z142" s="102"/>
    </row>
    <row r="143" spans="1:26" ht="15" hidden="1" x14ac:dyDescent="0.2">
      <c r="A143" s="147"/>
      <c r="B143" s="147" t="s">
        <v>195</v>
      </c>
      <c r="C143" s="147">
        <v>18</v>
      </c>
      <c r="D143" s="147" t="s">
        <v>11</v>
      </c>
      <c r="E143" s="147"/>
      <c r="F143" s="187">
        <f t="shared" si="31"/>
        <v>17.149999999999999</v>
      </c>
      <c r="G143" s="206">
        <v>10</v>
      </c>
      <c r="H143" s="206">
        <v>150</v>
      </c>
      <c r="I143" s="206">
        <v>3.6669999999999998</v>
      </c>
      <c r="J143" s="13">
        <f>C143*(F143/H143)/G143*I143</f>
        <v>0.75466859999999991</v>
      </c>
      <c r="N143" s="206"/>
      <c r="S143" s="208"/>
      <c r="W143" s="100"/>
      <c r="X143" s="101"/>
      <c r="Y143" s="101"/>
      <c r="Z143" s="102"/>
    </row>
    <row r="144" spans="1:26" ht="16.5" hidden="1" x14ac:dyDescent="0.3">
      <c r="A144" s="147"/>
      <c r="B144" s="147" t="s">
        <v>209</v>
      </c>
      <c r="C144" s="147">
        <v>50</v>
      </c>
      <c r="D144" s="147" t="s">
        <v>11</v>
      </c>
      <c r="E144" s="147"/>
      <c r="F144" s="187">
        <f t="shared" si="31"/>
        <v>17.149999999999999</v>
      </c>
      <c r="G144" s="206">
        <v>10</v>
      </c>
      <c r="H144" s="206">
        <v>150</v>
      </c>
      <c r="I144" s="206">
        <v>3.6669999999999998</v>
      </c>
      <c r="J144" s="13">
        <f>C144*(F144/H144)/G144*I144</f>
        <v>2.0963016666666667</v>
      </c>
      <c r="N144" s="206"/>
      <c r="S144" s="208"/>
      <c r="W144" s="117" t="s">
        <v>221</v>
      </c>
      <c r="X144" s="348" t="s">
        <v>226</v>
      </c>
      <c r="Y144" s="348"/>
      <c r="Z144" s="118">
        <v>0.46</v>
      </c>
    </row>
    <row r="145" spans="1:27" ht="15" hidden="1" thickBot="1" x14ac:dyDescent="0.25">
      <c r="A145" s="147"/>
      <c r="B145" s="147" t="s">
        <v>81</v>
      </c>
      <c r="C145" s="147">
        <v>43</v>
      </c>
      <c r="D145" s="147" t="s">
        <v>11</v>
      </c>
      <c r="E145" s="147"/>
      <c r="F145" s="187">
        <f t="shared" si="31"/>
        <v>17.149999999999999</v>
      </c>
      <c r="G145" s="206">
        <v>10</v>
      </c>
      <c r="H145" s="206">
        <v>150</v>
      </c>
      <c r="I145" s="206">
        <v>3.6669999999999998</v>
      </c>
      <c r="J145" s="13">
        <f>C145*(F145/H145)/G145*I145</f>
        <v>1.8028194333333332</v>
      </c>
      <c r="N145" s="206"/>
      <c r="S145" s="208"/>
      <c r="W145" s="13"/>
    </row>
    <row r="146" spans="1:27" ht="15" hidden="1" thickBot="1" x14ac:dyDescent="0.25">
      <c r="A146" s="39"/>
      <c r="B146" s="39"/>
      <c r="C146" s="39"/>
      <c r="D146" s="39"/>
      <c r="E146" s="206"/>
      <c r="F146" s="208"/>
      <c r="J146" s="36">
        <f>SUM(J139:J145)</f>
        <v>13.542108766666667</v>
      </c>
      <c r="N146" s="206"/>
      <c r="S146" s="208"/>
      <c r="W146" s="13"/>
      <c r="X146" s="208">
        <f>SUM(X135:X141)</f>
        <v>0</v>
      </c>
      <c r="Y146" s="208">
        <f>SUM(Y135:Y141)</f>
        <v>0</v>
      </c>
      <c r="Z146" s="208">
        <f>X146-Y146</f>
        <v>0</v>
      </c>
      <c r="AA146" s="206" t="e">
        <f>1-(Y146/X146)</f>
        <v>#DIV/0!</v>
      </c>
    </row>
    <row r="147" spans="1:27" hidden="1" x14ac:dyDescent="0.2">
      <c r="A147" s="39"/>
      <c r="B147" s="39"/>
      <c r="C147" s="39"/>
      <c r="D147" s="39"/>
      <c r="E147" s="39"/>
      <c r="F147" s="208"/>
      <c r="J147" s="13"/>
      <c r="N147" s="206"/>
    </row>
    <row r="148" spans="1:27" hidden="1" x14ac:dyDescent="0.2">
      <c r="A148" s="39" t="s">
        <v>93</v>
      </c>
      <c r="B148" s="39" t="s">
        <v>88</v>
      </c>
      <c r="C148" s="39">
        <v>0</v>
      </c>
      <c r="D148" s="39" t="s">
        <v>11</v>
      </c>
      <c r="E148" s="39"/>
      <c r="F148" s="50">
        <f>ROUNDUP($C$183/40,0)</f>
        <v>0</v>
      </c>
      <c r="G148" s="39">
        <v>10</v>
      </c>
      <c r="H148" s="39">
        <v>150</v>
      </c>
      <c r="I148" s="39">
        <v>3.6669999999999998</v>
      </c>
      <c r="J148" s="49">
        <f>C148*(F148/H148)/G148*I148</f>
        <v>0</v>
      </c>
      <c r="N148" s="206"/>
    </row>
    <row r="149" spans="1:27" hidden="1" x14ac:dyDescent="0.2">
      <c r="A149" s="39"/>
      <c r="B149" s="39" t="s">
        <v>89</v>
      </c>
      <c r="C149" s="39">
        <v>0</v>
      </c>
      <c r="D149" s="39" t="s">
        <v>11</v>
      </c>
      <c r="E149" s="39"/>
      <c r="F149" s="50">
        <f>ROUND($C$183/40,0)</f>
        <v>0</v>
      </c>
      <c r="G149" s="39">
        <v>10</v>
      </c>
      <c r="H149" s="39">
        <v>150</v>
      </c>
      <c r="I149" s="39">
        <v>3.6669999999999998</v>
      </c>
      <c r="J149" s="49">
        <f>C149*(F149/H149)/G149*I149</f>
        <v>0</v>
      </c>
      <c r="N149" s="206"/>
    </row>
    <row r="150" spans="1:27" hidden="1" x14ac:dyDescent="0.2">
      <c r="A150" s="39"/>
      <c r="B150" s="39" t="s">
        <v>108</v>
      </c>
      <c r="C150" s="39">
        <v>0</v>
      </c>
      <c r="D150" s="39" t="s">
        <v>11</v>
      </c>
      <c r="E150" s="39" t="s">
        <v>121</v>
      </c>
      <c r="F150" s="50">
        <f>ROUND($C$183/40,0)</f>
        <v>0</v>
      </c>
      <c r="G150" s="39">
        <v>10</v>
      </c>
      <c r="H150" s="39">
        <v>150</v>
      </c>
      <c r="I150" s="39">
        <v>3.6669999999999998</v>
      </c>
      <c r="J150" s="49">
        <f t="shared" ref="J150:J151" si="32">C150*(F150/H150)/G150*I150</f>
        <v>0</v>
      </c>
      <c r="N150" s="206"/>
    </row>
    <row r="151" spans="1:27" hidden="1" x14ac:dyDescent="0.2">
      <c r="A151" s="39"/>
      <c r="B151" s="39" t="s">
        <v>119</v>
      </c>
      <c r="C151" s="39">
        <v>0</v>
      </c>
      <c r="D151" s="39" t="s">
        <v>11</v>
      </c>
      <c r="E151" s="39"/>
      <c r="F151" s="50">
        <f>ROUND($C$183/40,0)</f>
        <v>0</v>
      </c>
      <c r="G151" s="39">
        <v>10</v>
      </c>
      <c r="H151" s="39">
        <v>150</v>
      </c>
      <c r="I151" s="39">
        <v>3.6669999999999998</v>
      </c>
      <c r="J151" s="49">
        <f t="shared" si="32"/>
        <v>0</v>
      </c>
      <c r="N151" s="206"/>
    </row>
    <row r="152" spans="1:27" ht="15" hidden="1" thickBot="1" x14ac:dyDescent="0.25">
      <c r="A152" s="39"/>
      <c r="B152" s="39"/>
      <c r="C152" s="39"/>
      <c r="D152" s="39"/>
      <c r="E152" s="39"/>
      <c r="F152" s="50"/>
      <c r="G152" s="39"/>
      <c r="H152" s="39"/>
      <c r="I152" s="39"/>
      <c r="J152" s="160">
        <f>J148+J149+J150+J151</f>
        <v>0</v>
      </c>
      <c r="N152" s="206"/>
    </row>
    <row r="153" spans="1:27" hidden="1" x14ac:dyDescent="0.2">
      <c r="A153" s="39"/>
      <c r="B153" s="39"/>
      <c r="C153" s="39"/>
      <c r="D153" s="39"/>
      <c r="E153" s="40"/>
      <c r="F153" s="39"/>
      <c r="G153" s="39"/>
      <c r="H153" s="39"/>
      <c r="I153" s="39"/>
      <c r="J153" s="39"/>
      <c r="N153" s="206"/>
    </row>
    <row r="154" spans="1:27" hidden="1" x14ac:dyDescent="0.2">
      <c r="A154" s="39" t="s">
        <v>94</v>
      </c>
      <c r="B154" s="39" t="s">
        <v>120</v>
      </c>
      <c r="C154" s="39">
        <v>0</v>
      </c>
      <c r="D154" s="39" t="s">
        <v>11</v>
      </c>
      <c r="E154" s="39"/>
      <c r="F154" s="39">
        <f>ROUNDUP($C$188/40,0)</f>
        <v>0</v>
      </c>
      <c r="G154" s="39">
        <v>10</v>
      </c>
      <c r="H154" s="39">
        <v>150</v>
      </c>
      <c r="I154" s="39">
        <v>3.6669999999999998</v>
      </c>
      <c r="J154" s="49">
        <f>C154*(F154/H154)/G154*I154</f>
        <v>0</v>
      </c>
      <c r="N154" s="206"/>
    </row>
    <row r="155" spans="1:27" hidden="1" x14ac:dyDescent="0.2">
      <c r="A155" s="39"/>
      <c r="B155" s="39" t="s">
        <v>108</v>
      </c>
      <c r="C155" s="39">
        <v>0</v>
      </c>
      <c r="D155" s="39" t="s">
        <v>11</v>
      </c>
      <c r="E155" s="39" t="s">
        <v>121</v>
      </c>
      <c r="F155" s="39">
        <f>ROUNDUP($C$188/40,0)</f>
        <v>0</v>
      </c>
      <c r="G155" s="39">
        <v>10</v>
      </c>
      <c r="H155" s="39">
        <v>150</v>
      </c>
      <c r="I155" s="39">
        <v>3.6669999999999998</v>
      </c>
      <c r="J155" s="49">
        <f t="shared" ref="J155:J156" si="33">C155*(F155/H155)/G155*I155</f>
        <v>0</v>
      </c>
      <c r="N155" s="206"/>
    </row>
    <row r="156" spans="1:27" hidden="1" x14ac:dyDescent="0.2">
      <c r="A156" s="39"/>
      <c r="B156" s="39" t="s">
        <v>119</v>
      </c>
      <c r="C156" s="39">
        <v>0</v>
      </c>
      <c r="D156" s="39" t="s">
        <v>11</v>
      </c>
      <c r="E156" s="39"/>
      <c r="F156" s="39">
        <f>ROUNDUP($C$188/40,0)</f>
        <v>0</v>
      </c>
      <c r="G156" s="39">
        <v>10</v>
      </c>
      <c r="H156" s="39">
        <v>150</v>
      </c>
      <c r="I156" s="39">
        <v>3.6669999999999998</v>
      </c>
      <c r="J156" s="49">
        <f t="shared" si="33"/>
        <v>0</v>
      </c>
      <c r="N156" s="206"/>
    </row>
    <row r="157" spans="1:27" ht="15" hidden="1" thickBot="1" x14ac:dyDescent="0.25">
      <c r="A157" s="39"/>
      <c r="B157" s="39"/>
      <c r="C157" s="39">
        <v>0</v>
      </c>
      <c r="D157" s="39"/>
      <c r="E157" s="39"/>
      <c r="F157" s="39"/>
      <c r="G157" s="39"/>
      <c r="H157" s="39"/>
      <c r="I157" s="39"/>
      <c r="J157" s="160">
        <f>J154+J155+J156</f>
        <v>0</v>
      </c>
      <c r="N157" s="206"/>
    </row>
    <row r="158" spans="1:27" x14ac:dyDescent="0.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N158" s="206"/>
    </row>
    <row r="159" spans="1:27" x14ac:dyDescent="0.2">
      <c r="A159" s="39"/>
      <c r="B159" s="39"/>
      <c r="C159" s="39"/>
      <c r="D159" s="39"/>
      <c r="E159" s="40"/>
      <c r="J159" s="206"/>
      <c r="N159" s="206"/>
    </row>
    <row r="160" spans="1:27" ht="18.75" thickBot="1" x14ac:dyDescent="0.25">
      <c r="A160" s="39"/>
      <c r="B160" s="41"/>
      <c r="C160" s="41"/>
      <c r="D160" s="41"/>
      <c r="E160" s="41"/>
      <c r="F160" s="349" t="s">
        <v>162</v>
      </c>
      <c r="G160" s="349"/>
      <c r="H160" s="349"/>
      <c r="I160" s="349"/>
      <c r="J160" s="350"/>
      <c r="N160" s="206"/>
    </row>
    <row r="161" spans="1:14" ht="42.75" x14ac:dyDescent="0.2">
      <c r="A161" s="166" t="s">
        <v>33</v>
      </c>
      <c r="B161" s="167"/>
      <c r="C161" s="346"/>
      <c r="D161" s="347"/>
      <c r="E161" s="167" t="s">
        <v>196</v>
      </c>
      <c r="F161" s="167" t="s">
        <v>95</v>
      </c>
      <c r="G161" s="24" t="s">
        <v>97</v>
      </c>
      <c r="H161" s="24" t="s">
        <v>99</v>
      </c>
      <c r="I161" s="2" t="s">
        <v>101</v>
      </c>
      <c r="J161" s="28" t="s">
        <v>100</v>
      </c>
      <c r="K161" s="215" t="s">
        <v>2</v>
      </c>
      <c r="L161" s="2" t="s">
        <v>3</v>
      </c>
      <c r="N161" s="206"/>
    </row>
    <row r="162" spans="1:14" ht="16.5" thickBot="1" x14ac:dyDescent="0.25">
      <c r="A162" s="168"/>
      <c r="B162" s="169"/>
      <c r="C162" s="170"/>
      <c r="D162" s="171"/>
      <c r="E162" s="172"/>
      <c r="F162" s="169"/>
      <c r="G162" s="6"/>
      <c r="H162" s="6"/>
      <c r="I162" s="6"/>
      <c r="J162" s="19"/>
      <c r="K162" s="18" t="s">
        <v>109</v>
      </c>
      <c r="L162" s="6" t="s">
        <v>7</v>
      </c>
      <c r="N162" s="206"/>
    </row>
    <row r="163" spans="1:14" x14ac:dyDescent="0.2">
      <c r="A163" s="147" t="s">
        <v>90</v>
      </c>
      <c r="B163" s="147" t="s">
        <v>86</v>
      </c>
      <c r="C163" s="147"/>
      <c r="D163" s="147" t="s">
        <v>87</v>
      </c>
      <c r="E163" s="147"/>
      <c r="F163" s="147"/>
      <c r="G163" s="208">
        <f>F124</f>
        <v>25</v>
      </c>
      <c r="J163" s="206"/>
      <c r="N163" s="206"/>
    </row>
    <row r="164" spans="1:14" x14ac:dyDescent="0.2">
      <c r="A164" s="147"/>
      <c r="B164" s="147" t="s">
        <v>340</v>
      </c>
      <c r="C164" s="156">
        <f>F164*G163</f>
        <v>16250</v>
      </c>
      <c r="D164" s="147" t="s">
        <v>70</v>
      </c>
      <c r="E164" s="147" t="s">
        <v>274</v>
      </c>
      <c r="F164" s="156">
        <f>'Pfahl - Pfahlwand'!B16</f>
        <v>650</v>
      </c>
      <c r="J164" s="206"/>
      <c r="K164" s="206">
        <v>3.2</v>
      </c>
      <c r="L164" s="13">
        <f>C164*K164/1000</f>
        <v>52</v>
      </c>
      <c r="N164" s="206"/>
    </row>
    <row r="165" spans="1:14" x14ac:dyDescent="0.2">
      <c r="A165" s="147"/>
      <c r="B165" s="147"/>
      <c r="C165" s="156"/>
      <c r="D165" s="147"/>
      <c r="E165" s="147" t="s">
        <v>273</v>
      </c>
      <c r="F165" s="147"/>
      <c r="J165" s="206"/>
      <c r="K165" s="206">
        <v>3.2</v>
      </c>
      <c r="L165" s="13">
        <f>C165*K165/1000</f>
        <v>0</v>
      </c>
      <c r="N165" s="206"/>
    </row>
    <row r="166" spans="1:14" x14ac:dyDescent="0.2">
      <c r="A166" s="147"/>
      <c r="B166" s="147"/>
      <c r="C166" s="156"/>
      <c r="D166" s="147"/>
      <c r="E166" s="147" t="s">
        <v>275</v>
      </c>
      <c r="F166" s="147"/>
      <c r="J166" s="206"/>
      <c r="K166" s="206">
        <v>3.2</v>
      </c>
      <c r="L166" s="13">
        <f t="shared" ref="L166" si="34">C166*K166/1000</f>
        <v>0</v>
      </c>
      <c r="N166" s="206"/>
    </row>
    <row r="167" spans="1:14" ht="15" thickBot="1" x14ac:dyDescent="0.25">
      <c r="A167" s="147"/>
      <c r="B167" s="147" t="s">
        <v>160</v>
      </c>
      <c r="C167" s="147">
        <f>G163*10*F167</f>
        <v>12500</v>
      </c>
      <c r="D167" s="147" t="s">
        <v>143</v>
      </c>
      <c r="E167" s="147"/>
      <c r="F167" s="156">
        <f>'Pfahl - Pfahlwand'!B18</f>
        <v>50</v>
      </c>
      <c r="G167" s="206" t="s">
        <v>161</v>
      </c>
      <c r="J167" s="206"/>
      <c r="K167" s="206">
        <v>0.501</v>
      </c>
      <c r="L167" s="13">
        <f>C167*K167/1000</f>
        <v>6.2625000000000002</v>
      </c>
      <c r="N167" s="206"/>
    </row>
    <row r="168" spans="1:14" ht="15" thickBot="1" x14ac:dyDescent="0.25">
      <c r="A168" s="39"/>
      <c r="C168" s="39"/>
      <c r="D168" s="39"/>
      <c r="E168" s="39"/>
      <c r="J168" s="206"/>
      <c r="L168" s="36">
        <f>SUM(L164:L167)</f>
        <v>58.262500000000003</v>
      </c>
      <c r="N168" s="206"/>
    </row>
    <row r="169" spans="1:14" hidden="1" x14ac:dyDescent="0.2">
      <c r="A169" s="39"/>
      <c r="B169" s="39"/>
      <c r="C169" s="39"/>
      <c r="D169" s="39"/>
      <c r="E169" s="39"/>
      <c r="J169" s="206"/>
      <c r="L169" s="13"/>
      <c r="N169" s="206"/>
    </row>
    <row r="170" spans="1:14" hidden="1" x14ac:dyDescent="0.2">
      <c r="A170" s="39" t="s">
        <v>91</v>
      </c>
      <c r="B170" s="39" t="s">
        <v>86</v>
      </c>
      <c r="C170" s="39">
        <v>0</v>
      </c>
      <c r="D170" s="39" t="s">
        <v>87</v>
      </c>
      <c r="E170" s="39"/>
      <c r="G170" s="208">
        <f>ROUNDUP(C18/(10*90),0)</f>
        <v>0</v>
      </c>
      <c r="J170" s="206"/>
      <c r="N170" s="206"/>
    </row>
    <row r="171" spans="1:14" hidden="1" x14ac:dyDescent="0.2">
      <c r="A171" s="39"/>
      <c r="B171" s="39" t="s">
        <v>85</v>
      </c>
      <c r="C171" s="50">
        <v>0</v>
      </c>
      <c r="D171" s="39" t="s">
        <v>70</v>
      </c>
      <c r="E171" s="39"/>
      <c r="J171" s="206"/>
      <c r="K171" s="206">
        <v>3.25</v>
      </c>
      <c r="L171" s="13">
        <f>C171*K171/1000</f>
        <v>0</v>
      </c>
      <c r="N171" s="206"/>
    </row>
    <row r="172" spans="1:14" hidden="1" x14ac:dyDescent="0.2">
      <c r="A172" s="39"/>
      <c r="B172" s="39"/>
      <c r="C172" s="50">
        <v>0</v>
      </c>
      <c r="D172" s="39"/>
      <c r="E172" s="39" t="s">
        <v>123</v>
      </c>
      <c r="H172" s="206">
        <v>150</v>
      </c>
      <c r="J172" s="206">
        <f>0.18*150*(G170*10)</f>
        <v>0</v>
      </c>
      <c r="K172" s="206">
        <v>0.501</v>
      </c>
      <c r="L172" s="13">
        <f>C172*K172/1000</f>
        <v>0</v>
      </c>
      <c r="N172" s="206"/>
    </row>
    <row r="173" spans="1:14" ht="15" hidden="1" thickBot="1" x14ac:dyDescent="0.25">
      <c r="A173" s="39"/>
      <c r="B173" s="39"/>
      <c r="C173" s="50"/>
      <c r="D173" s="39"/>
      <c r="E173" s="39"/>
      <c r="J173" s="206"/>
      <c r="L173" s="36">
        <f>L171+L172</f>
        <v>0</v>
      </c>
      <c r="N173" s="206"/>
    </row>
    <row r="174" spans="1:14" hidden="1" x14ac:dyDescent="0.2">
      <c r="A174" s="39"/>
      <c r="B174" s="39"/>
      <c r="C174" s="39"/>
      <c r="D174" s="39"/>
      <c r="E174" s="39"/>
      <c r="J174" s="206"/>
      <c r="N174" s="206"/>
    </row>
    <row r="175" spans="1:14" hidden="1" x14ac:dyDescent="0.2">
      <c r="A175" s="147" t="s">
        <v>92</v>
      </c>
      <c r="B175" s="147" t="s">
        <v>86</v>
      </c>
      <c r="C175" s="147"/>
      <c r="D175" s="147" t="s">
        <v>87</v>
      </c>
      <c r="E175" s="147"/>
      <c r="F175" s="147"/>
      <c r="G175" s="156">
        <f>F139</f>
        <v>17.149999999999999</v>
      </c>
      <c r="J175" s="206"/>
      <c r="N175" s="206"/>
    </row>
    <row r="176" spans="1:14" hidden="1" x14ac:dyDescent="0.2">
      <c r="A176" s="147"/>
      <c r="B176" s="147" t="s">
        <v>270</v>
      </c>
      <c r="C176" s="147">
        <f>'MIP550-Verbauwand'!B3*3.3</f>
        <v>11319</v>
      </c>
      <c r="D176" s="147" t="s">
        <v>70</v>
      </c>
      <c r="E176" s="147" t="s">
        <v>268</v>
      </c>
      <c r="F176" s="156">
        <f>C176+C177+C178</f>
        <v>14491.75</v>
      </c>
      <c r="G176" s="147"/>
      <c r="J176" s="206"/>
      <c r="K176" s="206">
        <v>3.2</v>
      </c>
      <c r="L176" s="13">
        <f>F176*K176/1000</f>
        <v>46.373600000000003</v>
      </c>
      <c r="N176" s="206"/>
    </row>
    <row r="177" spans="1:18" hidden="1" x14ac:dyDescent="0.2">
      <c r="A177" s="147"/>
      <c r="B177" s="147" t="s">
        <v>271</v>
      </c>
      <c r="C177" s="156">
        <f>'MIP550-Verbauwand'!B3*0.25</f>
        <v>857.5</v>
      </c>
      <c r="D177" s="147"/>
      <c r="E177" s="147" t="s">
        <v>269</v>
      </c>
      <c r="F177" s="147"/>
      <c r="G177" s="147"/>
      <c r="J177" s="206"/>
      <c r="K177" s="206">
        <v>3.2</v>
      </c>
      <c r="L177" s="13"/>
      <c r="N177" s="206"/>
    </row>
    <row r="178" spans="1:18" hidden="1" x14ac:dyDescent="0.2">
      <c r="A178" s="147"/>
      <c r="B178" s="147" t="s">
        <v>272</v>
      </c>
      <c r="C178" s="156">
        <f>G175*135</f>
        <v>2315.25</v>
      </c>
      <c r="D178" s="147"/>
      <c r="E178" s="147" t="s">
        <v>275</v>
      </c>
      <c r="F178" s="147"/>
      <c r="G178" s="147"/>
      <c r="J178" s="206"/>
      <c r="K178" s="206">
        <v>3.2</v>
      </c>
      <c r="L178" s="13"/>
      <c r="N178" s="206"/>
    </row>
    <row r="179" spans="1:18" ht="15" hidden="1" thickBot="1" x14ac:dyDescent="0.25">
      <c r="A179" s="147"/>
      <c r="B179" s="147" t="s">
        <v>160</v>
      </c>
      <c r="C179" s="156">
        <f>G175*10*F179</f>
        <v>13720</v>
      </c>
      <c r="D179" s="147" t="s">
        <v>143</v>
      </c>
      <c r="E179" s="147"/>
      <c r="F179" s="147">
        <v>80</v>
      </c>
      <c r="G179" s="147" t="s">
        <v>161</v>
      </c>
      <c r="J179" s="206"/>
      <c r="K179" s="206">
        <v>0.501</v>
      </c>
      <c r="L179" s="13">
        <f>C179*K179/1000</f>
        <v>6.8737200000000005</v>
      </c>
      <c r="N179" s="206"/>
    </row>
    <row r="180" spans="1:18" ht="15" hidden="1" thickBot="1" x14ac:dyDescent="0.25">
      <c r="A180" s="39"/>
      <c r="B180" s="39"/>
      <c r="D180" s="39"/>
      <c r="E180" s="39"/>
      <c r="J180" s="206"/>
      <c r="L180" s="36">
        <f>SUM(L176:L179)</f>
        <v>53.247320000000002</v>
      </c>
      <c r="N180" s="206"/>
      <c r="R180" s="206" t="s">
        <v>186</v>
      </c>
    </row>
    <row r="181" spans="1:18" hidden="1" x14ac:dyDescent="0.2">
      <c r="A181" s="39"/>
      <c r="B181" s="39"/>
      <c r="C181" s="39"/>
      <c r="D181" s="39"/>
      <c r="E181" s="39"/>
      <c r="J181" s="206"/>
      <c r="L181" s="13"/>
      <c r="N181" s="206"/>
    </row>
    <row r="182" spans="1:18" hidden="1" x14ac:dyDescent="0.2">
      <c r="A182" s="39"/>
      <c r="B182" s="39"/>
      <c r="C182" s="39"/>
      <c r="D182" s="39"/>
      <c r="E182" s="39"/>
      <c r="J182" s="206"/>
      <c r="L182" s="13"/>
      <c r="N182" s="206"/>
    </row>
    <row r="183" spans="1:18" hidden="1" x14ac:dyDescent="0.2">
      <c r="A183" s="39" t="s">
        <v>93</v>
      </c>
      <c r="B183" s="39" t="s">
        <v>86</v>
      </c>
      <c r="C183" s="50">
        <v>0</v>
      </c>
      <c r="D183" s="39" t="s">
        <v>87</v>
      </c>
      <c r="E183" s="39" t="s">
        <v>96</v>
      </c>
      <c r="F183" s="30">
        <f>2/3</f>
        <v>0.66666666666666663</v>
      </c>
      <c r="G183" s="208">
        <f>ROUNDUP($C$183/40,0)</f>
        <v>0</v>
      </c>
      <c r="J183" s="206"/>
      <c r="N183" s="206"/>
    </row>
    <row r="184" spans="1:18" hidden="1" x14ac:dyDescent="0.2">
      <c r="A184" s="39"/>
      <c r="B184" s="39" t="s">
        <v>85</v>
      </c>
      <c r="C184" s="50">
        <v>0</v>
      </c>
      <c r="D184" s="39" t="s">
        <v>70</v>
      </c>
      <c r="E184" s="39"/>
      <c r="J184" s="206"/>
      <c r="K184" s="206">
        <v>3.25</v>
      </c>
      <c r="L184" s="13">
        <f>C184*K184/1000</f>
        <v>0</v>
      </c>
      <c r="N184" s="206"/>
    </row>
    <row r="185" spans="1:18" hidden="1" x14ac:dyDescent="0.2">
      <c r="A185" s="39"/>
      <c r="B185" s="39"/>
      <c r="C185" s="39">
        <v>0</v>
      </c>
      <c r="D185" s="39" t="s">
        <v>143</v>
      </c>
      <c r="E185" s="39" t="s">
        <v>98</v>
      </c>
      <c r="F185" s="206">
        <v>47</v>
      </c>
      <c r="G185" s="206" t="s">
        <v>185</v>
      </c>
      <c r="H185" s="206">
        <v>500</v>
      </c>
      <c r="I185" s="31">
        <v>0.2</v>
      </c>
      <c r="J185" s="208">
        <f>0.18*H185*I185*10*$G$183</f>
        <v>0</v>
      </c>
      <c r="K185" s="206">
        <v>0.501</v>
      </c>
      <c r="L185" s="13">
        <f>C185*K185/1000</f>
        <v>0</v>
      </c>
      <c r="N185" s="206"/>
    </row>
    <row r="186" spans="1:18" ht="15" hidden="1" thickBot="1" x14ac:dyDescent="0.25">
      <c r="A186" s="39"/>
      <c r="B186" s="39"/>
      <c r="C186" s="39"/>
      <c r="D186" s="39"/>
      <c r="E186" s="40" t="s">
        <v>89</v>
      </c>
      <c r="H186" s="206">
        <v>100</v>
      </c>
      <c r="I186" s="31">
        <v>0.7</v>
      </c>
      <c r="J186" s="208">
        <f>0.18*H186*I186*10*$G$183</f>
        <v>0</v>
      </c>
      <c r="L186" s="36">
        <f>L184+L185</f>
        <v>0</v>
      </c>
      <c r="N186" s="206"/>
    </row>
    <row r="187" spans="1:18" hidden="1" x14ac:dyDescent="0.2">
      <c r="A187" s="39"/>
      <c r="B187" s="39"/>
      <c r="C187" s="39"/>
      <c r="D187" s="39"/>
      <c r="E187" s="40"/>
      <c r="J187" s="206"/>
      <c r="N187" s="206"/>
    </row>
    <row r="188" spans="1:18" hidden="1" x14ac:dyDescent="0.2">
      <c r="A188" s="39" t="s">
        <v>94</v>
      </c>
      <c r="B188" s="39" t="s">
        <v>86</v>
      </c>
      <c r="C188" s="39">
        <v>0</v>
      </c>
      <c r="D188" s="39" t="s">
        <v>87</v>
      </c>
      <c r="E188" s="39"/>
      <c r="G188" s="208">
        <f>ROUNDUP($C$188/40,0)</f>
        <v>0</v>
      </c>
      <c r="J188" s="206"/>
      <c r="N188" s="206"/>
    </row>
    <row r="189" spans="1:18" hidden="1" x14ac:dyDescent="0.2">
      <c r="A189" s="39"/>
      <c r="B189" s="39" t="s">
        <v>85</v>
      </c>
      <c r="C189" s="39">
        <v>0</v>
      </c>
      <c r="D189" s="39" t="s">
        <v>70</v>
      </c>
      <c r="E189" s="39"/>
      <c r="J189" s="206"/>
      <c r="K189" s="206">
        <v>3.25</v>
      </c>
      <c r="L189" s="13">
        <f>C189*K189/1000</f>
        <v>0</v>
      </c>
      <c r="N189" s="206"/>
    </row>
    <row r="190" spans="1:18" hidden="1" x14ac:dyDescent="0.2">
      <c r="A190" s="39"/>
      <c r="B190" s="39"/>
      <c r="C190" s="39">
        <v>0</v>
      </c>
      <c r="D190" s="39" t="s">
        <v>143</v>
      </c>
      <c r="E190" s="39"/>
      <c r="J190" s="206"/>
      <c r="K190" s="206">
        <v>0.501</v>
      </c>
      <c r="L190" s="13">
        <f>C190*K190/1000</f>
        <v>0</v>
      </c>
      <c r="N190" s="206"/>
    </row>
    <row r="191" spans="1:18" ht="15" hidden="1" thickBot="1" x14ac:dyDescent="0.25">
      <c r="A191" s="39"/>
      <c r="B191" s="39"/>
      <c r="C191" s="39"/>
      <c r="D191" s="39"/>
      <c r="E191" s="39"/>
      <c r="J191" s="206"/>
      <c r="L191" s="36">
        <f>L189+L190</f>
        <v>0</v>
      </c>
      <c r="N191" s="206"/>
    </row>
    <row r="192" spans="1:18" x14ac:dyDescent="0.2">
      <c r="A192" s="39"/>
      <c r="B192" s="39"/>
      <c r="C192" s="39"/>
      <c r="D192" s="39"/>
      <c r="E192" s="39"/>
      <c r="J192" s="206"/>
      <c r="L192" s="13"/>
      <c r="N192" s="206"/>
    </row>
    <row r="193" spans="1:14" ht="18.75" thickBot="1" x14ac:dyDescent="0.25">
      <c r="A193" s="39"/>
      <c r="B193" s="41"/>
      <c r="C193" s="41"/>
      <c r="D193" s="41"/>
      <c r="E193" s="41"/>
      <c r="F193" s="349" t="s">
        <v>163</v>
      </c>
      <c r="G193" s="349"/>
      <c r="H193" s="349"/>
      <c r="I193" s="349"/>
      <c r="J193" s="350"/>
      <c r="N193" s="206"/>
    </row>
    <row r="194" spans="1:14" ht="33" x14ac:dyDescent="0.2">
      <c r="A194" s="166" t="s">
        <v>33</v>
      </c>
      <c r="B194" s="167"/>
      <c r="C194" s="346" t="s">
        <v>54</v>
      </c>
      <c r="D194" s="347"/>
      <c r="E194" s="167" t="s">
        <v>19</v>
      </c>
      <c r="F194" s="22" t="s">
        <v>164</v>
      </c>
      <c r="G194" s="24" t="s">
        <v>165</v>
      </c>
      <c r="H194" s="24"/>
      <c r="I194" s="2" t="s">
        <v>167</v>
      </c>
      <c r="J194" s="28" t="s">
        <v>166</v>
      </c>
      <c r="K194" s="215" t="s">
        <v>2</v>
      </c>
      <c r="L194" s="2" t="s">
        <v>3</v>
      </c>
      <c r="N194" s="206"/>
    </row>
    <row r="195" spans="1:14" ht="16.5" thickBot="1" x14ac:dyDescent="0.25">
      <c r="A195" s="168"/>
      <c r="B195" s="169"/>
      <c r="C195" s="170"/>
      <c r="D195" s="171"/>
      <c r="E195" s="172"/>
      <c r="F195" s="6" t="s">
        <v>170</v>
      </c>
      <c r="G195" s="23"/>
      <c r="H195" s="6"/>
      <c r="I195" s="6" t="s">
        <v>60</v>
      </c>
      <c r="J195" s="19" t="s">
        <v>60</v>
      </c>
      <c r="K195" s="18" t="s">
        <v>62</v>
      </c>
      <c r="L195" s="6" t="s">
        <v>7</v>
      </c>
      <c r="N195" s="206"/>
    </row>
    <row r="196" spans="1:14" x14ac:dyDescent="0.2">
      <c r="A196" s="206" t="s">
        <v>90</v>
      </c>
      <c r="B196" s="206" t="s">
        <v>84</v>
      </c>
      <c r="C196" s="206">
        <v>200</v>
      </c>
      <c r="D196" s="206" t="s">
        <v>11</v>
      </c>
      <c r="E196" s="206" t="s">
        <v>168</v>
      </c>
      <c r="F196" s="206">
        <v>2</v>
      </c>
      <c r="G196" s="206">
        <v>4</v>
      </c>
      <c r="I196" s="231">
        <f>'Pfahl - Pfahlwand'!B20</f>
        <v>250</v>
      </c>
      <c r="J196" s="206">
        <f>F196*G196*I196</f>
        <v>2000</v>
      </c>
      <c r="K196" s="206">
        <f>2/1000</f>
        <v>2E-3</v>
      </c>
      <c r="L196" s="206">
        <f>J196*K196</f>
        <v>4</v>
      </c>
      <c r="N196" s="206"/>
    </row>
    <row r="197" spans="1:14" x14ac:dyDescent="0.2">
      <c r="B197" s="206" t="s">
        <v>159</v>
      </c>
      <c r="C197" s="206">
        <v>60</v>
      </c>
      <c r="D197" s="206" t="s">
        <v>11</v>
      </c>
      <c r="E197" s="206" t="s">
        <v>169</v>
      </c>
      <c r="F197" s="206">
        <v>1</v>
      </c>
      <c r="G197" s="206">
        <v>2</v>
      </c>
      <c r="I197" s="231">
        <f>I196</f>
        <v>250</v>
      </c>
      <c r="J197" s="206">
        <f>F197*G197*I197</f>
        <v>500</v>
      </c>
      <c r="K197" s="206">
        <v>9.7999999999999997E-4</v>
      </c>
      <c r="L197" s="206">
        <f t="shared" ref="L197:L200" si="35">J197*K197</f>
        <v>0.49</v>
      </c>
      <c r="N197" s="206"/>
    </row>
    <row r="198" spans="1:14" x14ac:dyDescent="0.2">
      <c r="B198" s="206" t="s">
        <v>174</v>
      </c>
      <c r="C198" s="206">
        <v>30</v>
      </c>
      <c r="D198" s="206" t="s">
        <v>11</v>
      </c>
      <c r="E198" s="206" t="s">
        <v>65</v>
      </c>
      <c r="F198" s="206">
        <v>2</v>
      </c>
      <c r="G198" s="206">
        <v>4</v>
      </c>
      <c r="I198" s="231">
        <f>I196</f>
        <v>250</v>
      </c>
      <c r="J198" s="206">
        <f>F198*G198*I198</f>
        <v>2000</v>
      </c>
      <c r="K198" s="206">
        <v>9.7999999999999997E-4</v>
      </c>
      <c r="L198" s="206">
        <f t="shared" si="35"/>
        <v>1.96</v>
      </c>
      <c r="N198" s="206"/>
    </row>
    <row r="199" spans="1:14" x14ac:dyDescent="0.2">
      <c r="B199" s="206" t="s">
        <v>118</v>
      </c>
      <c r="C199" s="206">
        <v>20</v>
      </c>
      <c r="D199" s="206" t="s">
        <v>11</v>
      </c>
      <c r="E199" s="206" t="s">
        <v>65</v>
      </c>
      <c r="F199" s="206">
        <v>1</v>
      </c>
      <c r="G199" s="206">
        <v>2</v>
      </c>
      <c r="I199" s="231">
        <f>I196</f>
        <v>250</v>
      </c>
      <c r="J199" s="206">
        <f>F199*G199*I199</f>
        <v>500</v>
      </c>
      <c r="K199" s="206">
        <v>9.7999999999999997E-4</v>
      </c>
      <c r="L199" s="206">
        <f t="shared" si="35"/>
        <v>0.49</v>
      </c>
      <c r="N199" s="206"/>
    </row>
    <row r="200" spans="1:14" ht="15" thickBot="1" x14ac:dyDescent="0.25">
      <c r="B200" s="250" t="s">
        <v>172</v>
      </c>
      <c r="C200" s="250">
        <v>20</v>
      </c>
      <c r="D200" s="250" t="s">
        <v>11</v>
      </c>
      <c r="E200" s="250" t="s">
        <v>169</v>
      </c>
      <c r="F200" s="250">
        <v>1</v>
      </c>
      <c r="G200" s="250">
        <v>2</v>
      </c>
      <c r="H200" s="250"/>
      <c r="I200" s="249">
        <f>I197</f>
        <v>250</v>
      </c>
      <c r="J200" s="250">
        <f>F200*G200*I200</f>
        <v>500</v>
      </c>
      <c r="K200" s="250">
        <v>9.7999999999999997E-4</v>
      </c>
      <c r="L200" s="250">
        <f t="shared" si="35"/>
        <v>0.49</v>
      </c>
      <c r="N200" s="206"/>
    </row>
    <row r="201" spans="1:14" ht="15" thickBot="1" x14ac:dyDescent="0.25">
      <c r="E201" s="206"/>
      <c r="J201" s="206"/>
      <c r="L201" s="200">
        <f>SUM(L196:L200)</f>
        <v>7.4300000000000006</v>
      </c>
      <c r="N201" s="206"/>
    </row>
    <row r="202" spans="1:14" hidden="1" x14ac:dyDescent="0.2">
      <c r="E202" s="206"/>
      <c r="J202" s="206"/>
      <c r="N202" s="206"/>
    </row>
    <row r="203" spans="1:14" hidden="1" x14ac:dyDescent="0.2">
      <c r="A203" s="39" t="s">
        <v>91</v>
      </c>
      <c r="B203" s="39" t="s">
        <v>171</v>
      </c>
      <c r="C203" s="39">
        <v>45</v>
      </c>
      <c r="D203" s="39" t="s">
        <v>11</v>
      </c>
      <c r="E203" s="39" t="s">
        <v>169</v>
      </c>
      <c r="F203" s="39">
        <v>1</v>
      </c>
      <c r="G203" s="39">
        <v>2</v>
      </c>
      <c r="H203" s="39"/>
      <c r="I203" s="39">
        <v>0</v>
      </c>
      <c r="J203" s="39">
        <f>F203*G203*I203</f>
        <v>0</v>
      </c>
      <c r="K203" s="39">
        <f>2/1000</f>
        <v>2E-3</v>
      </c>
      <c r="L203" s="39">
        <f>J203*K203</f>
        <v>0</v>
      </c>
      <c r="N203" s="206"/>
    </row>
    <row r="204" spans="1:14" hidden="1" x14ac:dyDescent="0.2">
      <c r="A204" s="39"/>
      <c r="B204" s="39" t="s">
        <v>172</v>
      </c>
      <c r="C204" s="39">
        <v>43</v>
      </c>
      <c r="D204" s="39" t="s">
        <v>11</v>
      </c>
      <c r="E204" s="39" t="s">
        <v>169</v>
      </c>
      <c r="F204" s="39">
        <v>1</v>
      </c>
      <c r="G204" s="39">
        <v>2</v>
      </c>
      <c r="H204" s="39"/>
      <c r="I204" s="39">
        <v>0</v>
      </c>
      <c r="J204" s="39">
        <f>F204*G204*I204</f>
        <v>0</v>
      </c>
      <c r="K204" s="39">
        <f>2/1000</f>
        <v>2E-3</v>
      </c>
      <c r="L204" s="39">
        <f t="shared" ref="L204" si="36">J204*K204</f>
        <v>0</v>
      </c>
      <c r="N204" s="206"/>
    </row>
    <row r="205" spans="1:14" hidden="1" x14ac:dyDescent="0.2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>
        <f>SUM(L203:L204)</f>
        <v>0</v>
      </c>
      <c r="N205" s="206"/>
    </row>
    <row r="206" spans="1:14" x14ac:dyDescent="0.2">
      <c r="E206" s="206"/>
      <c r="J206" s="206"/>
      <c r="N206" s="206"/>
    </row>
    <row r="207" spans="1:14" x14ac:dyDescent="0.2">
      <c r="E207" s="206"/>
      <c r="J207" s="206"/>
      <c r="N207" s="206"/>
    </row>
    <row r="208" spans="1:14" hidden="1" x14ac:dyDescent="0.2">
      <c r="A208" s="206" t="s">
        <v>92</v>
      </c>
      <c r="B208" s="206" t="s">
        <v>173</v>
      </c>
      <c r="C208" s="206">
        <v>140</v>
      </c>
      <c r="D208" s="206" t="s">
        <v>11</v>
      </c>
      <c r="E208" s="206" t="s">
        <v>168</v>
      </c>
      <c r="F208" s="206">
        <v>1</v>
      </c>
      <c r="G208" s="206">
        <v>2</v>
      </c>
      <c r="I208" s="206">
        <v>100</v>
      </c>
      <c r="J208" s="206">
        <f t="shared" ref="J208:J213" si="37">F208*G208*I208</f>
        <v>200</v>
      </c>
      <c r="K208" s="206">
        <f>2/1000</f>
        <v>2E-3</v>
      </c>
      <c r="L208" s="206">
        <f t="shared" ref="L208:L213" si="38">J208*K208</f>
        <v>0.4</v>
      </c>
      <c r="N208" s="206"/>
    </row>
    <row r="209" spans="1:14" hidden="1" x14ac:dyDescent="0.2">
      <c r="B209" s="206" t="s">
        <v>119</v>
      </c>
      <c r="C209" s="206">
        <v>20</v>
      </c>
      <c r="D209" s="206" t="s">
        <v>11</v>
      </c>
      <c r="E209" s="206" t="s">
        <v>65</v>
      </c>
      <c r="F209" s="206">
        <v>2</v>
      </c>
      <c r="G209" s="206">
        <v>4</v>
      </c>
      <c r="I209" s="206">
        <v>100</v>
      </c>
      <c r="J209" s="206">
        <f t="shared" si="37"/>
        <v>800</v>
      </c>
      <c r="K209" s="206">
        <v>1.2199999999999999E-3</v>
      </c>
      <c r="L209" s="206">
        <f t="shared" si="38"/>
        <v>0.97599999999999998</v>
      </c>
      <c r="N209" s="206"/>
    </row>
    <row r="210" spans="1:14" hidden="1" x14ac:dyDescent="0.2">
      <c r="B210" s="206" t="s">
        <v>174</v>
      </c>
      <c r="C210" s="206">
        <v>30</v>
      </c>
      <c r="D210" s="206" t="s">
        <v>11</v>
      </c>
      <c r="E210" s="206" t="s">
        <v>65</v>
      </c>
      <c r="F210" s="206">
        <v>4</v>
      </c>
      <c r="G210" s="206">
        <v>4</v>
      </c>
      <c r="I210" s="206">
        <v>100</v>
      </c>
      <c r="J210" s="206">
        <f t="shared" si="37"/>
        <v>1600</v>
      </c>
      <c r="K210" s="206">
        <v>1.2199999999999999E-3</v>
      </c>
      <c r="L210" s="206">
        <f t="shared" si="38"/>
        <v>1.952</v>
      </c>
      <c r="N210" s="206"/>
    </row>
    <row r="211" spans="1:14" hidden="1" x14ac:dyDescent="0.2">
      <c r="B211" s="206" t="s">
        <v>195</v>
      </c>
      <c r="C211" s="206">
        <v>18</v>
      </c>
      <c r="D211" s="206" t="s">
        <v>11</v>
      </c>
      <c r="E211" s="206" t="s">
        <v>169</v>
      </c>
      <c r="F211" s="206">
        <v>1</v>
      </c>
      <c r="G211" s="206">
        <v>2</v>
      </c>
      <c r="I211" s="206">
        <v>100</v>
      </c>
      <c r="J211" s="206">
        <f t="shared" si="37"/>
        <v>200</v>
      </c>
      <c r="K211" s="206">
        <v>1.2199999999999999E-3</v>
      </c>
      <c r="L211" s="206">
        <f t="shared" si="38"/>
        <v>0.24399999999999999</v>
      </c>
      <c r="N211" s="206"/>
    </row>
    <row r="212" spans="1:14" hidden="1" x14ac:dyDescent="0.2">
      <c r="B212" s="206" t="s">
        <v>205</v>
      </c>
      <c r="D212" s="206" t="s">
        <v>11</v>
      </c>
      <c r="E212" s="206" t="s">
        <v>169</v>
      </c>
      <c r="F212" s="206">
        <v>1</v>
      </c>
      <c r="G212" s="206">
        <v>2</v>
      </c>
      <c r="I212" s="206">
        <v>100</v>
      </c>
      <c r="J212" s="206">
        <f t="shared" si="37"/>
        <v>200</v>
      </c>
      <c r="K212" s="206">
        <v>1.2199999999999999E-3</v>
      </c>
      <c r="L212" s="206">
        <f t="shared" si="38"/>
        <v>0.24399999999999999</v>
      </c>
      <c r="N212" s="206"/>
    </row>
    <row r="213" spans="1:14" ht="15" hidden="1" thickBot="1" x14ac:dyDescent="0.25">
      <c r="B213" s="206" t="s">
        <v>172</v>
      </c>
      <c r="C213" s="206">
        <v>43</v>
      </c>
      <c r="D213" s="206" t="s">
        <v>11</v>
      </c>
      <c r="E213" s="206" t="s">
        <v>169</v>
      </c>
      <c r="F213" s="206">
        <v>1</v>
      </c>
      <c r="G213" s="206">
        <v>2</v>
      </c>
      <c r="I213" s="206">
        <v>100</v>
      </c>
      <c r="J213" s="206">
        <f t="shared" si="37"/>
        <v>200</v>
      </c>
      <c r="K213" s="206">
        <f>2/1000</f>
        <v>2E-3</v>
      </c>
      <c r="L213" s="206">
        <f t="shared" si="38"/>
        <v>0.4</v>
      </c>
      <c r="N213" s="206"/>
    </row>
    <row r="214" spans="1:14" ht="15" hidden="1" thickBot="1" x14ac:dyDescent="0.25">
      <c r="E214" s="206"/>
      <c r="J214" s="206"/>
      <c r="L214" s="202">
        <f>SUM(L208:L213)</f>
        <v>4.2160000000000002</v>
      </c>
      <c r="N214" s="206"/>
    </row>
    <row r="215" spans="1:14" hidden="1" x14ac:dyDescent="0.2">
      <c r="E215" s="206"/>
      <c r="J215" s="206"/>
      <c r="N215" s="206"/>
    </row>
    <row r="216" spans="1:14" hidden="1" x14ac:dyDescent="0.2">
      <c r="A216" s="39" t="s">
        <v>93</v>
      </c>
      <c r="B216" s="39" t="s">
        <v>175</v>
      </c>
      <c r="C216" s="39">
        <v>40</v>
      </c>
      <c r="D216" s="39" t="s">
        <v>11</v>
      </c>
      <c r="E216" s="39" t="s">
        <v>169</v>
      </c>
      <c r="F216" s="39">
        <v>1</v>
      </c>
      <c r="G216" s="39">
        <v>2</v>
      </c>
      <c r="H216" s="39"/>
      <c r="I216" s="39">
        <v>0</v>
      </c>
      <c r="J216" s="39">
        <f>F216*G216*I216</f>
        <v>0</v>
      </c>
      <c r="K216" s="39">
        <f>2/1000</f>
        <v>2E-3</v>
      </c>
      <c r="L216" s="39">
        <f t="shared" ref="L216:L217" si="39">J216*K216</f>
        <v>0</v>
      </c>
    </row>
    <row r="217" spans="1:14" hidden="1" x14ac:dyDescent="0.2">
      <c r="A217" s="39"/>
      <c r="B217" s="39" t="s">
        <v>176</v>
      </c>
      <c r="C217" s="39">
        <v>15</v>
      </c>
      <c r="D217" s="39" t="s">
        <v>11</v>
      </c>
      <c r="E217" s="39" t="s">
        <v>65</v>
      </c>
      <c r="F217" s="39">
        <v>1</v>
      </c>
      <c r="G217" s="39">
        <v>2</v>
      </c>
      <c r="H217" s="39"/>
      <c r="I217" s="39">
        <v>0</v>
      </c>
      <c r="J217" s="39">
        <f>F217*G217*I217</f>
        <v>0</v>
      </c>
      <c r="K217" s="39">
        <v>1.2199999999999999E-3</v>
      </c>
      <c r="L217" s="39">
        <f t="shared" si="39"/>
        <v>0</v>
      </c>
      <c r="N217" s="211"/>
    </row>
    <row r="218" spans="1:14" hidden="1" x14ac:dyDescent="0.2">
      <c r="A218" s="39"/>
      <c r="B218" s="39"/>
      <c r="C218" s="39"/>
      <c r="D218" s="39"/>
      <c r="E218" s="40"/>
      <c r="F218" s="39"/>
      <c r="G218" s="39"/>
      <c r="H218" s="39"/>
      <c r="I218" s="39"/>
      <c r="J218" s="39"/>
      <c r="K218" s="39"/>
      <c r="L218" s="39">
        <f>SUM(L216:L217)</f>
        <v>0</v>
      </c>
      <c r="N218" s="211"/>
    </row>
    <row r="219" spans="1:14" hidden="1" x14ac:dyDescent="0.2">
      <c r="A219" s="39"/>
      <c r="B219" s="39"/>
      <c r="C219" s="39"/>
      <c r="D219" s="39"/>
      <c r="E219" s="40"/>
      <c r="F219" s="39"/>
      <c r="G219" s="39"/>
      <c r="H219" s="39"/>
      <c r="I219" s="39"/>
      <c r="J219" s="39"/>
      <c r="K219" s="39"/>
      <c r="L219" s="39"/>
      <c r="N219" s="211"/>
    </row>
    <row r="220" spans="1:14" hidden="1" x14ac:dyDescent="0.2">
      <c r="A220" s="39" t="s">
        <v>94</v>
      </c>
      <c r="B220" s="39" t="s">
        <v>120</v>
      </c>
      <c r="C220" s="39">
        <v>69</v>
      </c>
      <c r="D220" s="39" t="s">
        <v>11</v>
      </c>
      <c r="E220" s="39" t="s">
        <v>169</v>
      </c>
      <c r="F220" s="39">
        <v>1</v>
      </c>
      <c r="G220" s="39">
        <v>2</v>
      </c>
      <c r="H220" s="39"/>
      <c r="I220" s="39">
        <v>0</v>
      </c>
      <c r="J220" s="39">
        <f>F220*G220*I220</f>
        <v>0</v>
      </c>
      <c r="K220" s="39">
        <f>2/1000</f>
        <v>2E-3</v>
      </c>
      <c r="L220" s="39">
        <f t="shared" ref="L220" si="40">J220*K220</f>
        <v>0</v>
      </c>
      <c r="N220" s="211"/>
    </row>
    <row r="221" spans="1:14" hidden="1" x14ac:dyDescent="0.2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N221" s="211"/>
    </row>
    <row r="222" spans="1:14" x14ac:dyDescent="0.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N222" s="211"/>
    </row>
    <row r="223" spans="1:14" x14ac:dyDescent="0.2">
      <c r="E223" s="206"/>
      <c r="J223" s="206"/>
      <c r="N223" s="211"/>
    </row>
    <row r="224" spans="1:14" ht="18.75" thickBot="1" x14ac:dyDescent="0.25">
      <c r="A224" s="39"/>
      <c r="B224" s="41"/>
      <c r="C224" s="41"/>
      <c r="D224" s="41"/>
      <c r="E224" s="41"/>
      <c r="F224" s="349" t="s">
        <v>177</v>
      </c>
      <c r="G224" s="349"/>
      <c r="H224" s="349"/>
      <c r="I224" s="349"/>
      <c r="J224" s="350"/>
      <c r="N224" s="211"/>
    </row>
    <row r="225" spans="1:14" ht="33" x14ac:dyDescent="0.2">
      <c r="A225" s="166" t="s">
        <v>33</v>
      </c>
      <c r="B225" s="167"/>
      <c r="C225" s="346"/>
      <c r="D225" s="347"/>
      <c r="E225" s="167" t="s">
        <v>19</v>
      </c>
      <c r="F225" s="22" t="s">
        <v>178</v>
      </c>
      <c r="G225" s="24" t="s">
        <v>179</v>
      </c>
      <c r="H225" s="24" t="s">
        <v>180</v>
      </c>
      <c r="I225" s="2" t="s">
        <v>167</v>
      </c>
      <c r="J225" s="28" t="s">
        <v>166</v>
      </c>
      <c r="K225" s="215" t="s">
        <v>2</v>
      </c>
      <c r="L225" s="2" t="s">
        <v>3</v>
      </c>
      <c r="N225" s="211"/>
    </row>
    <row r="226" spans="1:14" ht="16.5" thickBot="1" x14ac:dyDescent="0.25">
      <c r="A226" s="44"/>
      <c r="B226" s="45"/>
      <c r="C226" s="46"/>
      <c r="D226" s="47"/>
      <c r="E226" s="48"/>
      <c r="F226" s="6"/>
      <c r="G226" s="23"/>
      <c r="H226" s="6"/>
      <c r="I226" s="6" t="s">
        <v>60</v>
      </c>
      <c r="J226" s="19" t="s">
        <v>60</v>
      </c>
      <c r="K226" s="18" t="s">
        <v>62</v>
      </c>
      <c r="L226" s="6" t="s">
        <v>7</v>
      </c>
      <c r="N226" s="211"/>
    </row>
    <row r="227" spans="1:14" ht="15" thickBot="1" x14ac:dyDescent="0.25">
      <c r="A227" s="206" t="s">
        <v>90</v>
      </c>
      <c r="B227" s="147" t="s">
        <v>197</v>
      </c>
      <c r="E227" s="206"/>
      <c r="F227" s="208">
        <f>G163</f>
        <v>25</v>
      </c>
      <c r="G227" s="206">
        <v>4</v>
      </c>
      <c r="H227" s="206">
        <v>1</v>
      </c>
      <c r="I227" s="206">
        <v>50</v>
      </c>
      <c r="J227" s="206">
        <f>2*I227*F227*G227/H227</f>
        <v>10000</v>
      </c>
      <c r="K227" s="250">
        <v>2.1000000000000001E-4</v>
      </c>
      <c r="L227" s="201">
        <f>K227*J227</f>
        <v>2.1</v>
      </c>
      <c r="N227" s="211"/>
    </row>
    <row r="228" spans="1:14" x14ac:dyDescent="0.2">
      <c r="B228" s="147"/>
      <c r="E228" s="206"/>
      <c r="J228" s="206"/>
      <c r="N228" s="211"/>
    </row>
    <row r="229" spans="1:14" hidden="1" x14ac:dyDescent="0.2">
      <c r="B229" s="147"/>
      <c r="E229" s="206"/>
      <c r="J229" s="206"/>
      <c r="N229" s="211"/>
    </row>
    <row r="230" spans="1:14" hidden="1" x14ac:dyDescent="0.2">
      <c r="A230" s="39" t="s">
        <v>91</v>
      </c>
      <c r="B230" s="147" t="s">
        <v>197</v>
      </c>
      <c r="C230" s="39"/>
      <c r="D230" s="39"/>
      <c r="E230" s="39"/>
      <c r="F230" s="50">
        <f>G170</f>
        <v>0</v>
      </c>
      <c r="G230" s="39">
        <v>4</v>
      </c>
      <c r="H230" s="39">
        <v>1</v>
      </c>
      <c r="I230" s="39">
        <v>0</v>
      </c>
      <c r="J230" s="39">
        <f>2*I230*F230*G230/H230</f>
        <v>0</v>
      </c>
      <c r="K230" s="39">
        <f>0.22/1000</f>
        <v>2.2000000000000001E-4</v>
      </c>
      <c r="L230" s="39">
        <f>K230*J230</f>
        <v>0</v>
      </c>
      <c r="N230" s="211"/>
    </row>
    <row r="231" spans="1:14" hidden="1" x14ac:dyDescent="0.2">
      <c r="B231" s="147"/>
      <c r="E231" s="206"/>
      <c r="J231" s="206"/>
      <c r="N231" s="211"/>
    </row>
    <row r="232" spans="1:14" x14ac:dyDescent="0.2">
      <c r="B232" s="147"/>
      <c r="E232" s="206"/>
      <c r="J232" s="206"/>
      <c r="N232" s="211"/>
    </row>
    <row r="233" spans="1:14" ht="15" hidden="1" thickBot="1" x14ac:dyDescent="0.25">
      <c r="A233" s="206" t="s">
        <v>92</v>
      </c>
      <c r="B233" s="147" t="s">
        <v>197</v>
      </c>
      <c r="D233" s="39"/>
      <c r="E233" s="206"/>
      <c r="F233" s="208">
        <f>G175</f>
        <v>17.149999999999999</v>
      </c>
      <c r="G233" s="206">
        <v>4</v>
      </c>
      <c r="H233" s="206">
        <v>1</v>
      </c>
      <c r="I233" s="206">
        <v>50</v>
      </c>
      <c r="J233" s="206">
        <f>2*I233*F233*G233/H233</f>
        <v>6859.9999999999991</v>
      </c>
      <c r="K233" s="206">
        <f>0.22/1000</f>
        <v>2.2000000000000001E-4</v>
      </c>
      <c r="L233" s="203">
        <f>K233*J233</f>
        <v>1.5091999999999999</v>
      </c>
      <c r="N233" s="211"/>
    </row>
    <row r="234" spans="1:14" hidden="1" x14ac:dyDescent="0.2">
      <c r="B234" s="147"/>
      <c r="D234" s="39"/>
      <c r="E234" s="206"/>
      <c r="J234" s="206"/>
      <c r="N234" s="211"/>
    </row>
    <row r="235" spans="1:14" hidden="1" x14ac:dyDescent="0.2">
      <c r="D235" s="39"/>
      <c r="E235" s="206"/>
      <c r="J235" s="206"/>
      <c r="N235" s="211"/>
    </row>
    <row r="236" spans="1:14" hidden="1" x14ac:dyDescent="0.2">
      <c r="A236" s="39" t="s">
        <v>93</v>
      </c>
      <c r="B236" s="39" t="s">
        <v>197</v>
      </c>
      <c r="C236" s="39"/>
      <c r="D236" s="39"/>
      <c r="E236" s="39"/>
      <c r="F236" s="50">
        <f>G183</f>
        <v>0</v>
      </c>
      <c r="G236" s="39">
        <v>4</v>
      </c>
      <c r="H236" s="39">
        <v>1</v>
      </c>
      <c r="I236" s="39">
        <v>0</v>
      </c>
      <c r="J236" s="50">
        <f>2*I236*F236*G236/H236</f>
        <v>0</v>
      </c>
      <c r="K236" s="39">
        <f>0.22/1000</f>
        <v>2.2000000000000001E-4</v>
      </c>
      <c r="L236" s="39">
        <f>K236*J236</f>
        <v>0</v>
      </c>
      <c r="N236" s="211"/>
    </row>
    <row r="237" spans="1:14" hidden="1" x14ac:dyDescent="0.2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N237" s="211"/>
    </row>
    <row r="238" spans="1:14" hidden="1" x14ac:dyDescent="0.2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N238" s="211"/>
    </row>
    <row r="239" spans="1:14" hidden="1" x14ac:dyDescent="0.2">
      <c r="A239" s="39" t="s">
        <v>94</v>
      </c>
      <c r="B239" s="39" t="s">
        <v>197</v>
      </c>
      <c r="C239" s="39"/>
      <c r="D239" s="39"/>
      <c r="E239" s="39"/>
      <c r="F239" s="50">
        <f>G188</f>
        <v>0</v>
      </c>
      <c r="G239" s="39">
        <v>4</v>
      </c>
      <c r="H239" s="39">
        <v>1</v>
      </c>
      <c r="I239" s="39">
        <v>0</v>
      </c>
      <c r="J239" s="39">
        <f>2*I239*F239*G239/H239</f>
        <v>0</v>
      </c>
      <c r="K239" s="39">
        <f>0.22/1000</f>
        <v>2.2000000000000001E-4</v>
      </c>
      <c r="L239" s="39">
        <f>K239*J239</f>
        <v>0</v>
      </c>
      <c r="N239" s="211"/>
    </row>
    <row r="240" spans="1:14" x14ac:dyDescent="0.2">
      <c r="A240" s="39"/>
      <c r="B240" s="39"/>
      <c r="C240" s="39"/>
      <c r="D240" s="39"/>
      <c r="E240" s="39"/>
      <c r="F240" s="50"/>
      <c r="G240" s="39"/>
      <c r="H240" s="39"/>
      <c r="I240" s="39"/>
      <c r="J240" s="39"/>
      <c r="K240" s="39"/>
      <c r="L240" s="39"/>
      <c r="N240" s="211"/>
    </row>
    <row r="241" spans="1:14" x14ac:dyDescent="0.2">
      <c r="A241" s="39"/>
      <c r="B241" s="39"/>
      <c r="C241" s="39"/>
      <c r="D241" s="39"/>
      <c r="E241" s="39"/>
      <c r="F241" s="50"/>
      <c r="G241" s="39"/>
      <c r="H241" s="39"/>
      <c r="I241" s="39"/>
      <c r="J241" s="39"/>
      <c r="K241" s="39"/>
      <c r="L241" s="39"/>
      <c r="N241" s="211"/>
    </row>
    <row r="242" spans="1:14" ht="15.75" thickBot="1" x14ac:dyDescent="0.25">
      <c r="B242" s="351" t="s">
        <v>116</v>
      </c>
      <c r="C242" s="351"/>
      <c r="D242" s="351"/>
      <c r="E242" s="351"/>
      <c r="F242" s="351"/>
      <c r="G242" s="351"/>
      <c r="H242" s="351"/>
      <c r="I242" s="351"/>
      <c r="J242" s="206"/>
      <c r="N242" s="206"/>
    </row>
    <row r="243" spans="1:14" ht="28.5" customHeight="1" thickBot="1" x14ac:dyDescent="0.25">
      <c r="B243" s="209" t="s">
        <v>211</v>
      </c>
      <c r="C243" s="340" t="s">
        <v>214</v>
      </c>
      <c r="D243" s="341"/>
      <c r="E243" s="89" t="s">
        <v>212</v>
      </c>
      <c r="F243" s="33" t="s">
        <v>215</v>
      </c>
      <c r="G243" s="33" t="s">
        <v>216</v>
      </c>
      <c r="H243" s="89" t="s">
        <v>213</v>
      </c>
      <c r="I243" s="33" t="s">
        <v>210</v>
      </c>
      <c r="L243" s="33" t="s">
        <v>97</v>
      </c>
      <c r="N243" s="206"/>
    </row>
    <row r="244" spans="1:14" x14ac:dyDescent="0.2">
      <c r="A244" s="206" t="s">
        <v>90</v>
      </c>
      <c r="B244" s="208">
        <f>L15</f>
        <v>1098.0268639999999</v>
      </c>
      <c r="C244" s="352">
        <f>L168</f>
        <v>58.262500000000003</v>
      </c>
      <c r="D244" s="352"/>
      <c r="E244" s="90">
        <f>L51+L84+L90</f>
        <v>77.139600000000002</v>
      </c>
      <c r="F244" s="206">
        <f>L201</f>
        <v>7.4300000000000006</v>
      </c>
      <c r="G244" s="13">
        <f>L227</f>
        <v>2.1</v>
      </c>
      <c r="H244" s="94">
        <f>J131</f>
        <v>20.779666666666664</v>
      </c>
      <c r="I244" s="208">
        <f>L103</f>
        <v>22.56</v>
      </c>
      <c r="J244" s="173">
        <f>E244+B244+I244</f>
        <v>1197.7264639999999</v>
      </c>
      <c r="L244" s="206">
        <f>G163</f>
        <v>25</v>
      </c>
      <c r="N244" s="206"/>
    </row>
    <row r="245" spans="1:14" x14ac:dyDescent="0.2">
      <c r="A245" s="206" t="s">
        <v>91</v>
      </c>
      <c r="B245" s="208">
        <f>L22</f>
        <v>0</v>
      </c>
      <c r="C245" s="339">
        <f>L173</f>
        <v>0</v>
      </c>
      <c r="D245" s="339"/>
      <c r="E245" s="90">
        <f>L57+L96</f>
        <v>0</v>
      </c>
      <c r="F245" s="206">
        <f>L205</f>
        <v>0</v>
      </c>
      <c r="G245" s="13">
        <f>L230</f>
        <v>0</v>
      </c>
      <c r="H245" s="95">
        <f>J137</f>
        <v>0</v>
      </c>
      <c r="I245" s="208">
        <v>0</v>
      </c>
      <c r="J245" s="173">
        <f t="shared" ref="J245:J247" si="41">E245+B245</f>
        <v>0</v>
      </c>
      <c r="L245" s="208">
        <f>G170</f>
        <v>0</v>
      </c>
      <c r="N245" s="206"/>
    </row>
    <row r="246" spans="1:14" x14ac:dyDescent="0.2">
      <c r="A246" s="211" t="s">
        <v>92</v>
      </c>
      <c r="B246" s="208" t="e">
        <f>L30</f>
        <v>#REF!</v>
      </c>
      <c r="C246" s="339">
        <f>L180</f>
        <v>53.247320000000002</v>
      </c>
      <c r="D246" s="339"/>
      <c r="E246" s="90" t="e">
        <f>L66</f>
        <v>#REF!</v>
      </c>
      <c r="F246" s="13">
        <f>L214</f>
        <v>4.2160000000000002</v>
      </c>
      <c r="G246" s="13">
        <f>L233</f>
        <v>1.5091999999999999</v>
      </c>
      <c r="H246" s="95">
        <f>J146</f>
        <v>13.542108766666667</v>
      </c>
      <c r="I246" s="208" t="e">
        <f>L108</f>
        <v>#REF!</v>
      </c>
      <c r="J246" s="173" t="e">
        <f>E246+B246+I246</f>
        <v>#REF!</v>
      </c>
      <c r="L246" s="208">
        <f>G175</f>
        <v>17.149999999999999</v>
      </c>
      <c r="N246" s="206"/>
    </row>
    <row r="247" spans="1:14" x14ac:dyDescent="0.2">
      <c r="A247" s="206" t="s">
        <v>93</v>
      </c>
      <c r="B247" s="208">
        <f>L34</f>
        <v>0</v>
      </c>
      <c r="C247" s="339">
        <f>L186</f>
        <v>0</v>
      </c>
      <c r="D247" s="339"/>
      <c r="E247" s="90">
        <f>L71</f>
        <v>0</v>
      </c>
      <c r="F247" s="206">
        <f>L218</f>
        <v>0</v>
      </c>
      <c r="G247" s="13">
        <f>L236</f>
        <v>0</v>
      </c>
      <c r="H247" s="95">
        <f>J152</f>
        <v>0</v>
      </c>
      <c r="I247" s="38">
        <f>L112</f>
        <v>0</v>
      </c>
      <c r="J247" s="173">
        <f t="shared" si="41"/>
        <v>0</v>
      </c>
      <c r="L247" s="208">
        <f>G183</f>
        <v>0</v>
      </c>
      <c r="N247" s="206"/>
    </row>
    <row r="248" spans="1:14" x14ac:dyDescent="0.2">
      <c r="A248" s="206" t="s">
        <v>94</v>
      </c>
      <c r="B248" s="208">
        <f>L40</f>
        <v>0</v>
      </c>
      <c r="C248" s="339">
        <f>L191</f>
        <v>0</v>
      </c>
      <c r="D248" s="339"/>
      <c r="E248" s="90">
        <f>L78</f>
        <v>0</v>
      </c>
      <c r="F248" s="206">
        <f>L220</f>
        <v>0</v>
      </c>
      <c r="G248" s="13">
        <f>L239</f>
        <v>0</v>
      </c>
      <c r="H248" s="95">
        <f>J157</f>
        <v>0</v>
      </c>
      <c r="I248" s="38">
        <f>L116</f>
        <v>0</v>
      </c>
      <c r="L248" s="208">
        <f>G188</f>
        <v>0</v>
      </c>
      <c r="N248" s="206"/>
    </row>
    <row r="249" spans="1:14" ht="15" thickBot="1" x14ac:dyDescent="0.25">
      <c r="C249" s="337"/>
      <c r="D249" s="337"/>
      <c r="E249" s="91"/>
      <c r="H249" s="96"/>
      <c r="I249" s="12"/>
      <c r="L249" s="32"/>
      <c r="N249" s="206"/>
    </row>
    <row r="250" spans="1:14" ht="29.25" customHeight="1" thickBot="1" x14ac:dyDescent="0.25">
      <c r="B250" s="209" t="s">
        <v>211</v>
      </c>
      <c r="C250" s="340" t="s">
        <v>214</v>
      </c>
      <c r="D250" s="341"/>
      <c r="E250" s="89" t="s">
        <v>212</v>
      </c>
      <c r="F250" s="33" t="s">
        <v>215</v>
      </c>
      <c r="G250" s="33" t="s">
        <v>216</v>
      </c>
      <c r="H250" s="89" t="s">
        <v>213</v>
      </c>
      <c r="I250" s="33" t="s">
        <v>210</v>
      </c>
      <c r="L250" s="33" t="s">
        <v>97</v>
      </c>
      <c r="N250" s="206"/>
    </row>
    <row r="251" spans="1:14" x14ac:dyDescent="0.2">
      <c r="A251" s="206" t="s">
        <v>239</v>
      </c>
      <c r="B251" s="208">
        <f>B244+B245</f>
        <v>1098.0268639999999</v>
      </c>
      <c r="C251" s="339">
        <f>C244+C245</f>
        <v>58.262500000000003</v>
      </c>
      <c r="D251" s="337"/>
      <c r="E251" s="90">
        <f>E244+E245</f>
        <v>77.139600000000002</v>
      </c>
      <c r="F251" s="208">
        <f>F244+F245</f>
        <v>7.4300000000000006</v>
      </c>
      <c r="G251" s="208">
        <f>G244+G245</f>
        <v>2.1</v>
      </c>
      <c r="H251" s="94">
        <f>H244+H245</f>
        <v>20.779666666666664</v>
      </c>
      <c r="I251" s="208">
        <f>I244+I245</f>
        <v>22.56</v>
      </c>
      <c r="L251" s="208">
        <f>L244+L245</f>
        <v>25</v>
      </c>
      <c r="M251" s="208">
        <f>SUM(B251:I251)</f>
        <v>1286.2986306666664</v>
      </c>
      <c r="N251" s="206"/>
    </row>
    <row r="252" spans="1:14" x14ac:dyDescent="0.2">
      <c r="A252" s="206" t="s">
        <v>240</v>
      </c>
      <c r="B252" s="208" t="e">
        <f>B246+B247</f>
        <v>#REF!</v>
      </c>
      <c r="C252" s="342">
        <f>C246+C247</f>
        <v>53.247320000000002</v>
      </c>
      <c r="D252" s="343"/>
      <c r="E252" s="90" t="e">
        <f>E246+E247</f>
        <v>#REF!</v>
      </c>
      <c r="F252" s="208">
        <f>F246+F247</f>
        <v>4.2160000000000002</v>
      </c>
      <c r="G252" s="208">
        <f>G246+G247</f>
        <v>1.5091999999999999</v>
      </c>
      <c r="H252" s="97">
        <f>H246+H247</f>
        <v>13.542108766666667</v>
      </c>
      <c r="I252" s="208" t="e">
        <f>I246+I247</f>
        <v>#REF!</v>
      </c>
      <c r="L252" s="208">
        <f>L246+L247</f>
        <v>17.149999999999999</v>
      </c>
      <c r="M252" s="208" t="e">
        <f>SUM(B252:I252)</f>
        <v>#REF!</v>
      </c>
      <c r="N252" s="206"/>
    </row>
    <row r="253" spans="1:14" x14ac:dyDescent="0.2">
      <c r="B253" s="208"/>
      <c r="C253" s="342"/>
      <c r="D253" s="343"/>
      <c r="E253" s="90"/>
      <c r="F253" s="208"/>
      <c r="G253" s="208"/>
      <c r="H253" s="97"/>
      <c r="I253" s="208"/>
      <c r="L253" s="208">
        <f>L246+L248</f>
        <v>17.149999999999999</v>
      </c>
      <c r="M253" s="208">
        <f>SUM(B253:I253)</f>
        <v>0</v>
      </c>
      <c r="N253" s="206"/>
    </row>
    <row r="254" spans="1:14" x14ac:dyDescent="0.2">
      <c r="C254" s="337"/>
      <c r="D254" s="337"/>
      <c r="E254" s="91"/>
      <c r="H254" s="32"/>
      <c r="I254" s="12"/>
      <c r="L254" s="32"/>
      <c r="N254" s="206"/>
    </row>
    <row r="255" spans="1:14" x14ac:dyDescent="0.2">
      <c r="B255" s="207">
        <f>B251/SUM(B251:H251)</f>
        <v>0.86887180414889442</v>
      </c>
      <c r="C255" s="338">
        <f>C251/SUM(B251:H251)</f>
        <v>4.6103283215505164E-2</v>
      </c>
      <c r="D255" s="338"/>
      <c r="E255" s="92">
        <f>E251/SUM(B251:H251)</f>
        <v>6.1040786542472122E-2</v>
      </c>
      <c r="F255" s="64">
        <f>F251/SUM(B251:H251)</f>
        <v>5.8793802924900817E-3</v>
      </c>
      <c r="G255" s="64">
        <f>G251/SUM(B251:H251)</f>
        <v>1.6617360180658373E-3</v>
      </c>
      <c r="H255" s="98">
        <f>H251/SUM(B251:H251)</f>
        <v>1.6443009782572415E-2</v>
      </c>
      <c r="I255" s="64">
        <f>I251/SUM(B251:H251)</f>
        <v>1.7851792651221565E-2</v>
      </c>
      <c r="N255" s="206"/>
    </row>
    <row r="256" spans="1:14" x14ac:dyDescent="0.2">
      <c r="B256" s="207" t="e">
        <f>B252/SUM(B252:H252)</f>
        <v>#REF!</v>
      </c>
      <c r="C256" s="338" t="e">
        <f>C252/SUM(B252:H252)</f>
        <v>#REF!</v>
      </c>
      <c r="D256" s="338"/>
      <c r="E256" s="92" t="e">
        <f>E252/SUM(B252:H252)</f>
        <v>#REF!</v>
      </c>
      <c r="F256" s="64" t="e">
        <f>F252/SUM(B252:H252)</f>
        <v>#REF!</v>
      </c>
      <c r="G256" s="64" t="e">
        <f>G252/SUM(B252:H252)</f>
        <v>#REF!</v>
      </c>
      <c r="H256" s="98" t="e">
        <f>H252/SUM(B252:H252)</f>
        <v>#REF!</v>
      </c>
      <c r="I256" s="64" t="e">
        <f>I252/SUM(B252:H252)</f>
        <v>#REF!</v>
      </c>
      <c r="N256" s="206"/>
    </row>
    <row r="257" spans="2:14" x14ac:dyDescent="0.2">
      <c r="B257" s="207" t="e">
        <f>B253/SUM(B253:H253)</f>
        <v>#DIV/0!</v>
      </c>
      <c r="C257" s="338" t="e">
        <f>C253/SUM(B253:H253)</f>
        <v>#DIV/0!</v>
      </c>
      <c r="D257" s="338"/>
      <c r="E257" s="92" t="e">
        <f>E253/SUM(B253:H253)</f>
        <v>#DIV/0!</v>
      </c>
      <c r="F257" s="64" t="e">
        <f>F253/SUM(B253:H253)</f>
        <v>#DIV/0!</v>
      </c>
      <c r="G257" s="64" t="e">
        <f>G253/SUM(B253:H253)</f>
        <v>#DIV/0!</v>
      </c>
      <c r="H257" s="98" t="e">
        <f>H253/SUM(B253:H253)</f>
        <v>#DIV/0!</v>
      </c>
      <c r="I257" s="64" t="e">
        <f>I253/SUM(B253:H253)</f>
        <v>#DIV/0!</v>
      </c>
      <c r="N257" s="206"/>
    </row>
    <row r="258" spans="2:14" x14ac:dyDescent="0.2">
      <c r="C258" s="93"/>
      <c r="D258" s="93"/>
      <c r="F258" s="337"/>
      <c r="G258" s="337"/>
      <c r="H258" s="337"/>
      <c r="I258" s="337"/>
      <c r="J258" s="32"/>
      <c r="N258" s="206"/>
    </row>
    <row r="259" spans="2:14" x14ac:dyDescent="0.2">
      <c r="C259" s="93"/>
      <c r="D259" s="93"/>
      <c r="F259" s="337"/>
      <c r="G259" s="337"/>
      <c r="H259" s="337"/>
      <c r="I259" s="337"/>
      <c r="J259" s="32"/>
      <c r="N259" s="206"/>
    </row>
    <row r="260" spans="2:14" x14ac:dyDescent="0.2">
      <c r="C260" s="93"/>
      <c r="D260" s="93"/>
      <c r="F260" s="337"/>
      <c r="G260" s="337"/>
      <c r="H260" s="337"/>
      <c r="I260" s="337"/>
      <c r="J260" s="32"/>
      <c r="N260" s="206"/>
    </row>
    <row r="261" spans="2:14" x14ac:dyDescent="0.2">
      <c r="C261" s="93"/>
      <c r="D261" s="93"/>
      <c r="F261" s="337"/>
      <c r="G261" s="337"/>
      <c r="H261" s="337"/>
      <c r="I261" s="337"/>
      <c r="J261" s="32"/>
      <c r="N261" s="206"/>
    </row>
    <row r="262" spans="2:14" x14ac:dyDescent="0.2">
      <c r="C262" s="93"/>
      <c r="D262" s="93"/>
      <c r="F262" s="337"/>
      <c r="G262" s="337"/>
      <c r="H262" s="337"/>
      <c r="I262" s="337"/>
      <c r="J262" s="32"/>
      <c r="N262" s="206"/>
    </row>
    <row r="263" spans="2:14" x14ac:dyDescent="0.2">
      <c r="C263" s="93"/>
      <c r="D263" s="93"/>
      <c r="F263" s="337"/>
      <c r="G263" s="337"/>
      <c r="H263" s="337"/>
      <c r="I263" s="337"/>
      <c r="J263" s="32"/>
      <c r="N263" s="206"/>
    </row>
    <row r="264" spans="2:14" x14ac:dyDescent="0.2">
      <c r="C264" s="93"/>
      <c r="D264" s="93"/>
      <c r="F264" s="337"/>
      <c r="G264" s="337"/>
      <c r="H264" s="337"/>
      <c r="I264" s="337"/>
      <c r="J264" s="32"/>
      <c r="N264" s="206"/>
    </row>
    <row r="265" spans="2:14" x14ac:dyDescent="0.2">
      <c r="C265" s="93"/>
      <c r="D265" s="93"/>
      <c r="J265" s="206"/>
      <c r="N265" s="206"/>
    </row>
    <row r="266" spans="2:14" x14ac:dyDescent="0.2">
      <c r="C266" s="93">
        <v>0</v>
      </c>
      <c r="D266" s="93"/>
      <c r="J266" s="206"/>
      <c r="N266" s="206"/>
    </row>
    <row r="267" spans="2:14" x14ac:dyDescent="0.2">
      <c r="C267" s="208">
        <f>SUM(B251:I251)</f>
        <v>1286.2986306666664</v>
      </c>
      <c r="D267" s="93"/>
      <c r="J267" s="206"/>
      <c r="N267" s="206"/>
    </row>
    <row r="268" spans="2:14" x14ac:dyDescent="0.2">
      <c r="C268" s="208" t="e">
        <f t="shared" ref="C268:C269" si="42">SUM(B252:I252)</f>
        <v>#REF!</v>
      </c>
      <c r="D268" s="93"/>
      <c r="J268" s="206"/>
      <c r="N268" s="206"/>
    </row>
    <row r="269" spans="2:14" x14ac:dyDescent="0.2">
      <c r="C269" s="208">
        <f t="shared" si="42"/>
        <v>0</v>
      </c>
      <c r="D269" s="93"/>
      <c r="J269" s="206"/>
      <c r="N269" s="206"/>
    </row>
    <row r="270" spans="2:14" x14ac:dyDescent="0.2">
      <c r="B270" s="208"/>
      <c r="C270" s="93">
        <v>0</v>
      </c>
      <c r="D270" s="93"/>
      <c r="J270" s="206"/>
      <c r="N270" s="206"/>
    </row>
    <row r="271" spans="2:14" x14ac:dyDescent="0.2">
      <c r="B271" s="208"/>
      <c r="C271" s="93"/>
      <c r="D271" s="93"/>
      <c r="E271" s="206"/>
      <c r="J271" s="206"/>
      <c r="N271" s="206"/>
    </row>
    <row r="272" spans="2:14" x14ac:dyDescent="0.2">
      <c r="C272" s="93"/>
      <c r="D272" s="93"/>
      <c r="E272" s="206"/>
      <c r="J272" s="206"/>
      <c r="N272" s="206"/>
    </row>
    <row r="273" spans="3:14" x14ac:dyDescent="0.2">
      <c r="C273" s="93"/>
      <c r="D273" s="93"/>
      <c r="E273" s="206"/>
      <c r="J273" s="206"/>
      <c r="N273" s="206"/>
    </row>
    <row r="274" spans="3:14" x14ac:dyDescent="0.2">
      <c r="C274" s="93"/>
      <c r="D274" s="93"/>
      <c r="E274" s="206"/>
      <c r="J274" s="206"/>
      <c r="N274" s="206"/>
    </row>
    <row r="275" spans="3:14" x14ac:dyDescent="0.2">
      <c r="C275" s="93"/>
      <c r="D275" s="93"/>
      <c r="E275" s="206"/>
      <c r="J275" s="206"/>
      <c r="N275" s="206"/>
    </row>
    <row r="276" spans="3:14" x14ac:dyDescent="0.2">
      <c r="C276" s="93"/>
      <c r="D276" s="93"/>
      <c r="E276" s="206"/>
      <c r="J276" s="206"/>
      <c r="N276" s="206"/>
    </row>
    <row r="277" spans="3:14" x14ac:dyDescent="0.2">
      <c r="C277" s="93"/>
      <c r="D277" s="93"/>
      <c r="E277" s="206"/>
      <c r="J277" s="206"/>
      <c r="N277" s="206"/>
    </row>
    <row r="278" spans="3:14" x14ac:dyDescent="0.2">
      <c r="C278" s="93"/>
      <c r="D278" s="93"/>
      <c r="E278" s="206"/>
      <c r="J278" s="206"/>
      <c r="N278" s="206"/>
    </row>
    <row r="279" spans="3:14" x14ac:dyDescent="0.2">
      <c r="C279" s="93"/>
      <c r="D279" s="93"/>
      <c r="E279" s="206"/>
      <c r="J279" s="206"/>
      <c r="N279" s="206"/>
    </row>
    <row r="280" spans="3:14" x14ac:dyDescent="0.2">
      <c r="E280" s="206"/>
      <c r="J280" s="206"/>
      <c r="N280" s="206"/>
    </row>
    <row r="281" spans="3:14" x14ac:dyDescent="0.2">
      <c r="E281" s="206"/>
      <c r="J281" s="206"/>
      <c r="N281" s="206"/>
    </row>
    <row r="282" spans="3:14" x14ac:dyDescent="0.2">
      <c r="E282" s="206"/>
      <c r="J282" s="206"/>
      <c r="N282" s="206"/>
    </row>
    <row r="283" spans="3:14" x14ac:dyDescent="0.2">
      <c r="E283" s="206"/>
      <c r="J283" s="206"/>
      <c r="N283" s="206"/>
    </row>
    <row r="284" spans="3:14" x14ac:dyDescent="0.2">
      <c r="E284" s="206"/>
      <c r="J284" s="206"/>
      <c r="N284" s="206"/>
    </row>
    <row r="285" spans="3:14" x14ac:dyDescent="0.2">
      <c r="E285" s="206"/>
      <c r="J285" s="206"/>
      <c r="N285" s="206"/>
    </row>
    <row r="286" spans="3:14" x14ac:dyDescent="0.2">
      <c r="E286" s="206"/>
      <c r="J286" s="206"/>
      <c r="N286" s="206"/>
    </row>
    <row r="287" spans="3:14" x14ac:dyDescent="0.2">
      <c r="E287" s="206"/>
      <c r="H287" s="208"/>
      <c r="I287" s="208"/>
      <c r="J287" s="208"/>
      <c r="N287" s="206"/>
    </row>
    <row r="288" spans="3:14" x14ac:dyDescent="0.2">
      <c r="E288" s="206"/>
      <c r="H288" s="208"/>
      <c r="I288" s="208"/>
      <c r="J288" s="208"/>
      <c r="N288" s="206"/>
    </row>
    <row r="289" spans="5:14" x14ac:dyDescent="0.2">
      <c r="E289" s="206"/>
      <c r="J289" s="206"/>
      <c r="N289" s="206"/>
    </row>
    <row r="290" spans="5:14" x14ac:dyDescent="0.2">
      <c r="E290" s="206"/>
      <c r="J290" s="206"/>
      <c r="N290" s="206"/>
    </row>
    <row r="291" spans="5:14" x14ac:dyDescent="0.2">
      <c r="E291" s="206"/>
      <c r="J291" s="206"/>
      <c r="N291" s="206"/>
    </row>
    <row r="292" spans="5:14" x14ac:dyDescent="0.2">
      <c r="E292" s="206"/>
      <c r="J292" s="206"/>
      <c r="N292" s="206"/>
    </row>
    <row r="293" spans="5:14" x14ac:dyDescent="0.2">
      <c r="E293" s="206"/>
      <c r="J293" s="206"/>
      <c r="N293" s="206"/>
    </row>
    <row r="294" spans="5:14" x14ac:dyDescent="0.2">
      <c r="E294" s="206"/>
      <c r="J294" s="206"/>
      <c r="N294" s="206"/>
    </row>
    <row r="295" spans="5:14" x14ac:dyDescent="0.2">
      <c r="E295" s="206"/>
      <c r="J295" s="206"/>
      <c r="N295" s="206"/>
    </row>
    <row r="296" spans="5:14" x14ac:dyDescent="0.2">
      <c r="E296" s="206"/>
      <c r="H296" s="32"/>
      <c r="J296" s="206"/>
      <c r="N296" s="206"/>
    </row>
    <row r="297" spans="5:14" x14ac:dyDescent="0.2">
      <c r="E297" s="206"/>
      <c r="H297" s="32"/>
      <c r="J297" s="206"/>
      <c r="N297" s="206"/>
    </row>
    <row r="298" spans="5:14" x14ac:dyDescent="0.2">
      <c r="E298" s="206"/>
      <c r="H298" s="32"/>
      <c r="J298" s="206"/>
      <c r="N298" s="206"/>
    </row>
    <row r="299" spans="5:14" x14ac:dyDescent="0.2">
      <c r="E299" s="206"/>
      <c r="J299" s="206"/>
      <c r="N299" s="206"/>
    </row>
    <row r="300" spans="5:14" x14ac:dyDescent="0.2">
      <c r="E300" s="206"/>
      <c r="J300" s="206"/>
      <c r="N300" s="206"/>
    </row>
    <row r="301" spans="5:14" x14ac:dyDescent="0.2">
      <c r="E301" s="206"/>
      <c r="J301" s="206"/>
      <c r="N301" s="206"/>
    </row>
    <row r="302" spans="5:14" x14ac:dyDescent="0.2">
      <c r="E302" s="206"/>
      <c r="J302" s="206"/>
      <c r="N302" s="206"/>
    </row>
    <row r="303" spans="5:14" x14ac:dyDescent="0.2">
      <c r="J303" s="206"/>
      <c r="N303" s="206"/>
    </row>
    <row r="304" spans="5:14" x14ac:dyDescent="0.2">
      <c r="J304" s="206"/>
      <c r="N304" s="206"/>
    </row>
    <row r="305" spans="10:14" x14ac:dyDescent="0.2">
      <c r="J305" s="206"/>
      <c r="N305" s="206"/>
    </row>
    <row r="306" spans="10:14" x14ac:dyDescent="0.2">
      <c r="J306" s="206"/>
      <c r="N306" s="206"/>
    </row>
    <row r="307" spans="10:14" x14ac:dyDescent="0.2">
      <c r="J307" s="206"/>
      <c r="N307" s="206"/>
    </row>
    <row r="308" spans="10:14" x14ac:dyDescent="0.2">
      <c r="J308" s="206"/>
      <c r="N308" s="206"/>
    </row>
    <row r="309" spans="10:14" x14ac:dyDescent="0.2">
      <c r="J309" s="206"/>
      <c r="N309" s="206"/>
    </row>
    <row r="310" spans="10:14" x14ac:dyDescent="0.2">
      <c r="J310" s="206"/>
      <c r="N310" s="206"/>
    </row>
    <row r="311" spans="10:14" x14ac:dyDescent="0.2">
      <c r="J311" s="206"/>
      <c r="N311" s="206"/>
    </row>
    <row r="312" spans="10:14" x14ac:dyDescent="0.2">
      <c r="J312" s="206"/>
      <c r="N312" s="206"/>
    </row>
    <row r="313" spans="10:14" x14ac:dyDescent="0.2">
      <c r="J313" s="206"/>
      <c r="N313" s="206"/>
    </row>
    <row r="314" spans="10:14" x14ac:dyDescent="0.2">
      <c r="J314" s="206"/>
      <c r="N314" s="206"/>
    </row>
    <row r="315" spans="10:14" x14ac:dyDescent="0.2">
      <c r="J315" s="206"/>
      <c r="N315" s="206"/>
    </row>
    <row r="316" spans="10:14" x14ac:dyDescent="0.2">
      <c r="J316" s="206"/>
      <c r="N316" s="206"/>
    </row>
    <row r="317" spans="10:14" x14ac:dyDescent="0.2">
      <c r="J317" s="206"/>
      <c r="N317" s="206"/>
    </row>
    <row r="318" spans="10:14" x14ac:dyDescent="0.2">
      <c r="J318" s="206"/>
      <c r="N318" s="206"/>
    </row>
    <row r="319" spans="10:14" x14ac:dyDescent="0.2">
      <c r="J319" s="206"/>
      <c r="N319" s="206"/>
    </row>
    <row r="320" spans="10:14" x14ac:dyDescent="0.2">
      <c r="J320" s="206"/>
      <c r="N320" s="206"/>
    </row>
    <row r="321" spans="10:14" x14ac:dyDescent="0.2">
      <c r="J321" s="206"/>
      <c r="N321" s="206"/>
    </row>
    <row r="322" spans="10:14" x14ac:dyDescent="0.2">
      <c r="J322" s="206"/>
      <c r="N322" s="206"/>
    </row>
    <row r="323" spans="10:14" x14ac:dyDescent="0.2">
      <c r="J323" s="206"/>
      <c r="N323" s="206"/>
    </row>
    <row r="324" spans="10:14" x14ac:dyDescent="0.2">
      <c r="J324" s="206"/>
      <c r="N324" s="206"/>
    </row>
    <row r="325" spans="10:14" x14ac:dyDescent="0.2">
      <c r="J325" s="206"/>
      <c r="N325" s="206"/>
    </row>
    <row r="326" spans="10:14" x14ac:dyDescent="0.2">
      <c r="J326" s="206"/>
      <c r="N326" s="206"/>
    </row>
    <row r="327" spans="10:14" x14ac:dyDescent="0.2">
      <c r="J327" s="206"/>
      <c r="N327" s="206"/>
    </row>
    <row r="328" spans="10:14" x14ac:dyDescent="0.2">
      <c r="J328" s="206"/>
      <c r="N328" s="206"/>
    </row>
    <row r="329" spans="10:14" x14ac:dyDescent="0.2">
      <c r="J329" s="206"/>
      <c r="N329" s="206"/>
    </row>
    <row r="330" spans="10:14" x14ac:dyDescent="0.2">
      <c r="J330" s="206"/>
      <c r="N330" s="206"/>
    </row>
    <row r="331" spans="10:14" x14ac:dyDescent="0.2">
      <c r="J331" s="206"/>
      <c r="N331" s="206"/>
    </row>
    <row r="332" spans="10:14" x14ac:dyDescent="0.2">
      <c r="J332" s="206"/>
      <c r="N332" s="206"/>
    </row>
    <row r="333" spans="10:14" x14ac:dyDescent="0.2">
      <c r="J333" s="206"/>
      <c r="N333" s="206"/>
    </row>
    <row r="334" spans="10:14" x14ac:dyDescent="0.2">
      <c r="J334" s="206"/>
      <c r="N334" s="206"/>
    </row>
    <row r="335" spans="10:14" x14ac:dyDescent="0.2">
      <c r="J335" s="206"/>
      <c r="N335" s="206"/>
    </row>
    <row r="336" spans="10:14" x14ac:dyDescent="0.2">
      <c r="J336" s="206"/>
      <c r="N336" s="206"/>
    </row>
    <row r="337" spans="10:14" x14ac:dyDescent="0.2">
      <c r="J337" s="206"/>
      <c r="N337" s="206"/>
    </row>
    <row r="338" spans="10:14" x14ac:dyDescent="0.2">
      <c r="J338" s="206"/>
      <c r="N338" s="206"/>
    </row>
    <row r="339" spans="10:14" x14ac:dyDescent="0.2">
      <c r="J339" s="206"/>
      <c r="N339" s="206"/>
    </row>
    <row r="340" spans="10:14" x14ac:dyDescent="0.2">
      <c r="J340" s="206"/>
      <c r="N340" s="206"/>
    </row>
    <row r="341" spans="10:14" x14ac:dyDescent="0.2">
      <c r="J341" s="206"/>
      <c r="N341" s="206"/>
    </row>
    <row r="342" spans="10:14" x14ac:dyDescent="0.2">
      <c r="J342" s="206"/>
      <c r="N342" s="206"/>
    </row>
    <row r="343" spans="10:14" x14ac:dyDescent="0.2">
      <c r="J343" s="206"/>
      <c r="N343" s="206"/>
    </row>
    <row r="344" spans="10:14" x14ac:dyDescent="0.2">
      <c r="J344" s="206"/>
      <c r="N344" s="206"/>
    </row>
    <row r="345" spans="10:14" x14ac:dyDescent="0.2">
      <c r="J345" s="206"/>
      <c r="N345" s="206"/>
    </row>
    <row r="346" spans="10:14" x14ac:dyDescent="0.2">
      <c r="J346" s="206"/>
      <c r="N346" s="206"/>
    </row>
    <row r="347" spans="10:14" x14ac:dyDescent="0.2">
      <c r="J347" s="206"/>
      <c r="N347" s="206"/>
    </row>
    <row r="348" spans="10:14" x14ac:dyDescent="0.2">
      <c r="J348" s="206"/>
      <c r="N348" s="206"/>
    </row>
    <row r="349" spans="10:14" x14ac:dyDescent="0.2">
      <c r="J349" s="206"/>
      <c r="N349" s="206"/>
    </row>
    <row r="350" spans="10:14" x14ac:dyDescent="0.2">
      <c r="J350" s="206"/>
      <c r="N350" s="206"/>
    </row>
    <row r="351" spans="10:14" x14ac:dyDescent="0.2">
      <c r="J351" s="206"/>
      <c r="N351" s="206"/>
    </row>
    <row r="352" spans="10:14" x14ac:dyDescent="0.2">
      <c r="J352" s="206"/>
      <c r="N352" s="206"/>
    </row>
    <row r="353" spans="10:14" x14ac:dyDescent="0.2">
      <c r="J353" s="206"/>
      <c r="N353" s="206"/>
    </row>
    <row r="354" spans="10:14" x14ac:dyDescent="0.2">
      <c r="J354" s="206"/>
      <c r="N354" s="206"/>
    </row>
    <row r="355" spans="10:14" x14ac:dyDescent="0.2">
      <c r="J355" s="206"/>
      <c r="N355" s="206"/>
    </row>
    <row r="356" spans="10:14" x14ac:dyDescent="0.2">
      <c r="J356" s="206"/>
      <c r="N356" s="206"/>
    </row>
    <row r="357" spans="10:14" x14ac:dyDescent="0.2">
      <c r="J357" s="206"/>
      <c r="N357" s="206"/>
    </row>
    <row r="358" spans="10:14" x14ac:dyDescent="0.2">
      <c r="J358" s="206"/>
      <c r="N358" s="206"/>
    </row>
    <row r="359" spans="10:14" x14ac:dyDescent="0.2">
      <c r="J359" s="206"/>
      <c r="N359" s="206"/>
    </row>
    <row r="360" spans="10:14" x14ac:dyDescent="0.2">
      <c r="J360" s="206"/>
      <c r="N360" s="206"/>
    </row>
    <row r="361" spans="10:14" x14ac:dyDescent="0.2">
      <c r="J361" s="206"/>
      <c r="N361" s="206"/>
    </row>
    <row r="362" spans="10:14" x14ac:dyDescent="0.2">
      <c r="J362" s="206"/>
      <c r="N362" s="206"/>
    </row>
    <row r="363" spans="10:14" x14ac:dyDescent="0.2">
      <c r="J363" s="206"/>
      <c r="N363" s="206"/>
    </row>
    <row r="364" spans="10:14" x14ac:dyDescent="0.2">
      <c r="J364" s="206"/>
      <c r="N364" s="206"/>
    </row>
    <row r="365" spans="10:14" x14ac:dyDescent="0.2">
      <c r="J365" s="206"/>
      <c r="N365" s="206"/>
    </row>
    <row r="366" spans="10:14" x14ac:dyDescent="0.2">
      <c r="J366" s="206"/>
      <c r="N366" s="206"/>
    </row>
    <row r="367" spans="10:14" x14ac:dyDescent="0.2">
      <c r="J367" s="206"/>
      <c r="N367" s="206"/>
    </row>
    <row r="368" spans="10:14" x14ac:dyDescent="0.2">
      <c r="J368" s="206"/>
      <c r="N368" s="206"/>
    </row>
    <row r="369" spans="10:14" x14ac:dyDescent="0.2">
      <c r="J369" s="206"/>
      <c r="N369" s="206"/>
    </row>
    <row r="370" spans="10:14" x14ac:dyDescent="0.2">
      <c r="J370" s="206"/>
      <c r="N370" s="206"/>
    </row>
    <row r="371" spans="10:14" x14ac:dyDescent="0.2">
      <c r="J371" s="206"/>
      <c r="N371" s="206"/>
    </row>
    <row r="372" spans="10:14" x14ac:dyDescent="0.2">
      <c r="J372" s="206"/>
      <c r="N372" s="206"/>
    </row>
    <row r="373" spans="10:14" x14ac:dyDescent="0.2">
      <c r="J373" s="206"/>
      <c r="N373" s="206"/>
    </row>
    <row r="374" spans="10:14" x14ac:dyDescent="0.2">
      <c r="J374" s="206"/>
      <c r="N374" s="206"/>
    </row>
    <row r="375" spans="10:14" x14ac:dyDescent="0.2">
      <c r="J375" s="206"/>
      <c r="N375" s="206"/>
    </row>
    <row r="376" spans="10:14" x14ac:dyDescent="0.2">
      <c r="J376" s="206"/>
      <c r="N376" s="206"/>
    </row>
    <row r="377" spans="10:14" x14ac:dyDescent="0.2">
      <c r="J377" s="206"/>
      <c r="N377" s="206"/>
    </row>
    <row r="378" spans="10:14" x14ac:dyDescent="0.2">
      <c r="J378" s="206"/>
      <c r="N378" s="206"/>
    </row>
    <row r="379" spans="10:14" x14ac:dyDescent="0.2">
      <c r="J379" s="206"/>
      <c r="N379" s="206"/>
    </row>
    <row r="380" spans="10:14" x14ac:dyDescent="0.2">
      <c r="J380" s="206"/>
      <c r="N380" s="206"/>
    </row>
    <row r="381" spans="10:14" x14ac:dyDescent="0.2">
      <c r="J381" s="206"/>
      <c r="N381" s="206"/>
    </row>
    <row r="382" spans="10:14" x14ac:dyDescent="0.2">
      <c r="J382" s="206"/>
      <c r="N382" s="206"/>
    </row>
    <row r="383" spans="10:14" x14ac:dyDescent="0.2">
      <c r="J383" s="206"/>
      <c r="N383" s="206"/>
    </row>
    <row r="384" spans="10:14" x14ac:dyDescent="0.2">
      <c r="J384" s="206"/>
      <c r="N384" s="206"/>
    </row>
    <row r="385" spans="10:14" x14ac:dyDescent="0.2">
      <c r="J385" s="206"/>
      <c r="N385" s="206"/>
    </row>
    <row r="386" spans="10:14" x14ac:dyDescent="0.2">
      <c r="J386" s="206"/>
      <c r="N386" s="206"/>
    </row>
    <row r="387" spans="10:14" x14ac:dyDescent="0.2">
      <c r="J387" s="206"/>
      <c r="N387" s="206"/>
    </row>
    <row r="388" spans="10:14" x14ac:dyDescent="0.2">
      <c r="J388" s="206"/>
      <c r="N388" s="206"/>
    </row>
    <row r="389" spans="10:14" x14ac:dyDescent="0.2">
      <c r="J389" s="206"/>
      <c r="N389" s="206"/>
    </row>
    <row r="390" spans="10:14" x14ac:dyDescent="0.2">
      <c r="J390" s="206"/>
      <c r="N390" s="206"/>
    </row>
    <row r="391" spans="10:14" x14ac:dyDescent="0.2">
      <c r="J391" s="206"/>
      <c r="N391" s="206"/>
    </row>
    <row r="392" spans="10:14" x14ac:dyDescent="0.2">
      <c r="J392" s="206"/>
      <c r="N392" s="206"/>
    </row>
    <row r="393" spans="10:14" x14ac:dyDescent="0.2">
      <c r="J393" s="206"/>
      <c r="N393" s="206"/>
    </row>
    <row r="394" spans="10:14" x14ac:dyDescent="0.2">
      <c r="J394" s="206"/>
      <c r="N394" s="206"/>
    </row>
    <row r="395" spans="10:14" x14ac:dyDescent="0.2">
      <c r="J395" s="206"/>
      <c r="N395" s="206"/>
    </row>
    <row r="396" spans="10:14" x14ac:dyDescent="0.2">
      <c r="J396" s="206"/>
      <c r="N396" s="206"/>
    </row>
    <row r="397" spans="10:14" x14ac:dyDescent="0.2">
      <c r="J397" s="206"/>
      <c r="N397" s="206"/>
    </row>
    <row r="398" spans="10:14" x14ac:dyDescent="0.2">
      <c r="J398" s="206"/>
      <c r="N398" s="206"/>
    </row>
    <row r="399" spans="10:14" x14ac:dyDescent="0.2">
      <c r="J399" s="206"/>
      <c r="N399" s="206"/>
    </row>
    <row r="400" spans="10:14" x14ac:dyDescent="0.2">
      <c r="J400" s="206"/>
      <c r="N400" s="206"/>
    </row>
    <row r="401" spans="10:14" x14ac:dyDescent="0.2">
      <c r="J401" s="206"/>
      <c r="N401" s="206"/>
    </row>
    <row r="402" spans="10:14" x14ac:dyDescent="0.2">
      <c r="J402" s="206"/>
      <c r="N402" s="206"/>
    </row>
    <row r="403" spans="10:14" x14ac:dyDescent="0.2">
      <c r="J403" s="206"/>
      <c r="N403" s="206"/>
    </row>
    <row r="404" spans="10:14" x14ac:dyDescent="0.2">
      <c r="J404" s="206"/>
      <c r="N404" s="206"/>
    </row>
    <row r="405" spans="10:14" x14ac:dyDescent="0.2">
      <c r="J405" s="206"/>
      <c r="N405" s="206"/>
    </row>
    <row r="406" spans="10:14" x14ac:dyDescent="0.2">
      <c r="J406" s="206"/>
      <c r="N406" s="206"/>
    </row>
    <row r="407" spans="10:14" x14ac:dyDescent="0.2">
      <c r="J407" s="206"/>
      <c r="N407" s="206"/>
    </row>
    <row r="408" spans="10:14" x14ac:dyDescent="0.2">
      <c r="J408" s="206"/>
      <c r="N408" s="206"/>
    </row>
    <row r="409" spans="10:14" x14ac:dyDescent="0.2">
      <c r="J409" s="206"/>
      <c r="N409" s="206"/>
    </row>
    <row r="410" spans="10:14" x14ac:dyDescent="0.2">
      <c r="J410" s="206"/>
      <c r="N410" s="206"/>
    </row>
    <row r="411" spans="10:14" x14ac:dyDescent="0.2">
      <c r="J411" s="206"/>
      <c r="N411" s="206"/>
    </row>
    <row r="412" spans="10:14" x14ac:dyDescent="0.2">
      <c r="J412" s="206"/>
      <c r="N412" s="206"/>
    </row>
    <row r="413" spans="10:14" x14ac:dyDescent="0.2">
      <c r="J413" s="206"/>
      <c r="N413" s="206"/>
    </row>
    <row r="414" spans="10:14" x14ac:dyDescent="0.2">
      <c r="J414" s="206"/>
      <c r="N414" s="206"/>
    </row>
    <row r="415" spans="10:14" x14ac:dyDescent="0.2">
      <c r="J415" s="206"/>
      <c r="N415" s="206"/>
    </row>
    <row r="416" spans="10:14" x14ac:dyDescent="0.2">
      <c r="J416" s="206"/>
      <c r="N416" s="206"/>
    </row>
    <row r="417" spans="10:14" x14ac:dyDescent="0.2">
      <c r="J417" s="206"/>
      <c r="N417" s="206"/>
    </row>
    <row r="418" spans="10:14" x14ac:dyDescent="0.2">
      <c r="J418" s="206"/>
      <c r="N418" s="206"/>
    </row>
    <row r="419" spans="10:14" x14ac:dyDescent="0.2">
      <c r="J419" s="206"/>
      <c r="N419" s="206"/>
    </row>
    <row r="420" spans="10:14" x14ac:dyDescent="0.2">
      <c r="J420" s="206"/>
      <c r="N420" s="206"/>
    </row>
    <row r="421" spans="10:14" x14ac:dyDescent="0.2">
      <c r="J421" s="206"/>
      <c r="N421" s="206"/>
    </row>
    <row r="422" spans="10:14" x14ac:dyDescent="0.2">
      <c r="J422" s="206"/>
      <c r="N422" s="206"/>
    </row>
    <row r="423" spans="10:14" x14ac:dyDescent="0.2">
      <c r="J423" s="206"/>
      <c r="N423" s="206"/>
    </row>
    <row r="424" spans="10:14" x14ac:dyDescent="0.2">
      <c r="J424" s="206"/>
      <c r="N424" s="206"/>
    </row>
    <row r="425" spans="10:14" x14ac:dyDescent="0.2">
      <c r="J425" s="206"/>
      <c r="N425" s="206"/>
    </row>
    <row r="426" spans="10:14" x14ac:dyDescent="0.2">
      <c r="J426" s="206"/>
      <c r="N426" s="206"/>
    </row>
    <row r="427" spans="10:14" x14ac:dyDescent="0.2">
      <c r="J427" s="206"/>
      <c r="N427" s="206"/>
    </row>
    <row r="428" spans="10:14" x14ac:dyDescent="0.2">
      <c r="J428" s="206"/>
      <c r="N428" s="206"/>
    </row>
    <row r="429" spans="10:14" x14ac:dyDescent="0.2">
      <c r="J429" s="206"/>
      <c r="N429" s="206"/>
    </row>
    <row r="430" spans="10:14" x14ac:dyDescent="0.2">
      <c r="J430" s="206"/>
      <c r="N430" s="206"/>
    </row>
    <row r="431" spans="10:14" x14ac:dyDescent="0.2">
      <c r="J431" s="206"/>
      <c r="N431" s="206"/>
    </row>
    <row r="432" spans="10:14" x14ac:dyDescent="0.2">
      <c r="J432" s="206"/>
      <c r="N432" s="206"/>
    </row>
    <row r="433" spans="10:14" x14ac:dyDescent="0.2">
      <c r="J433" s="206"/>
      <c r="N433" s="206"/>
    </row>
    <row r="434" spans="10:14" x14ac:dyDescent="0.2">
      <c r="J434" s="206"/>
      <c r="N434" s="206"/>
    </row>
    <row r="435" spans="10:14" x14ac:dyDescent="0.2">
      <c r="J435" s="206"/>
      <c r="N435" s="206"/>
    </row>
    <row r="436" spans="10:14" x14ac:dyDescent="0.2">
      <c r="J436" s="206"/>
      <c r="N436" s="206"/>
    </row>
    <row r="437" spans="10:14" x14ac:dyDescent="0.2">
      <c r="J437" s="206"/>
      <c r="N437" s="206"/>
    </row>
    <row r="438" spans="10:14" x14ac:dyDescent="0.2">
      <c r="J438" s="206"/>
      <c r="N438" s="206"/>
    </row>
    <row r="439" spans="10:14" x14ac:dyDescent="0.2">
      <c r="J439" s="206"/>
      <c r="N439" s="206"/>
    </row>
    <row r="440" spans="10:14" x14ac:dyDescent="0.2">
      <c r="J440" s="206"/>
      <c r="N440" s="206"/>
    </row>
    <row r="441" spans="10:14" x14ac:dyDescent="0.2">
      <c r="J441" s="206"/>
      <c r="N441" s="206"/>
    </row>
    <row r="442" spans="10:14" x14ac:dyDescent="0.2">
      <c r="J442" s="206"/>
      <c r="N442" s="206"/>
    </row>
    <row r="443" spans="10:14" x14ac:dyDescent="0.2">
      <c r="J443" s="206"/>
      <c r="N443" s="206"/>
    </row>
    <row r="444" spans="10:14" x14ac:dyDescent="0.2">
      <c r="J444" s="206"/>
      <c r="N444" s="206"/>
    </row>
    <row r="445" spans="10:14" x14ac:dyDescent="0.2">
      <c r="J445" s="206"/>
      <c r="N445" s="206"/>
    </row>
    <row r="446" spans="10:14" x14ac:dyDescent="0.2">
      <c r="J446" s="206"/>
      <c r="N446" s="206"/>
    </row>
    <row r="447" spans="10:14" x14ac:dyDescent="0.2">
      <c r="J447" s="206"/>
      <c r="N447" s="206"/>
    </row>
    <row r="448" spans="10:14" x14ac:dyDescent="0.2">
      <c r="J448" s="206"/>
      <c r="N448" s="206"/>
    </row>
    <row r="449" spans="10:14" x14ac:dyDescent="0.2">
      <c r="J449" s="206"/>
      <c r="N449" s="206"/>
    </row>
    <row r="450" spans="10:14" x14ac:dyDescent="0.2">
      <c r="J450" s="206"/>
      <c r="N450" s="206"/>
    </row>
    <row r="451" spans="10:14" x14ac:dyDescent="0.2">
      <c r="J451" s="206"/>
      <c r="N451" s="206"/>
    </row>
    <row r="452" spans="10:14" x14ac:dyDescent="0.2">
      <c r="J452" s="206"/>
      <c r="N452" s="206"/>
    </row>
    <row r="453" spans="10:14" x14ac:dyDescent="0.2">
      <c r="J453" s="206"/>
      <c r="N453" s="206"/>
    </row>
    <row r="454" spans="10:14" x14ac:dyDescent="0.2">
      <c r="J454" s="206"/>
      <c r="N454" s="206"/>
    </row>
    <row r="455" spans="10:14" x14ac:dyDescent="0.2">
      <c r="J455" s="206"/>
      <c r="N455" s="206"/>
    </row>
    <row r="456" spans="10:14" x14ac:dyDescent="0.2">
      <c r="J456" s="206"/>
      <c r="N456" s="206"/>
    </row>
    <row r="457" spans="10:14" x14ac:dyDescent="0.2">
      <c r="J457" s="206"/>
      <c r="N457" s="206"/>
    </row>
    <row r="458" spans="10:14" x14ac:dyDescent="0.2">
      <c r="J458" s="206"/>
      <c r="N458" s="206"/>
    </row>
    <row r="459" spans="10:14" x14ac:dyDescent="0.2">
      <c r="J459" s="206"/>
      <c r="N459" s="206"/>
    </row>
    <row r="460" spans="10:14" x14ac:dyDescent="0.2">
      <c r="J460" s="206"/>
      <c r="N460" s="206"/>
    </row>
    <row r="461" spans="10:14" x14ac:dyDescent="0.2">
      <c r="J461" s="206"/>
      <c r="N461" s="206"/>
    </row>
    <row r="462" spans="10:14" x14ac:dyDescent="0.2">
      <c r="J462" s="206"/>
      <c r="N462" s="206"/>
    </row>
    <row r="463" spans="10:14" x14ac:dyDescent="0.2">
      <c r="J463" s="206"/>
      <c r="N463" s="206"/>
    </row>
    <row r="464" spans="10:14" x14ac:dyDescent="0.2">
      <c r="J464" s="206"/>
      <c r="N464" s="206"/>
    </row>
    <row r="465" spans="10:14" x14ac:dyDescent="0.2">
      <c r="J465" s="206"/>
      <c r="N465" s="206"/>
    </row>
    <row r="466" spans="10:14" x14ac:dyDescent="0.2">
      <c r="J466" s="206"/>
      <c r="N466" s="206"/>
    </row>
    <row r="467" spans="10:14" x14ac:dyDescent="0.2">
      <c r="J467" s="206"/>
      <c r="N467" s="206"/>
    </row>
    <row r="468" spans="10:14" x14ac:dyDescent="0.2">
      <c r="J468" s="206"/>
      <c r="N468" s="206"/>
    </row>
    <row r="469" spans="10:14" x14ac:dyDescent="0.2">
      <c r="J469" s="206"/>
      <c r="N469" s="206"/>
    </row>
    <row r="470" spans="10:14" x14ac:dyDescent="0.2">
      <c r="J470" s="206"/>
      <c r="N470" s="206"/>
    </row>
    <row r="471" spans="10:14" x14ac:dyDescent="0.2">
      <c r="J471" s="206"/>
      <c r="N471" s="206"/>
    </row>
    <row r="472" spans="10:14" x14ac:dyDescent="0.2">
      <c r="J472" s="206"/>
      <c r="N472" s="206"/>
    </row>
    <row r="473" spans="10:14" x14ac:dyDescent="0.2">
      <c r="J473" s="206"/>
      <c r="N473" s="206"/>
    </row>
    <row r="474" spans="10:14" x14ac:dyDescent="0.2">
      <c r="J474" s="206"/>
      <c r="N474" s="206"/>
    </row>
    <row r="475" spans="10:14" x14ac:dyDescent="0.2">
      <c r="J475" s="206"/>
      <c r="N475" s="206"/>
    </row>
    <row r="476" spans="10:14" x14ac:dyDescent="0.2">
      <c r="J476" s="206"/>
      <c r="N476" s="206"/>
    </row>
    <row r="477" spans="10:14" x14ac:dyDescent="0.2">
      <c r="J477" s="206"/>
      <c r="N477" s="206"/>
    </row>
    <row r="478" spans="10:14" x14ac:dyDescent="0.2">
      <c r="J478" s="206"/>
      <c r="N478" s="206"/>
    </row>
    <row r="479" spans="10:14" x14ac:dyDescent="0.2">
      <c r="J479" s="206"/>
      <c r="N479" s="206"/>
    </row>
    <row r="480" spans="10:14" x14ac:dyDescent="0.2">
      <c r="J480" s="206"/>
      <c r="N480" s="206"/>
    </row>
    <row r="481" spans="10:14" x14ac:dyDescent="0.2">
      <c r="J481" s="206"/>
      <c r="N481" s="206"/>
    </row>
    <row r="482" spans="10:14" x14ac:dyDescent="0.2">
      <c r="J482" s="206"/>
      <c r="N482" s="206"/>
    </row>
    <row r="483" spans="10:14" x14ac:dyDescent="0.2">
      <c r="J483" s="206"/>
      <c r="N483" s="206"/>
    </row>
    <row r="484" spans="10:14" x14ac:dyDescent="0.2">
      <c r="J484" s="206"/>
      <c r="N484" s="206"/>
    </row>
    <row r="485" spans="10:14" x14ac:dyDescent="0.2">
      <c r="J485" s="206"/>
      <c r="N485" s="206"/>
    </row>
    <row r="486" spans="10:14" x14ac:dyDescent="0.2">
      <c r="J486" s="206"/>
      <c r="N486" s="206"/>
    </row>
    <row r="487" spans="10:14" x14ac:dyDescent="0.2">
      <c r="J487" s="206"/>
      <c r="N487" s="206"/>
    </row>
    <row r="488" spans="10:14" x14ac:dyDescent="0.2">
      <c r="J488" s="206"/>
      <c r="N488" s="206"/>
    </row>
    <row r="489" spans="10:14" x14ac:dyDescent="0.2">
      <c r="J489" s="206"/>
      <c r="N489" s="206"/>
    </row>
    <row r="490" spans="10:14" x14ac:dyDescent="0.2">
      <c r="J490" s="206"/>
      <c r="N490" s="206"/>
    </row>
    <row r="491" spans="10:14" x14ac:dyDescent="0.2">
      <c r="J491" s="206"/>
      <c r="N491" s="206"/>
    </row>
    <row r="492" spans="10:14" x14ac:dyDescent="0.2">
      <c r="J492" s="206"/>
      <c r="N492" s="206"/>
    </row>
    <row r="493" spans="10:14" x14ac:dyDescent="0.2">
      <c r="J493" s="206"/>
      <c r="N493" s="206"/>
    </row>
    <row r="494" spans="10:14" x14ac:dyDescent="0.2">
      <c r="J494" s="206"/>
      <c r="N494" s="206"/>
    </row>
    <row r="495" spans="10:14" x14ac:dyDescent="0.2">
      <c r="J495" s="206"/>
      <c r="N495" s="206"/>
    </row>
    <row r="496" spans="10:14" x14ac:dyDescent="0.2">
      <c r="J496" s="206"/>
      <c r="N496" s="206"/>
    </row>
    <row r="497" spans="10:14" x14ac:dyDescent="0.2">
      <c r="J497" s="206"/>
      <c r="N497" s="206"/>
    </row>
    <row r="498" spans="10:14" x14ac:dyDescent="0.2">
      <c r="J498" s="206"/>
      <c r="N498" s="206"/>
    </row>
    <row r="499" spans="10:14" x14ac:dyDescent="0.2">
      <c r="J499" s="206"/>
      <c r="N499" s="206"/>
    </row>
    <row r="500" spans="10:14" x14ac:dyDescent="0.2">
      <c r="J500" s="206"/>
      <c r="N500" s="206"/>
    </row>
    <row r="501" spans="10:14" x14ac:dyDescent="0.2">
      <c r="J501" s="206"/>
      <c r="N501" s="206"/>
    </row>
    <row r="502" spans="10:14" x14ac:dyDescent="0.2">
      <c r="J502" s="206"/>
      <c r="N502" s="206"/>
    </row>
    <row r="503" spans="10:14" x14ac:dyDescent="0.2">
      <c r="J503" s="206"/>
      <c r="N503" s="206"/>
    </row>
    <row r="504" spans="10:14" x14ac:dyDescent="0.2">
      <c r="J504" s="206"/>
      <c r="N504" s="206"/>
    </row>
    <row r="505" spans="10:14" x14ac:dyDescent="0.2">
      <c r="J505" s="206"/>
      <c r="N505" s="206"/>
    </row>
    <row r="506" spans="10:14" x14ac:dyDescent="0.2">
      <c r="J506" s="206"/>
      <c r="N506" s="206"/>
    </row>
    <row r="507" spans="10:14" x14ac:dyDescent="0.2">
      <c r="J507" s="206"/>
      <c r="N507" s="206"/>
    </row>
    <row r="508" spans="10:14" x14ac:dyDescent="0.2">
      <c r="J508" s="206"/>
      <c r="N508" s="206"/>
    </row>
    <row r="509" spans="10:14" x14ac:dyDescent="0.2">
      <c r="J509" s="206"/>
      <c r="N509" s="206"/>
    </row>
    <row r="510" spans="10:14" x14ac:dyDescent="0.2">
      <c r="J510" s="206"/>
      <c r="N510" s="206"/>
    </row>
    <row r="511" spans="10:14" x14ac:dyDescent="0.2">
      <c r="J511" s="206"/>
      <c r="N511" s="206"/>
    </row>
    <row r="512" spans="10:14" x14ac:dyDescent="0.2">
      <c r="J512" s="206"/>
      <c r="N512" s="206"/>
    </row>
    <row r="513" spans="10:14" x14ac:dyDescent="0.2">
      <c r="J513" s="206"/>
      <c r="N513" s="206"/>
    </row>
    <row r="514" spans="10:14" x14ac:dyDescent="0.2">
      <c r="J514" s="206"/>
      <c r="N514" s="206"/>
    </row>
    <row r="515" spans="10:14" x14ac:dyDescent="0.2">
      <c r="J515" s="206"/>
      <c r="N515" s="206"/>
    </row>
    <row r="516" spans="10:14" x14ac:dyDescent="0.2">
      <c r="J516" s="206"/>
      <c r="N516" s="206"/>
    </row>
    <row r="517" spans="10:14" x14ac:dyDescent="0.2">
      <c r="J517" s="206"/>
      <c r="N517" s="206"/>
    </row>
    <row r="518" spans="10:14" x14ac:dyDescent="0.2">
      <c r="J518" s="206"/>
      <c r="N518" s="206"/>
    </row>
    <row r="519" spans="10:14" x14ac:dyDescent="0.2">
      <c r="J519" s="206"/>
      <c r="N519" s="206"/>
    </row>
    <row r="520" spans="10:14" x14ac:dyDescent="0.2">
      <c r="J520" s="206"/>
      <c r="N520" s="206"/>
    </row>
    <row r="521" spans="10:14" x14ac:dyDescent="0.2">
      <c r="J521" s="206"/>
      <c r="N521" s="206"/>
    </row>
    <row r="522" spans="10:14" x14ac:dyDescent="0.2">
      <c r="J522" s="206"/>
      <c r="N522" s="206"/>
    </row>
    <row r="523" spans="10:14" x14ac:dyDescent="0.2">
      <c r="J523" s="206"/>
      <c r="N523" s="206"/>
    </row>
    <row r="524" spans="10:14" x14ac:dyDescent="0.2">
      <c r="J524" s="206"/>
      <c r="N524" s="206"/>
    </row>
    <row r="525" spans="10:14" x14ac:dyDescent="0.2">
      <c r="J525" s="206"/>
      <c r="N525" s="206"/>
    </row>
    <row r="526" spans="10:14" x14ac:dyDescent="0.2">
      <c r="J526" s="206"/>
      <c r="N526" s="206"/>
    </row>
    <row r="527" spans="10:14" x14ac:dyDescent="0.2">
      <c r="J527" s="206"/>
      <c r="N527" s="206"/>
    </row>
    <row r="528" spans="10:14" x14ac:dyDescent="0.2">
      <c r="J528" s="206"/>
      <c r="N528" s="206"/>
    </row>
    <row r="529" spans="10:14" x14ac:dyDescent="0.2">
      <c r="J529" s="206"/>
      <c r="N529" s="206"/>
    </row>
    <row r="530" spans="10:14" x14ac:dyDescent="0.2">
      <c r="J530" s="206"/>
      <c r="N530" s="206"/>
    </row>
    <row r="531" spans="10:14" x14ac:dyDescent="0.2">
      <c r="J531" s="206"/>
      <c r="N531" s="206"/>
    </row>
    <row r="532" spans="10:14" x14ac:dyDescent="0.2">
      <c r="J532" s="206"/>
      <c r="N532" s="206"/>
    </row>
    <row r="533" spans="10:14" x14ac:dyDescent="0.2">
      <c r="J533" s="206"/>
      <c r="N533" s="206"/>
    </row>
    <row r="534" spans="10:14" x14ac:dyDescent="0.2">
      <c r="J534" s="206"/>
      <c r="N534" s="206"/>
    </row>
    <row r="535" spans="10:14" x14ac:dyDescent="0.2">
      <c r="J535" s="206"/>
      <c r="N535" s="206"/>
    </row>
    <row r="536" spans="10:14" x14ac:dyDescent="0.2">
      <c r="J536" s="206"/>
      <c r="N536" s="206"/>
    </row>
    <row r="537" spans="10:14" x14ac:dyDescent="0.2">
      <c r="J537" s="206"/>
      <c r="N537" s="206"/>
    </row>
    <row r="538" spans="10:14" x14ac:dyDescent="0.2">
      <c r="J538" s="206"/>
      <c r="N538" s="206"/>
    </row>
    <row r="539" spans="10:14" x14ac:dyDescent="0.2">
      <c r="J539" s="206"/>
      <c r="N539" s="206"/>
    </row>
    <row r="540" spans="10:14" x14ac:dyDescent="0.2">
      <c r="J540" s="206"/>
      <c r="N540" s="206"/>
    </row>
    <row r="541" spans="10:14" x14ac:dyDescent="0.2">
      <c r="J541" s="206"/>
      <c r="N541" s="206"/>
    </row>
    <row r="542" spans="10:14" x14ac:dyDescent="0.2">
      <c r="J542" s="206"/>
      <c r="N542" s="206"/>
    </row>
    <row r="543" spans="10:14" x14ac:dyDescent="0.2">
      <c r="J543" s="206"/>
      <c r="N543" s="206"/>
    </row>
    <row r="544" spans="10:14" x14ac:dyDescent="0.2">
      <c r="J544" s="206"/>
      <c r="N544" s="206"/>
    </row>
    <row r="545" spans="10:14" x14ac:dyDescent="0.2">
      <c r="J545" s="206"/>
      <c r="N545" s="206"/>
    </row>
    <row r="546" spans="10:14" x14ac:dyDescent="0.2">
      <c r="J546" s="206"/>
      <c r="N546" s="206"/>
    </row>
    <row r="547" spans="10:14" x14ac:dyDescent="0.2">
      <c r="J547" s="206"/>
      <c r="N547" s="206"/>
    </row>
    <row r="548" spans="10:14" x14ac:dyDescent="0.2">
      <c r="J548" s="206"/>
      <c r="N548" s="206"/>
    </row>
    <row r="549" spans="10:14" x14ac:dyDescent="0.2">
      <c r="J549" s="206"/>
      <c r="N549" s="206"/>
    </row>
    <row r="550" spans="10:14" x14ac:dyDescent="0.2">
      <c r="J550" s="206"/>
      <c r="N550" s="206"/>
    </row>
    <row r="551" spans="10:14" x14ac:dyDescent="0.2">
      <c r="J551" s="206"/>
      <c r="N551" s="206"/>
    </row>
    <row r="552" spans="10:14" x14ac:dyDescent="0.2">
      <c r="J552" s="206"/>
      <c r="N552" s="206"/>
    </row>
    <row r="553" spans="10:14" x14ac:dyDescent="0.2">
      <c r="J553" s="206"/>
      <c r="N553" s="206"/>
    </row>
    <row r="554" spans="10:14" x14ac:dyDescent="0.2">
      <c r="J554" s="206"/>
      <c r="N554" s="206"/>
    </row>
    <row r="555" spans="10:14" x14ac:dyDescent="0.2">
      <c r="J555" s="206"/>
      <c r="N555" s="206"/>
    </row>
    <row r="556" spans="10:14" x14ac:dyDescent="0.2">
      <c r="J556" s="206"/>
      <c r="N556" s="206"/>
    </row>
    <row r="557" spans="10:14" x14ac:dyDescent="0.2">
      <c r="J557" s="206"/>
      <c r="N557" s="206"/>
    </row>
    <row r="558" spans="10:14" x14ac:dyDescent="0.2">
      <c r="J558" s="206"/>
      <c r="N558" s="206"/>
    </row>
    <row r="559" spans="10:14" x14ac:dyDescent="0.2">
      <c r="J559" s="206"/>
      <c r="N559" s="206"/>
    </row>
    <row r="560" spans="10:14" x14ac:dyDescent="0.2">
      <c r="J560" s="206"/>
      <c r="N560" s="206"/>
    </row>
    <row r="561" spans="10:14" x14ac:dyDescent="0.2">
      <c r="J561" s="206"/>
      <c r="N561" s="206"/>
    </row>
    <row r="562" spans="10:14" x14ac:dyDescent="0.2">
      <c r="J562" s="206"/>
      <c r="N562" s="206"/>
    </row>
    <row r="563" spans="10:14" x14ac:dyDescent="0.2">
      <c r="J563" s="206"/>
      <c r="N563" s="206"/>
    </row>
    <row r="564" spans="10:14" x14ac:dyDescent="0.2">
      <c r="J564" s="206"/>
      <c r="N564" s="206"/>
    </row>
    <row r="565" spans="10:14" x14ac:dyDescent="0.2">
      <c r="J565" s="206"/>
      <c r="N565" s="206"/>
    </row>
    <row r="566" spans="10:14" x14ac:dyDescent="0.2">
      <c r="J566" s="206"/>
      <c r="N566" s="206"/>
    </row>
    <row r="567" spans="10:14" x14ac:dyDescent="0.2">
      <c r="J567" s="206"/>
      <c r="N567" s="206"/>
    </row>
    <row r="568" spans="10:14" x14ac:dyDescent="0.2">
      <c r="J568" s="206"/>
      <c r="N568" s="206"/>
    </row>
    <row r="569" spans="10:14" x14ac:dyDescent="0.2">
      <c r="J569" s="206"/>
      <c r="N569" s="206"/>
    </row>
    <row r="570" spans="10:14" x14ac:dyDescent="0.2">
      <c r="J570" s="206"/>
      <c r="N570" s="206"/>
    </row>
    <row r="571" spans="10:14" x14ac:dyDescent="0.2">
      <c r="J571" s="206"/>
      <c r="N571" s="206"/>
    </row>
    <row r="572" spans="10:14" x14ac:dyDescent="0.2">
      <c r="J572" s="206"/>
      <c r="N572" s="206"/>
    </row>
    <row r="573" spans="10:14" x14ac:dyDescent="0.2">
      <c r="J573" s="206"/>
      <c r="N573" s="206"/>
    </row>
    <row r="574" spans="10:14" x14ac:dyDescent="0.2">
      <c r="J574" s="206"/>
      <c r="N574" s="206"/>
    </row>
    <row r="575" spans="10:14" x14ac:dyDescent="0.2">
      <c r="J575" s="206"/>
      <c r="N575" s="206"/>
    </row>
    <row r="576" spans="10:14" x14ac:dyDescent="0.2">
      <c r="J576" s="206"/>
      <c r="N576" s="206"/>
    </row>
    <row r="577" spans="10:14" x14ac:dyDescent="0.2">
      <c r="J577" s="206"/>
      <c r="N577" s="206"/>
    </row>
    <row r="578" spans="10:14" x14ac:dyDescent="0.2">
      <c r="J578" s="206"/>
      <c r="N578" s="206"/>
    </row>
    <row r="579" spans="10:14" x14ac:dyDescent="0.2">
      <c r="J579" s="206"/>
      <c r="N579" s="206"/>
    </row>
    <row r="580" spans="10:14" x14ac:dyDescent="0.2">
      <c r="J580" s="206"/>
      <c r="N580" s="206"/>
    </row>
    <row r="581" spans="10:14" x14ac:dyDescent="0.2">
      <c r="J581" s="206"/>
      <c r="N581" s="206"/>
    </row>
    <row r="582" spans="10:14" x14ac:dyDescent="0.2">
      <c r="J582" s="206"/>
      <c r="N582" s="206"/>
    </row>
    <row r="583" spans="10:14" x14ac:dyDescent="0.2">
      <c r="J583" s="206"/>
      <c r="N583" s="206"/>
    </row>
    <row r="584" spans="10:14" x14ac:dyDescent="0.2">
      <c r="J584" s="206"/>
      <c r="N584" s="206"/>
    </row>
    <row r="585" spans="10:14" x14ac:dyDescent="0.2">
      <c r="J585" s="206"/>
      <c r="N585" s="206"/>
    </row>
    <row r="586" spans="10:14" x14ac:dyDescent="0.2">
      <c r="J586" s="206"/>
      <c r="N586" s="206"/>
    </row>
    <row r="587" spans="10:14" x14ac:dyDescent="0.2">
      <c r="J587" s="206"/>
      <c r="N587" s="206"/>
    </row>
    <row r="588" spans="10:14" x14ac:dyDescent="0.2">
      <c r="J588" s="206"/>
      <c r="N588" s="206"/>
    </row>
    <row r="589" spans="10:14" x14ac:dyDescent="0.2">
      <c r="J589" s="206"/>
      <c r="N589" s="206"/>
    </row>
    <row r="590" spans="10:14" x14ac:dyDescent="0.2">
      <c r="J590" s="206"/>
      <c r="N590" s="206"/>
    </row>
    <row r="591" spans="10:14" x14ac:dyDescent="0.2">
      <c r="J591" s="206"/>
      <c r="N591" s="206"/>
    </row>
    <row r="592" spans="10:14" x14ac:dyDescent="0.2">
      <c r="J592" s="206"/>
      <c r="N592" s="206"/>
    </row>
    <row r="593" spans="10:14" x14ac:dyDescent="0.2">
      <c r="J593" s="206"/>
      <c r="N593" s="206"/>
    </row>
    <row r="594" spans="10:14" x14ac:dyDescent="0.2">
      <c r="J594" s="206"/>
      <c r="N594" s="206"/>
    </row>
    <row r="595" spans="10:14" x14ac:dyDescent="0.2">
      <c r="J595" s="206"/>
      <c r="N595" s="206"/>
    </row>
    <row r="596" spans="10:14" x14ac:dyDescent="0.2">
      <c r="J596" s="206"/>
      <c r="N596" s="206"/>
    </row>
    <row r="597" spans="10:14" x14ac:dyDescent="0.2">
      <c r="J597" s="206"/>
      <c r="N597" s="206"/>
    </row>
    <row r="598" spans="10:14" x14ac:dyDescent="0.2">
      <c r="J598" s="206"/>
      <c r="N598" s="206"/>
    </row>
    <row r="599" spans="10:14" x14ac:dyDescent="0.2">
      <c r="J599" s="206"/>
      <c r="N599" s="206"/>
    </row>
    <row r="600" spans="10:14" x14ac:dyDescent="0.2">
      <c r="J600" s="206"/>
      <c r="N600" s="206"/>
    </row>
    <row r="601" spans="10:14" x14ac:dyDescent="0.2">
      <c r="J601" s="206"/>
      <c r="N601" s="206"/>
    </row>
    <row r="602" spans="10:14" x14ac:dyDescent="0.2">
      <c r="J602" s="206"/>
      <c r="N602" s="206"/>
    </row>
    <row r="603" spans="10:14" x14ac:dyDescent="0.2">
      <c r="J603" s="206"/>
      <c r="N603" s="206"/>
    </row>
    <row r="604" spans="10:14" x14ac:dyDescent="0.2">
      <c r="J604" s="206"/>
      <c r="N604" s="206"/>
    </row>
    <row r="605" spans="10:14" x14ac:dyDescent="0.2">
      <c r="J605" s="206"/>
      <c r="N605" s="206"/>
    </row>
    <row r="606" spans="10:14" x14ac:dyDescent="0.2">
      <c r="J606" s="206"/>
      <c r="N606" s="206"/>
    </row>
    <row r="607" spans="10:14" x14ac:dyDescent="0.2">
      <c r="J607" s="206"/>
      <c r="N607" s="206"/>
    </row>
    <row r="608" spans="10:14" x14ac:dyDescent="0.2">
      <c r="J608" s="206"/>
      <c r="N608" s="206"/>
    </row>
    <row r="609" spans="10:14" x14ac:dyDescent="0.2">
      <c r="J609" s="206"/>
      <c r="N609" s="206"/>
    </row>
    <row r="610" spans="10:14" x14ac:dyDescent="0.2">
      <c r="J610" s="206"/>
      <c r="N610" s="206"/>
    </row>
    <row r="611" spans="10:14" x14ac:dyDescent="0.2">
      <c r="J611" s="206"/>
      <c r="N611" s="206"/>
    </row>
    <row r="612" spans="10:14" x14ac:dyDescent="0.2">
      <c r="J612" s="206"/>
      <c r="N612" s="206"/>
    </row>
    <row r="613" spans="10:14" x14ac:dyDescent="0.2">
      <c r="J613" s="206"/>
      <c r="N613" s="206"/>
    </row>
    <row r="614" spans="10:14" x14ac:dyDescent="0.2">
      <c r="J614" s="206"/>
      <c r="N614" s="206"/>
    </row>
    <row r="615" spans="10:14" x14ac:dyDescent="0.2">
      <c r="J615" s="206"/>
      <c r="N615" s="206"/>
    </row>
    <row r="616" spans="10:14" x14ac:dyDescent="0.2">
      <c r="J616" s="206"/>
      <c r="N616" s="206"/>
    </row>
    <row r="617" spans="10:14" x14ac:dyDescent="0.2">
      <c r="J617" s="206"/>
      <c r="N617" s="206"/>
    </row>
    <row r="618" spans="10:14" x14ac:dyDescent="0.2">
      <c r="J618" s="206"/>
      <c r="N618" s="206"/>
    </row>
    <row r="619" spans="10:14" x14ac:dyDescent="0.2">
      <c r="J619" s="206"/>
      <c r="N619" s="206"/>
    </row>
    <row r="620" spans="10:14" x14ac:dyDescent="0.2">
      <c r="J620" s="206"/>
      <c r="N620" s="206"/>
    </row>
    <row r="621" spans="10:14" x14ac:dyDescent="0.2">
      <c r="J621" s="206"/>
      <c r="N621" s="206"/>
    </row>
    <row r="622" spans="10:14" x14ac:dyDescent="0.2">
      <c r="J622" s="206"/>
      <c r="N622" s="206"/>
    </row>
    <row r="623" spans="10:14" x14ac:dyDescent="0.2">
      <c r="J623" s="206"/>
      <c r="N623" s="206"/>
    </row>
    <row r="624" spans="10:14" x14ac:dyDescent="0.2">
      <c r="J624" s="206"/>
      <c r="N624" s="206"/>
    </row>
    <row r="625" spans="10:14" x14ac:dyDescent="0.2">
      <c r="J625" s="206"/>
      <c r="N625" s="206"/>
    </row>
    <row r="626" spans="10:14" x14ac:dyDescent="0.2">
      <c r="J626" s="206"/>
      <c r="N626" s="206"/>
    </row>
    <row r="627" spans="10:14" x14ac:dyDescent="0.2">
      <c r="J627" s="206"/>
      <c r="N627" s="206"/>
    </row>
    <row r="628" spans="10:14" x14ac:dyDescent="0.2">
      <c r="J628" s="206"/>
      <c r="N628" s="206"/>
    </row>
    <row r="629" spans="10:14" x14ac:dyDescent="0.2">
      <c r="J629" s="206"/>
      <c r="N629" s="206"/>
    </row>
    <row r="630" spans="10:14" x14ac:dyDescent="0.2">
      <c r="J630" s="206"/>
      <c r="N630" s="206"/>
    </row>
    <row r="631" spans="10:14" x14ac:dyDescent="0.2">
      <c r="J631" s="206"/>
      <c r="N631" s="206"/>
    </row>
    <row r="632" spans="10:14" x14ac:dyDescent="0.2">
      <c r="J632" s="206"/>
      <c r="N632" s="206"/>
    </row>
    <row r="633" spans="10:14" x14ac:dyDescent="0.2">
      <c r="J633" s="206"/>
      <c r="N633" s="206"/>
    </row>
    <row r="634" spans="10:14" x14ac:dyDescent="0.2">
      <c r="J634" s="206"/>
      <c r="N634" s="206"/>
    </row>
    <row r="635" spans="10:14" x14ac:dyDescent="0.2">
      <c r="J635" s="206"/>
      <c r="N635" s="206"/>
    </row>
    <row r="636" spans="10:14" x14ac:dyDescent="0.2">
      <c r="J636" s="206"/>
      <c r="N636" s="206"/>
    </row>
    <row r="637" spans="10:14" x14ac:dyDescent="0.2">
      <c r="J637" s="206"/>
      <c r="N637" s="206"/>
    </row>
    <row r="638" spans="10:14" x14ac:dyDescent="0.2">
      <c r="J638" s="206"/>
      <c r="N638" s="206"/>
    </row>
    <row r="639" spans="10:14" x14ac:dyDescent="0.2">
      <c r="J639" s="206"/>
      <c r="N639" s="206"/>
    </row>
    <row r="640" spans="10:14" x14ac:dyDescent="0.2">
      <c r="J640" s="206"/>
      <c r="N640" s="206"/>
    </row>
    <row r="641" spans="10:14" x14ac:dyDescent="0.2">
      <c r="J641" s="206"/>
      <c r="N641" s="206"/>
    </row>
    <row r="642" spans="10:14" x14ac:dyDescent="0.2">
      <c r="J642" s="206"/>
      <c r="N642" s="206"/>
    </row>
    <row r="643" spans="10:14" x14ac:dyDescent="0.2">
      <c r="J643" s="206"/>
      <c r="N643" s="206"/>
    </row>
    <row r="644" spans="10:14" x14ac:dyDescent="0.2">
      <c r="J644" s="206"/>
      <c r="N644" s="206"/>
    </row>
    <row r="645" spans="10:14" x14ac:dyDescent="0.2">
      <c r="J645" s="206"/>
      <c r="N645" s="206"/>
    </row>
    <row r="646" spans="10:14" x14ac:dyDescent="0.2">
      <c r="J646" s="206"/>
      <c r="N646" s="206"/>
    </row>
    <row r="647" spans="10:14" x14ac:dyDescent="0.2">
      <c r="J647" s="206"/>
      <c r="N647" s="206"/>
    </row>
    <row r="648" spans="10:14" x14ac:dyDescent="0.2">
      <c r="J648" s="206"/>
      <c r="N648" s="206"/>
    </row>
    <row r="649" spans="10:14" x14ac:dyDescent="0.2">
      <c r="J649" s="206"/>
      <c r="N649" s="206"/>
    </row>
    <row r="650" spans="10:14" x14ac:dyDescent="0.2">
      <c r="J650" s="206"/>
      <c r="N650" s="206"/>
    </row>
    <row r="651" spans="10:14" x14ac:dyDescent="0.2">
      <c r="J651" s="206"/>
      <c r="N651" s="206"/>
    </row>
    <row r="652" spans="10:14" x14ac:dyDescent="0.2">
      <c r="J652" s="206"/>
      <c r="N652" s="206"/>
    </row>
    <row r="653" spans="10:14" x14ac:dyDescent="0.2">
      <c r="J653" s="206"/>
      <c r="N653" s="206"/>
    </row>
    <row r="654" spans="10:14" x14ac:dyDescent="0.2">
      <c r="J654" s="206"/>
      <c r="N654" s="206"/>
    </row>
    <row r="655" spans="10:14" x14ac:dyDescent="0.2">
      <c r="J655" s="206"/>
      <c r="N655" s="206"/>
    </row>
    <row r="656" spans="10:14" x14ac:dyDescent="0.2">
      <c r="J656" s="206"/>
      <c r="N656" s="206"/>
    </row>
    <row r="657" spans="10:14" x14ac:dyDescent="0.2">
      <c r="J657" s="206"/>
      <c r="N657" s="206"/>
    </row>
    <row r="658" spans="10:14" x14ac:dyDescent="0.2">
      <c r="J658" s="206"/>
      <c r="N658" s="206"/>
    </row>
    <row r="659" spans="10:14" x14ac:dyDescent="0.2">
      <c r="J659" s="206"/>
      <c r="N659" s="206"/>
    </row>
    <row r="660" spans="10:14" x14ac:dyDescent="0.2">
      <c r="J660" s="206"/>
      <c r="N660" s="206"/>
    </row>
    <row r="661" spans="10:14" x14ac:dyDescent="0.2">
      <c r="J661" s="206"/>
      <c r="N661" s="206"/>
    </row>
    <row r="662" spans="10:14" x14ac:dyDescent="0.2">
      <c r="J662" s="206"/>
      <c r="N662" s="206"/>
    </row>
    <row r="663" spans="10:14" x14ac:dyDescent="0.2">
      <c r="J663" s="206"/>
      <c r="N663" s="206"/>
    </row>
    <row r="664" spans="10:14" x14ac:dyDescent="0.2">
      <c r="J664" s="206"/>
      <c r="N664" s="206"/>
    </row>
    <row r="665" spans="10:14" x14ac:dyDescent="0.2">
      <c r="J665" s="206"/>
      <c r="N665" s="206"/>
    </row>
    <row r="666" spans="10:14" x14ac:dyDescent="0.2">
      <c r="J666" s="206"/>
      <c r="N666" s="206"/>
    </row>
    <row r="667" spans="10:14" x14ac:dyDescent="0.2">
      <c r="J667" s="206"/>
      <c r="N667" s="206"/>
    </row>
    <row r="668" spans="10:14" x14ac:dyDescent="0.2">
      <c r="J668" s="206"/>
      <c r="N668" s="206"/>
    </row>
    <row r="669" spans="10:14" x14ac:dyDescent="0.2">
      <c r="J669" s="206"/>
      <c r="N669" s="206"/>
    </row>
    <row r="670" spans="10:14" x14ac:dyDescent="0.2">
      <c r="J670" s="206"/>
      <c r="N670" s="206"/>
    </row>
    <row r="671" spans="10:14" x14ac:dyDescent="0.2">
      <c r="J671" s="206"/>
      <c r="N671" s="206"/>
    </row>
    <row r="672" spans="10:14" x14ac:dyDescent="0.2">
      <c r="J672" s="206"/>
      <c r="N672" s="206"/>
    </row>
    <row r="673" spans="10:14" x14ac:dyDescent="0.2">
      <c r="J673" s="206"/>
      <c r="N673" s="206"/>
    </row>
    <row r="674" spans="10:14" x14ac:dyDescent="0.2">
      <c r="J674" s="206"/>
      <c r="N674" s="206"/>
    </row>
    <row r="675" spans="10:14" x14ac:dyDescent="0.2">
      <c r="J675" s="206"/>
      <c r="N675" s="206"/>
    </row>
    <row r="676" spans="10:14" x14ac:dyDescent="0.2">
      <c r="J676" s="206"/>
      <c r="N676" s="206"/>
    </row>
    <row r="677" spans="10:14" x14ac:dyDescent="0.2">
      <c r="J677" s="206"/>
      <c r="N677" s="206"/>
    </row>
    <row r="678" spans="10:14" x14ac:dyDescent="0.2">
      <c r="J678" s="206"/>
      <c r="N678" s="206"/>
    </row>
    <row r="679" spans="10:14" x14ac:dyDescent="0.2">
      <c r="J679" s="206"/>
      <c r="N679" s="206"/>
    </row>
    <row r="680" spans="10:14" x14ac:dyDescent="0.2">
      <c r="J680" s="206"/>
      <c r="N680" s="206"/>
    </row>
    <row r="681" spans="10:14" x14ac:dyDescent="0.2">
      <c r="J681" s="206"/>
      <c r="N681" s="206"/>
    </row>
    <row r="682" spans="10:14" x14ac:dyDescent="0.2">
      <c r="J682" s="206"/>
      <c r="N682" s="206"/>
    </row>
    <row r="683" spans="10:14" x14ac:dyDescent="0.2">
      <c r="J683" s="206"/>
      <c r="N683" s="206"/>
    </row>
    <row r="684" spans="10:14" x14ac:dyDescent="0.2">
      <c r="J684" s="206"/>
      <c r="N684" s="206"/>
    </row>
    <row r="685" spans="10:14" x14ac:dyDescent="0.2">
      <c r="J685" s="206"/>
      <c r="N685" s="206"/>
    </row>
    <row r="686" spans="10:14" x14ac:dyDescent="0.2">
      <c r="J686" s="206"/>
      <c r="N686" s="206"/>
    </row>
    <row r="687" spans="10:14" x14ac:dyDescent="0.2">
      <c r="J687" s="206"/>
      <c r="N687" s="206"/>
    </row>
    <row r="688" spans="10:14" x14ac:dyDescent="0.2">
      <c r="J688" s="206"/>
      <c r="N688" s="206"/>
    </row>
    <row r="689" spans="10:14" x14ac:dyDescent="0.2">
      <c r="J689" s="206"/>
      <c r="N689" s="206"/>
    </row>
    <row r="690" spans="10:14" x14ac:dyDescent="0.2">
      <c r="J690" s="206"/>
      <c r="N690" s="206"/>
    </row>
    <row r="691" spans="10:14" x14ac:dyDescent="0.2">
      <c r="J691" s="206"/>
      <c r="N691" s="206"/>
    </row>
    <row r="692" spans="10:14" x14ac:dyDescent="0.2">
      <c r="J692" s="206"/>
      <c r="N692" s="206"/>
    </row>
    <row r="693" spans="10:14" x14ac:dyDescent="0.2">
      <c r="J693" s="206"/>
      <c r="N693" s="206"/>
    </row>
    <row r="694" spans="10:14" x14ac:dyDescent="0.2">
      <c r="J694" s="206"/>
      <c r="N694" s="206"/>
    </row>
    <row r="695" spans="10:14" x14ac:dyDescent="0.2">
      <c r="J695" s="206"/>
      <c r="N695" s="206"/>
    </row>
    <row r="696" spans="10:14" x14ac:dyDescent="0.2">
      <c r="J696" s="206"/>
      <c r="N696" s="206"/>
    </row>
    <row r="697" spans="10:14" x14ac:dyDescent="0.2">
      <c r="J697" s="206"/>
      <c r="N697" s="206"/>
    </row>
    <row r="698" spans="10:14" x14ac:dyDescent="0.2">
      <c r="J698" s="206"/>
      <c r="N698" s="206"/>
    </row>
    <row r="699" spans="10:14" x14ac:dyDescent="0.2">
      <c r="J699" s="206"/>
      <c r="N699" s="206"/>
    </row>
    <row r="700" spans="10:14" x14ac:dyDescent="0.2">
      <c r="J700" s="206"/>
      <c r="N700" s="206"/>
    </row>
    <row r="701" spans="10:14" x14ac:dyDescent="0.2">
      <c r="J701" s="206"/>
      <c r="N701" s="206"/>
    </row>
    <row r="702" spans="10:14" x14ac:dyDescent="0.2">
      <c r="J702" s="206"/>
      <c r="N702" s="206"/>
    </row>
    <row r="703" spans="10:14" x14ac:dyDescent="0.2">
      <c r="J703" s="206"/>
      <c r="N703" s="206"/>
    </row>
    <row r="704" spans="10:14" x14ac:dyDescent="0.2">
      <c r="J704" s="206"/>
      <c r="N704" s="206"/>
    </row>
    <row r="705" spans="10:14" x14ac:dyDescent="0.2">
      <c r="J705" s="206"/>
      <c r="N705" s="206"/>
    </row>
    <row r="706" spans="10:14" x14ac:dyDescent="0.2">
      <c r="J706" s="206"/>
      <c r="N706" s="206"/>
    </row>
    <row r="707" spans="10:14" x14ac:dyDescent="0.2">
      <c r="J707" s="206"/>
      <c r="N707" s="206"/>
    </row>
    <row r="708" spans="10:14" x14ac:dyDescent="0.2">
      <c r="J708" s="206"/>
      <c r="N708" s="206"/>
    </row>
    <row r="709" spans="10:14" x14ac:dyDescent="0.2">
      <c r="J709" s="206"/>
      <c r="N709" s="206"/>
    </row>
    <row r="710" spans="10:14" x14ac:dyDescent="0.2">
      <c r="J710" s="206"/>
      <c r="N710" s="206"/>
    </row>
    <row r="711" spans="10:14" x14ac:dyDescent="0.2">
      <c r="J711" s="206"/>
      <c r="N711" s="206"/>
    </row>
    <row r="712" spans="10:14" x14ac:dyDescent="0.2">
      <c r="J712" s="206"/>
      <c r="N712" s="206"/>
    </row>
    <row r="713" spans="10:14" x14ac:dyDescent="0.2">
      <c r="J713" s="206"/>
      <c r="N713" s="206"/>
    </row>
    <row r="714" spans="10:14" x14ac:dyDescent="0.2">
      <c r="J714" s="206"/>
      <c r="N714" s="206"/>
    </row>
    <row r="715" spans="10:14" x14ac:dyDescent="0.2">
      <c r="J715" s="206"/>
      <c r="N715" s="206"/>
    </row>
    <row r="716" spans="10:14" x14ac:dyDescent="0.2">
      <c r="J716" s="206"/>
      <c r="N716" s="206"/>
    </row>
    <row r="717" spans="10:14" x14ac:dyDescent="0.2">
      <c r="J717" s="206"/>
      <c r="N717" s="206"/>
    </row>
    <row r="718" spans="10:14" x14ac:dyDescent="0.2">
      <c r="J718" s="206"/>
      <c r="N718" s="206"/>
    </row>
    <row r="719" spans="10:14" x14ac:dyDescent="0.2">
      <c r="J719" s="206"/>
      <c r="N719" s="206"/>
    </row>
    <row r="720" spans="10:14" x14ac:dyDescent="0.2">
      <c r="J720" s="206"/>
      <c r="N720" s="206"/>
    </row>
    <row r="721" spans="10:14" x14ac:dyDescent="0.2">
      <c r="J721" s="206"/>
      <c r="N721" s="206"/>
    </row>
    <row r="722" spans="10:14" x14ac:dyDescent="0.2">
      <c r="J722" s="206"/>
      <c r="N722" s="206"/>
    </row>
    <row r="723" spans="10:14" x14ac:dyDescent="0.2">
      <c r="J723" s="206"/>
      <c r="N723" s="206"/>
    </row>
    <row r="724" spans="10:14" x14ac:dyDescent="0.2">
      <c r="J724" s="206"/>
      <c r="N724" s="206"/>
    </row>
    <row r="725" spans="10:14" x14ac:dyDescent="0.2">
      <c r="J725" s="206"/>
      <c r="N725" s="206"/>
    </row>
    <row r="726" spans="10:14" x14ac:dyDescent="0.2">
      <c r="J726" s="206"/>
      <c r="N726" s="206"/>
    </row>
    <row r="727" spans="10:14" x14ac:dyDescent="0.2">
      <c r="J727" s="206"/>
      <c r="N727" s="206"/>
    </row>
    <row r="728" spans="10:14" x14ac:dyDescent="0.2">
      <c r="J728" s="206"/>
      <c r="N728" s="206"/>
    </row>
    <row r="729" spans="10:14" x14ac:dyDescent="0.2">
      <c r="J729" s="206"/>
      <c r="N729" s="206"/>
    </row>
    <row r="730" spans="10:14" x14ac:dyDescent="0.2">
      <c r="J730" s="206"/>
      <c r="N730" s="206"/>
    </row>
    <row r="731" spans="10:14" x14ac:dyDescent="0.2">
      <c r="J731" s="206"/>
      <c r="N731" s="206"/>
    </row>
    <row r="732" spans="10:14" x14ac:dyDescent="0.2">
      <c r="J732" s="206"/>
      <c r="N732" s="206"/>
    </row>
    <row r="733" spans="10:14" x14ac:dyDescent="0.2">
      <c r="J733" s="206"/>
      <c r="N733" s="206"/>
    </row>
    <row r="734" spans="10:14" x14ac:dyDescent="0.2">
      <c r="J734" s="206"/>
      <c r="N734" s="206"/>
    </row>
    <row r="735" spans="10:14" x14ac:dyDescent="0.2">
      <c r="J735" s="206"/>
      <c r="N735" s="206"/>
    </row>
    <row r="736" spans="10:14" x14ac:dyDescent="0.2">
      <c r="J736" s="206"/>
      <c r="N736" s="206"/>
    </row>
    <row r="737" spans="10:14" x14ac:dyDescent="0.2">
      <c r="J737" s="206"/>
      <c r="N737" s="206"/>
    </row>
    <row r="738" spans="10:14" x14ac:dyDescent="0.2">
      <c r="J738" s="206"/>
      <c r="N738" s="206"/>
    </row>
    <row r="739" spans="10:14" x14ac:dyDescent="0.2">
      <c r="J739" s="206"/>
      <c r="N739" s="206"/>
    </row>
    <row r="740" spans="10:14" x14ac:dyDescent="0.2">
      <c r="J740" s="206"/>
      <c r="N740" s="206"/>
    </row>
    <row r="741" spans="10:14" x14ac:dyDescent="0.2">
      <c r="J741" s="206"/>
      <c r="N741" s="206"/>
    </row>
    <row r="742" spans="10:14" x14ac:dyDescent="0.2">
      <c r="J742" s="206"/>
      <c r="N742" s="206"/>
    </row>
    <row r="743" spans="10:14" x14ac:dyDescent="0.2">
      <c r="J743" s="206"/>
      <c r="N743" s="206"/>
    </row>
    <row r="744" spans="10:14" x14ac:dyDescent="0.2">
      <c r="J744" s="206"/>
      <c r="N744" s="206"/>
    </row>
    <row r="745" spans="10:14" x14ac:dyDescent="0.2">
      <c r="J745" s="206"/>
      <c r="N745" s="206"/>
    </row>
    <row r="746" spans="10:14" x14ac:dyDescent="0.2">
      <c r="J746" s="206"/>
      <c r="N746" s="206"/>
    </row>
    <row r="747" spans="10:14" x14ac:dyDescent="0.2">
      <c r="J747" s="206"/>
      <c r="N747" s="206"/>
    </row>
    <row r="748" spans="10:14" x14ac:dyDescent="0.2">
      <c r="J748" s="206"/>
      <c r="N748" s="206"/>
    </row>
    <row r="749" spans="10:14" x14ac:dyDescent="0.2">
      <c r="J749" s="206"/>
      <c r="N749" s="206"/>
    </row>
    <row r="750" spans="10:14" x14ac:dyDescent="0.2">
      <c r="J750" s="206"/>
      <c r="N750" s="206"/>
    </row>
    <row r="751" spans="10:14" x14ac:dyDescent="0.2">
      <c r="J751" s="206"/>
      <c r="N751" s="206"/>
    </row>
    <row r="752" spans="10:14" x14ac:dyDescent="0.2">
      <c r="J752" s="206"/>
      <c r="N752" s="206"/>
    </row>
    <row r="753" spans="10:14" x14ac:dyDescent="0.2">
      <c r="J753" s="206"/>
      <c r="N753" s="206"/>
    </row>
    <row r="754" spans="10:14" x14ac:dyDescent="0.2">
      <c r="J754" s="206"/>
      <c r="N754" s="206"/>
    </row>
    <row r="755" spans="10:14" x14ac:dyDescent="0.2">
      <c r="J755" s="206"/>
      <c r="N755" s="206"/>
    </row>
    <row r="756" spans="10:14" x14ac:dyDescent="0.2">
      <c r="J756" s="206"/>
      <c r="N756" s="206"/>
    </row>
    <row r="757" spans="10:14" x14ac:dyDescent="0.2">
      <c r="J757" s="206"/>
      <c r="N757" s="206"/>
    </row>
    <row r="758" spans="10:14" x14ac:dyDescent="0.2">
      <c r="J758" s="206"/>
      <c r="N758" s="206"/>
    </row>
    <row r="759" spans="10:14" x14ac:dyDescent="0.2">
      <c r="J759" s="206"/>
      <c r="N759" s="206"/>
    </row>
    <row r="760" spans="10:14" x14ac:dyDescent="0.2">
      <c r="J760" s="206"/>
      <c r="N760" s="206"/>
    </row>
    <row r="761" spans="10:14" x14ac:dyDescent="0.2">
      <c r="J761" s="206"/>
      <c r="N761" s="206"/>
    </row>
    <row r="762" spans="10:14" x14ac:dyDescent="0.2">
      <c r="J762" s="206"/>
      <c r="N762" s="206"/>
    </row>
    <row r="763" spans="10:14" x14ac:dyDescent="0.2">
      <c r="J763" s="206"/>
      <c r="N763" s="206"/>
    </row>
    <row r="764" spans="10:14" x14ac:dyDescent="0.2">
      <c r="J764" s="206"/>
      <c r="N764" s="206"/>
    </row>
    <row r="765" spans="10:14" x14ac:dyDescent="0.2">
      <c r="J765" s="206"/>
      <c r="N765" s="206"/>
    </row>
    <row r="766" spans="10:14" x14ac:dyDescent="0.2">
      <c r="J766" s="206"/>
      <c r="N766" s="206"/>
    </row>
    <row r="767" spans="10:14" x14ac:dyDescent="0.2">
      <c r="J767" s="206"/>
      <c r="N767" s="206"/>
    </row>
    <row r="768" spans="10:14" x14ac:dyDescent="0.2">
      <c r="J768" s="206"/>
      <c r="N768" s="206"/>
    </row>
    <row r="769" spans="10:14" x14ac:dyDescent="0.2">
      <c r="J769" s="206"/>
      <c r="N769" s="206"/>
    </row>
    <row r="770" spans="10:14" x14ac:dyDescent="0.2">
      <c r="J770" s="206"/>
      <c r="N770" s="206"/>
    </row>
    <row r="771" spans="10:14" x14ac:dyDescent="0.2">
      <c r="J771" s="206"/>
      <c r="N771" s="206"/>
    </row>
    <row r="772" spans="10:14" x14ac:dyDescent="0.2">
      <c r="J772" s="206"/>
      <c r="N772" s="206"/>
    </row>
    <row r="773" spans="10:14" x14ac:dyDescent="0.2">
      <c r="J773" s="206"/>
      <c r="N773" s="206"/>
    </row>
    <row r="774" spans="10:14" x14ac:dyDescent="0.2">
      <c r="J774" s="206"/>
      <c r="N774" s="206"/>
    </row>
    <row r="775" spans="10:14" x14ac:dyDescent="0.2">
      <c r="J775" s="206"/>
      <c r="N775" s="206"/>
    </row>
    <row r="776" spans="10:14" x14ac:dyDescent="0.2">
      <c r="J776" s="206"/>
      <c r="N776" s="206"/>
    </row>
    <row r="777" spans="10:14" x14ac:dyDescent="0.2">
      <c r="J777" s="206"/>
      <c r="N777" s="206"/>
    </row>
    <row r="778" spans="10:14" x14ac:dyDescent="0.2">
      <c r="J778" s="206"/>
      <c r="N778" s="206"/>
    </row>
    <row r="779" spans="10:14" x14ac:dyDescent="0.2">
      <c r="J779" s="206"/>
      <c r="N779" s="206"/>
    </row>
    <row r="780" spans="10:14" x14ac:dyDescent="0.2">
      <c r="J780" s="206"/>
      <c r="N780" s="206"/>
    </row>
    <row r="781" spans="10:14" x14ac:dyDescent="0.2">
      <c r="J781" s="206"/>
      <c r="N781" s="206"/>
    </row>
    <row r="782" spans="10:14" x14ac:dyDescent="0.2">
      <c r="J782" s="206"/>
      <c r="N782" s="206"/>
    </row>
    <row r="783" spans="10:14" x14ac:dyDescent="0.2">
      <c r="J783" s="206"/>
      <c r="N783" s="206"/>
    </row>
    <row r="784" spans="10:14" x14ac:dyDescent="0.2">
      <c r="J784" s="206"/>
      <c r="N784" s="206"/>
    </row>
    <row r="785" spans="10:14" x14ac:dyDescent="0.2">
      <c r="J785" s="206"/>
      <c r="N785" s="206"/>
    </row>
    <row r="786" spans="10:14" x14ac:dyDescent="0.2">
      <c r="J786" s="206"/>
      <c r="N786" s="206"/>
    </row>
    <row r="787" spans="10:14" x14ac:dyDescent="0.2">
      <c r="J787" s="206"/>
      <c r="N787" s="206"/>
    </row>
    <row r="788" spans="10:14" x14ac:dyDescent="0.2">
      <c r="J788" s="206"/>
      <c r="N788" s="206"/>
    </row>
    <row r="789" spans="10:14" x14ac:dyDescent="0.2">
      <c r="J789" s="206"/>
      <c r="N789" s="206"/>
    </row>
    <row r="790" spans="10:14" x14ac:dyDescent="0.2">
      <c r="J790" s="206"/>
      <c r="N790" s="206"/>
    </row>
    <row r="791" spans="10:14" x14ac:dyDescent="0.2">
      <c r="J791" s="206"/>
      <c r="N791" s="206"/>
    </row>
    <row r="792" spans="10:14" x14ac:dyDescent="0.2">
      <c r="J792" s="206"/>
      <c r="N792" s="206"/>
    </row>
    <row r="793" spans="10:14" x14ac:dyDescent="0.2">
      <c r="J793" s="206"/>
      <c r="N793" s="206"/>
    </row>
    <row r="794" spans="10:14" x14ac:dyDescent="0.2">
      <c r="J794" s="206"/>
      <c r="N794" s="206"/>
    </row>
    <row r="795" spans="10:14" x14ac:dyDescent="0.2">
      <c r="J795" s="206"/>
      <c r="N795" s="206"/>
    </row>
    <row r="796" spans="10:14" x14ac:dyDescent="0.2">
      <c r="J796" s="206"/>
      <c r="N796" s="206"/>
    </row>
    <row r="797" spans="10:14" x14ac:dyDescent="0.2">
      <c r="J797" s="206"/>
      <c r="N797" s="206"/>
    </row>
    <row r="798" spans="10:14" x14ac:dyDescent="0.2">
      <c r="J798" s="206"/>
      <c r="N798" s="206"/>
    </row>
    <row r="799" spans="10:14" x14ac:dyDescent="0.2">
      <c r="J799" s="206"/>
      <c r="N799" s="206"/>
    </row>
    <row r="800" spans="10:14" x14ac:dyDescent="0.2">
      <c r="J800" s="206"/>
      <c r="N800" s="206"/>
    </row>
    <row r="801" spans="10:14" x14ac:dyDescent="0.2">
      <c r="J801" s="206"/>
      <c r="N801" s="206"/>
    </row>
    <row r="802" spans="10:14" x14ac:dyDescent="0.2">
      <c r="J802" s="206"/>
      <c r="N802" s="206"/>
    </row>
    <row r="803" spans="10:14" x14ac:dyDescent="0.2">
      <c r="J803" s="206"/>
      <c r="N803" s="206"/>
    </row>
    <row r="804" spans="10:14" x14ac:dyDescent="0.2">
      <c r="J804" s="206"/>
      <c r="N804" s="206"/>
    </row>
    <row r="805" spans="10:14" x14ac:dyDescent="0.2">
      <c r="J805" s="206"/>
      <c r="N805" s="206"/>
    </row>
    <row r="806" spans="10:14" x14ac:dyDescent="0.2">
      <c r="J806" s="206"/>
      <c r="N806" s="206"/>
    </row>
    <row r="807" spans="10:14" x14ac:dyDescent="0.2">
      <c r="J807" s="206"/>
      <c r="N807" s="206"/>
    </row>
    <row r="808" spans="10:14" x14ac:dyDescent="0.2">
      <c r="J808" s="206"/>
      <c r="N808" s="206"/>
    </row>
    <row r="809" spans="10:14" x14ac:dyDescent="0.2">
      <c r="J809" s="206"/>
      <c r="N809" s="206"/>
    </row>
    <row r="810" spans="10:14" x14ac:dyDescent="0.2">
      <c r="J810" s="206"/>
      <c r="N810" s="206"/>
    </row>
    <row r="811" spans="10:14" x14ac:dyDescent="0.2">
      <c r="J811" s="206"/>
      <c r="N811" s="206"/>
    </row>
    <row r="812" spans="10:14" x14ac:dyDescent="0.2">
      <c r="J812" s="206"/>
      <c r="N812" s="206"/>
    </row>
    <row r="813" spans="10:14" x14ac:dyDescent="0.2">
      <c r="J813" s="206"/>
      <c r="N813" s="206"/>
    </row>
    <row r="814" spans="10:14" x14ac:dyDescent="0.2">
      <c r="J814" s="206"/>
      <c r="N814" s="206"/>
    </row>
    <row r="815" spans="10:14" x14ac:dyDescent="0.2">
      <c r="J815" s="206"/>
      <c r="N815" s="206"/>
    </row>
    <row r="816" spans="10:14" x14ac:dyDescent="0.2">
      <c r="J816" s="206"/>
      <c r="N816" s="206"/>
    </row>
    <row r="817" spans="10:14" x14ac:dyDescent="0.2">
      <c r="J817" s="206"/>
      <c r="N817" s="206"/>
    </row>
    <row r="818" spans="10:14" x14ac:dyDescent="0.2">
      <c r="J818" s="206"/>
      <c r="N818" s="206"/>
    </row>
    <row r="819" spans="10:14" x14ac:dyDescent="0.2">
      <c r="J819" s="206"/>
      <c r="N819" s="206"/>
    </row>
    <row r="820" spans="10:14" x14ac:dyDescent="0.2">
      <c r="J820" s="206"/>
      <c r="N820" s="206"/>
    </row>
    <row r="821" spans="10:14" x14ac:dyDescent="0.2">
      <c r="J821" s="206"/>
      <c r="N821" s="206"/>
    </row>
    <row r="822" spans="10:14" x14ac:dyDescent="0.2">
      <c r="J822" s="206"/>
      <c r="N822" s="206"/>
    </row>
    <row r="823" spans="10:14" x14ac:dyDescent="0.2">
      <c r="J823" s="206"/>
      <c r="N823" s="206"/>
    </row>
    <row r="824" spans="10:14" x14ac:dyDescent="0.2">
      <c r="J824" s="206"/>
      <c r="N824" s="206"/>
    </row>
    <row r="825" spans="10:14" x14ac:dyDescent="0.2">
      <c r="J825" s="206"/>
      <c r="N825" s="206"/>
    </row>
    <row r="826" spans="10:14" x14ac:dyDescent="0.2">
      <c r="J826" s="206"/>
      <c r="N826" s="206"/>
    </row>
    <row r="827" spans="10:14" x14ac:dyDescent="0.2">
      <c r="J827" s="206"/>
      <c r="N827" s="206"/>
    </row>
    <row r="828" spans="10:14" x14ac:dyDescent="0.2">
      <c r="J828" s="206"/>
      <c r="N828" s="206"/>
    </row>
    <row r="829" spans="10:14" x14ac:dyDescent="0.2">
      <c r="J829" s="206"/>
      <c r="N829" s="206"/>
    </row>
    <row r="830" spans="10:14" x14ac:dyDescent="0.2">
      <c r="J830" s="206"/>
      <c r="N830" s="206"/>
    </row>
    <row r="831" spans="10:14" x14ac:dyDescent="0.2">
      <c r="J831" s="206"/>
      <c r="N831" s="206"/>
    </row>
    <row r="832" spans="10:14" x14ac:dyDescent="0.2">
      <c r="J832" s="206"/>
      <c r="N832" s="206"/>
    </row>
    <row r="833" spans="10:14" x14ac:dyDescent="0.2">
      <c r="J833" s="206"/>
      <c r="N833" s="206"/>
    </row>
    <row r="834" spans="10:14" x14ac:dyDescent="0.2">
      <c r="J834" s="206"/>
      <c r="N834" s="206"/>
    </row>
    <row r="835" spans="10:14" x14ac:dyDescent="0.2">
      <c r="J835" s="206"/>
      <c r="N835" s="206"/>
    </row>
    <row r="836" spans="10:14" x14ac:dyDescent="0.2">
      <c r="J836" s="206"/>
      <c r="N836" s="206"/>
    </row>
    <row r="837" spans="10:14" x14ac:dyDescent="0.2">
      <c r="J837" s="206"/>
      <c r="N837" s="206"/>
    </row>
    <row r="838" spans="10:14" x14ac:dyDescent="0.2">
      <c r="J838" s="206"/>
      <c r="N838" s="206"/>
    </row>
    <row r="839" spans="10:14" x14ac:dyDescent="0.2">
      <c r="J839" s="206"/>
      <c r="N839" s="206"/>
    </row>
    <row r="840" spans="10:14" x14ac:dyDescent="0.2">
      <c r="J840" s="206"/>
      <c r="N840" s="206"/>
    </row>
    <row r="841" spans="10:14" x14ac:dyDescent="0.2">
      <c r="J841" s="206"/>
      <c r="N841" s="206"/>
    </row>
    <row r="842" spans="10:14" x14ac:dyDescent="0.2">
      <c r="J842" s="206"/>
      <c r="N842" s="206"/>
    </row>
    <row r="843" spans="10:14" x14ac:dyDescent="0.2">
      <c r="J843" s="206"/>
      <c r="N843" s="206"/>
    </row>
    <row r="844" spans="10:14" x14ac:dyDescent="0.2">
      <c r="J844" s="206"/>
      <c r="N844" s="206"/>
    </row>
    <row r="845" spans="10:14" x14ac:dyDescent="0.2">
      <c r="J845" s="206"/>
      <c r="N845" s="206"/>
    </row>
    <row r="846" spans="10:14" x14ac:dyDescent="0.2">
      <c r="J846" s="206"/>
      <c r="N846" s="206"/>
    </row>
    <row r="847" spans="10:14" x14ac:dyDescent="0.2">
      <c r="J847" s="206"/>
      <c r="N847" s="206"/>
    </row>
    <row r="848" spans="10:14" x14ac:dyDescent="0.2">
      <c r="J848" s="206"/>
      <c r="N848" s="206"/>
    </row>
    <row r="849" spans="10:14" x14ac:dyDescent="0.2">
      <c r="J849" s="206"/>
      <c r="N849" s="206"/>
    </row>
    <row r="850" spans="10:14" x14ac:dyDescent="0.2">
      <c r="J850" s="206"/>
      <c r="N850" s="206"/>
    </row>
    <row r="851" spans="10:14" x14ac:dyDescent="0.2">
      <c r="J851" s="206"/>
      <c r="N851" s="206"/>
    </row>
    <row r="852" spans="10:14" x14ac:dyDescent="0.2">
      <c r="J852" s="206"/>
      <c r="N852" s="206"/>
    </row>
    <row r="853" spans="10:14" x14ac:dyDescent="0.2">
      <c r="J853" s="206"/>
      <c r="N853" s="206"/>
    </row>
    <row r="854" spans="10:14" x14ac:dyDescent="0.2">
      <c r="J854" s="206"/>
      <c r="N854" s="206"/>
    </row>
    <row r="855" spans="10:14" x14ac:dyDescent="0.2">
      <c r="J855" s="206"/>
      <c r="N855" s="206"/>
    </row>
    <row r="856" spans="10:14" x14ac:dyDescent="0.2">
      <c r="J856" s="206"/>
      <c r="N856" s="206"/>
    </row>
    <row r="857" spans="10:14" x14ac:dyDescent="0.2">
      <c r="J857" s="206"/>
      <c r="N857" s="206"/>
    </row>
    <row r="858" spans="10:14" x14ac:dyDescent="0.2">
      <c r="J858" s="206"/>
      <c r="N858" s="206"/>
    </row>
    <row r="859" spans="10:14" x14ac:dyDescent="0.2">
      <c r="J859" s="206"/>
      <c r="N859" s="206"/>
    </row>
    <row r="860" spans="10:14" x14ac:dyDescent="0.2">
      <c r="J860" s="206"/>
      <c r="N860" s="206"/>
    </row>
    <row r="861" spans="10:14" x14ac:dyDescent="0.2">
      <c r="J861" s="206"/>
      <c r="N861" s="206"/>
    </row>
    <row r="862" spans="10:14" x14ac:dyDescent="0.2">
      <c r="J862" s="206"/>
      <c r="N862" s="206"/>
    </row>
    <row r="863" spans="10:14" x14ac:dyDescent="0.2">
      <c r="J863" s="206"/>
      <c r="N863" s="206"/>
    </row>
    <row r="864" spans="10:14" x14ac:dyDescent="0.2">
      <c r="J864" s="206"/>
      <c r="N864" s="206"/>
    </row>
    <row r="865" spans="10:14" x14ac:dyDescent="0.2">
      <c r="J865" s="206"/>
      <c r="N865" s="206"/>
    </row>
    <row r="866" spans="10:14" x14ac:dyDescent="0.2">
      <c r="J866" s="206"/>
      <c r="N866" s="206"/>
    </row>
    <row r="867" spans="10:14" x14ac:dyDescent="0.2">
      <c r="J867" s="206"/>
      <c r="N867" s="206"/>
    </row>
    <row r="868" spans="10:14" x14ac:dyDescent="0.2">
      <c r="J868" s="206"/>
      <c r="N868" s="206"/>
    </row>
    <row r="869" spans="10:14" x14ac:dyDescent="0.2">
      <c r="J869" s="206"/>
      <c r="N869" s="206"/>
    </row>
    <row r="870" spans="10:14" x14ac:dyDescent="0.2">
      <c r="J870" s="206"/>
      <c r="N870" s="206"/>
    </row>
    <row r="871" spans="10:14" x14ac:dyDescent="0.2">
      <c r="J871" s="206"/>
      <c r="N871" s="206"/>
    </row>
    <row r="872" spans="10:14" x14ac:dyDescent="0.2">
      <c r="J872" s="206"/>
      <c r="N872" s="206"/>
    </row>
    <row r="873" spans="10:14" x14ac:dyDescent="0.2">
      <c r="J873" s="206"/>
      <c r="N873" s="206"/>
    </row>
    <row r="874" spans="10:14" x14ac:dyDescent="0.2">
      <c r="J874" s="206"/>
      <c r="N874" s="206"/>
    </row>
    <row r="875" spans="10:14" x14ac:dyDescent="0.2">
      <c r="J875" s="206"/>
      <c r="N875" s="206"/>
    </row>
    <row r="876" spans="10:14" x14ac:dyDescent="0.2">
      <c r="J876" s="206"/>
      <c r="N876" s="206"/>
    </row>
    <row r="877" spans="10:14" x14ac:dyDescent="0.2">
      <c r="J877" s="206"/>
      <c r="N877" s="206"/>
    </row>
    <row r="878" spans="10:14" x14ac:dyDescent="0.2">
      <c r="J878" s="206"/>
      <c r="N878" s="206"/>
    </row>
    <row r="879" spans="10:14" x14ac:dyDescent="0.2">
      <c r="J879" s="206"/>
      <c r="N879" s="206"/>
    </row>
    <row r="880" spans="10:14" x14ac:dyDescent="0.2">
      <c r="J880" s="206"/>
      <c r="N880" s="206"/>
    </row>
    <row r="881" spans="10:14" x14ac:dyDescent="0.2">
      <c r="J881" s="206"/>
      <c r="N881" s="206"/>
    </row>
    <row r="882" spans="10:14" x14ac:dyDescent="0.2">
      <c r="J882" s="206"/>
      <c r="N882" s="206"/>
    </row>
    <row r="883" spans="10:14" x14ac:dyDescent="0.2">
      <c r="J883" s="206"/>
      <c r="N883" s="206"/>
    </row>
    <row r="884" spans="10:14" x14ac:dyDescent="0.2">
      <c r="J884" s="206"/>
      <c r="N884" s="206"/>
    </row>
    <row r="885" spans="10:14" x14ac:dyDescent="0.2">
      <c r="J885" s="206"/>
      <c r="N885" s="206"/>
    </row>
    <row r="886" spans="10:14" x14ac:dyDescent="0.2">
      <c r="J886" s="206"/>
      <c r="N886" s="206"/>
    </row>
    <row r="887" spans="10:14" x14ac:dyDescent="0.2">
      <c r="J887" s="206"/>
      <c r="N887" s="206"/>
    </row>
    <row r="888" spans="10:14" x14ac:dyDescent="0.2">
      <c r="J888" s="206"/>
      <c r="N888" s="206"/>
    </row>
    <row r="889" spans="10:14" x14ac:dyDescent="0.2">
      <c r="J889" s="206"/>
      <c r="N889" s="206"/>
    </row>
    <row r="890" spans="10:14" x14ac:dyDescent="0.2">
      <c r="J890" s="206"/>
      <c r="N890" s="206"/>
    </row>
    <row r="891" spans="10:14" x14ac:dyDescent="0.2">
      <c r="J891" s="206"/>
      <c r="N891" s="206"/>
    </row>
    <row r="892" spans="10:14" x14ac:dyDescent="0.2">
      <c r="J892" s="206"/>
      <c r="N892" s="206"/>
    </row>
    <row r="893" spans="10:14" x14ac:dyDescent="0.2">
      <c r="J893" s="206"/>
      <c r="N893" s="206"/>
    </row>
    <row r="894" spans="10:14" x14ac:dyDescent="0.2">
      <c r="J894" s="206"/>
      <c r="N894" s="206"/>
    </row>
    <row r="895" spans="10:14" x14ac:dyDescent="0.2">
      <c r="J895" s="206"/>
      <c r="N895" s="206"/>
    </row>
    <row r="896" spans="10:14" x14ac:dyDescent="0.2">
      <c r="J896" s="206"/>
      <c r="N896" s="206"/>
    </row>
    <row r="897" spans="10:14" x14ac:dyDescent="0.2">
      <c r="J897" s="206"/>
      <c r="N897" s="206"/>
    </row>
    <row r="898" spans="10:14" x14ac:dyDescent="0.2">
      <c r="J898" s="206"/>
      <c r="N898" s="206"/>
    </row>
    <row r="899" spans="10:14" x14ac:dyDescent="0.2">
      <c r="J899" s="206"/>
      <c r="N899" s="206"/>
    </row>
    <row r="900" spans="10:14" x14ac:dyDescent="0.2">
      <c r="J900" s="206"/>
      <c r="N900" s="206"/>
    </row>
    <row r="901" spans="10:14" x14ac:dyDescent="0.2">
      <c r="J901" s="206"/>
      <c r="N901" s="206"/>
    </row>
    <row r="902" spans="10:14" x14ac:dyDescent="0.2">
      <c r="J902" s="206"/>
      <c r="N902" s="206"/>
    </row>
    <row r="903" spans="10:14" x14ac:dyDescent="0.2">
      <c r="J903" s="206"/>
      <c r="N903" s="206"/>
    </row>
    <row r="904" spans="10:14" x14ac:dyDescent="0.2">
      <c r="J904" s="206"/>
      <c r="N904" s="206"/>
    </row>
    <row r="905" spans="10:14" x14ac:dyDescent="0.2">
      <c r="J905" s="206"/>
      <c r="N905" s="206"/>
    </row>
    <row r="906" spans="10:14" x14ac:dyDescent="0.2">
      <c r="J906" s="206"/>
      <c r="N906" s="206"/>
    </row>
    <row r="907" spans="10:14" x14ac:dyDescent="0.2">
      <c r="J907" s="206"/>
      <c r="N907" s="206"/>
    </row>
    <row r="908" spans="10:14" x14ac:dyDescent="0.2">
      <c r="J908" s="206"/>
      <c r="N908" s="206"/>
    </row>
    <row r="909" spans="10:14" x14ac:dyDescent="0.2">
      <c r="J909" s="206"/>
      <c r="N909" s="206"/>
    </row>
    <row r="910" spans="10:14" x14ac:dyDescent="0.2">
      <c r="J910" s="206"/>
      <c r="N910" s="206"/>
    </row>
    <row r="911" spans="10:14" x14ac:dyDescent="0.2">
      <c r="J911" s="206"/>
      <c r="N911" s="206"/>
    </row>
    <row r="912" spans="10:14" x14ac:dyDescent="0.2">
      <c r="J912" s="206"/>
      <c r="N912" s="206"/>
    </row>
    <row r="913" spans="10:14" x14ac:dyDescent="0.2">
      <c r="J913" s="206"/>
      <c r="N913" s="206"/>
    </row>
    <row r="914" spans="10:14" x14ac:dyDescent="0.2">
      <c r="J914" s="206"/>
      <c r="N914" s="206"/>
    </row>
    <row r="915" spans="10:14" x14ac:dyDescent="0.2">
      <c r="J915" s="206"/>
      <c r="N915" s="206"/>
    </row>
    <row r="916" spans="10:14" x14ac:dyDescent="0.2">
      <c r="J916" s="206"/>
      <c r="N916" s="206"/>
    </row>
    <row r="917" spans="10:14" x14ac:dyDescent="0.2">
      <c r="J917" s="206"/>
      <c r="N917" s="206"/>
    </row>
    <row r="918" spans="10:14" x14ac:dyDescent="0.2">
      <c r="J918" s="206"/>
      <c r="N918" s="206"/>
    </row>
    <row r="919" spans="10:14" x14ac:dyDescent="0.2">
      <c r="J919" s="206"/>
      <c r="N919" s="206"/>
    </row>
    <row r="920" spans="10:14" x14ac:dyDescent="0.2">
      <c r="J920" s="206"/>
      <c r="N920" s="206"/>
    </row>
    <row r="921" spans="10:14" x14ac:dyDescent="0.2">
      <c r="J921" s="206"/>
      <c r="N921" s="206"/>
    </row>
    <row r="922" spans="10:14" x14ac:dyDescent="0.2">
      <c r="J922" s="206"/>
      <c r="N922" s="206"/>
    </row>
    <row r="923" spans="10:14" x14ac:dyDescent="0.2">
      <c r="J923" s="206"/>
      <c r="N923" s="206"/>
    </row>
    <row r="924" spans="10:14" x14ac:dyDescent="0.2">
      <c r="J924" s="206"/>
      <c r="N924" s="206"/>
    </row>
    <row r="925" spans="10:14" x14ac:dyDescent="0.2">
      <c r="J925" s="206"/>
      <c r="N925" s="206"/>
    </row>
    <row r="926" spans="10:14" x14ac:dyDescent="0.2">
      <c r="J926" s="206"/>
      <c r="N926" s="206"/>
    </row>
    <row r="927" spans="10:14" x14ac:dyDescent="0.2">
      <c r="J927" s="206"/>
      <c r="N927" s="206"/>
    </row>
    <row r="928" spans="10:14" x14ac:dyDescent="0.2">
      <c r="J928" s="206"/>
      <c r="N928" s="206"/>
    </row>
    <row r="929" spans="10:14" x14ac:dyDescent="0.2">
      <c r="J929" s="206"/>
      <c r="N929" s="206"/>
    </row>
    <row r="930" spans="10:14" x14ac:dyDescent="0.2">
      <c r="J930" s="206"/>
      <c r="N930" s="206"/>
    </row>
    <row r="931" spans="10:14" x14ac:dyDescent="0.2">
      <c r="J931" s="206"/>
      <c r="N931" s="206"/>
    </row>
    <row r="932" spans="10:14" x14ac:dyDescent="0.2">
      <c r="J932" s="206"/>
      <c r="N932" s="206"/>
    </row>
    <row r="933" spans="10:14" x14ac:dyDescent="0.2">
      <c r="J933" s="206"/>
      <c r="N933" s="206"/>
    </row>
    <row r="934" spans="10:14" x14ac:dyDescent="0.2">
      <c r="J934" s="206"/>
      <c r="N934" s="206"/>
    </row>
    <row r="935" spans="10:14" x14ac:dyDescent="0.2">
      <c r="J935" s="206"/>
      <c r="N935" s="206"/>
    </row>
    <row r="936" spans="10:14" x14ac:dyDescent="0.2">
      <c r="J936" s="206"/>
      <c r="N936" s="206"/>
    </row>
    <row r="937" spans="10:14" x14ac:dyDescent="0.2">
      <c r="J937" s="206"/>
      <c r="N937" s="206"/>
    </row>
    <row r="938" spans="10:14" x14ac:dyDescent="0.2">
      <c r="J938" s="206"/>
      <c r="N938" s="206"/>
    </row>
    <row r="939" spans="10:14" x14ac:dyDescent="0.2">
      <c r="J939" s="206"/>
      <c r="N939" s="206"/>
    </row>
    <row r="940" spans="10:14" x14ac:dyDescent="0.2">
      <c r="J940" s="206"/>
      <c r="N940" s="206"/>
    </row>
    <row r="941" spans="10:14" x14ac:dyDescent="0.2">
      <c r="J941" s="206"/>
      <c r="N941" s="206"/>
    </row>
    <row r="942" spans="10:14" x14ac:dyDescent="0.2">
      <c r="J942" s="206"/>
      <c r="N942" s="206"/>
    </row>
    <row r="943" spans="10:14" x14ac:dyDescent="0.2">
      <c r="J943" s="206"/>
      <c r="N943" s="206"/>
    </row>
    <row r="944" spans="10:14" x14ac:dyDescent="0.2">
      <c r="J944" s="206"/>
      <c r="N944" s="206"/>
    </row>
    <row r="945" spans="10:14" x14ac:dyDescent="0.2">
      <c r="J945" s="206"/>
      <c r="N945" s="206"/>
    </row>
    <row r="946" spans="10:14" x14ac:dyDescent="0.2">
      <c r="J946" s="206"/>
      <c r="N946" s="206"/>
    </row>
    <row r="947" spans="10:14" x14ac:dyDescent="0.2">
      <c r="J947" s="206"/>
      <c r="N947" s="206"/>
    </row>
    <row r="948" spans="10:14" x14ac:dyDescent="0.2">
      <c r="J948" s="206"/>
      <c r="N948" s="206"/>
    </row>
    <row r="949" spans="10:14" x14ac:dyDescent="0.2">
      <c r="J949" s="206"/>
      <c r="N949" s="206"/>
    </row>
    <row r="950" spans="10:14" x14ac:dyDescent="0.2">
      <c r="J950" s="206"/>
      <c r="N950" s="206"/>
    </row>
    <row r="951" spans="10:14" x14ac:dyDescent="0.2">
      <c r="J951" s="206"/>
      <c r="N951" s="206"/>
    </row>
    <row r="952" spans="10:14" x14ac:dyDescent="0.2">
      <c r="J952" s="206"/>
      <c r="N952" s="206"/>
    </row>
    <row r="953" spans="10:14" x14ac:dyDescent="0.2">
      <c r="J953" s="206"/>
      <c r="N953" s="206"/>
    </row>
    <row r="954" spans="10:14" x14ac:dyDescent="0.2">
      <c r="J954" s="206"/>
      <c r="N954" s="206"/>
    </row>
    <row r="955" spans="10:14" x14ac:dyDescent="0.2">
      <c r="J955" s="206"/>
      <c r="N955" s="206"/>
    </row>
    <row r="956" spans="10:14" x14ac:dyDescent="0.2">
      <c r="J956" s="206"/>
      <c r="N956" s="206"/>
    </row>
    <row r="957" spans="10:14" x14ac:dyDescent="0.2">
      <c r="J957" s="206"/>
      <c r="N957" s="206"/>
    </row>
    <row r="958" spans="10:14" x14ac:dyDescent="0.2">
      <c r="J958" s="206"/>
      <c r="N958" s="206"/>
    </row>
    <row r="959" spans="10:14" x14ac:dyDescent="0.2">
      <c r="J959" s="206"/>
      <c r="N959" s="206"/>
    </row>
    <row r="960" spans="10:14" x14ac:dyDescent="0.2">
      <c r="J960" s="206"/>
      <c r="N960" s="206"/>
    </row>
    <row r="961" spans="10:14" x14ac:dyDescent="0.2">
      <c r="J961" s="206"/>
      <c r="N961" s="206"/>
    </row>
    <row r="962" spans="10:14" x14ac:dyDescent="0.2">
      <c r="J962" s="206"/>
      <c r="N962" s="206"/>
    </row>
    <row r="963" spans="10:14" x14ac:dyDescent="0.2">
      <c r="J963" s="206"/>
      <c r="N963" s="206"/>
    </row>
    <row r="964" spans="10:14" x14ac:dyDescent="0.2">
      <c r="J964" s="206"/>
      <c r="N964" s="206"/>
    </row>
    <row r="965" spans="10:14" x14ac:dyDescent="0.2">
      <c r="J965" s="206"/>
      <c r="N965" s="206"/>
    </row>
    <row r="966" spans="10:14" x14ac:dyDescent="0.2">
      <c r="J966" s="206"/>
      <c r="N966" s="206"/>
    </row>
    <row r="967" spans="10:14" x14ac:dyDescent="0.2">
      <c r="J967" s="206"/>
      <c r="N967" s="206"/>
    </row>
    <row r="968" spans="10:14" x14ac:dyDescent="0.2">
      <c r="J968" s="206"/>
      <c r="N968" s="206"/>
    </row>
    <row r="969" spans="10:14" x14ac:dyDescent="0.2">
      <c r="J969" s="206"/>
      <c r="N969" s="206"/>
    </row>
    <row r="970" spans="10:14" x14ac:dyDescent="0.2">
      <c r="J970" s="206"/>
      <c r="N970" s="206"/>
    </row>
    <row r="971" spans="10:14" x14ac:dyDescent="0.2">
      <c r="J971" s="206"/>
      <c r="N971" s="206"/>
    </row>
    <row r="972" spans="10:14" x14ac:dyDescent="0.2">
      <c r="J972" s="206"/>
      <c r="N972" s="206"/>
    </row>
    <row r="973" spans="10:14" x14ac:dyDescent="0.2">
      <c r="J973" s="206"/>
      <c r="N973" s="206"/>
    </row>
    <row r="974" spans="10:14" x14ac:dyDescent="0.2">
      <c r="J974" s="206"/>
      <c r="N974" s="206"/>
    </row>
    <row r="975" spans="10:14" x14ac:dyDescent="0.2">
      <c r="J975" s="206"/>
      <c r="N975" s="206"/>
    </row>
    <row r="976" spans="10:14" x14ac:dyDescent="0.2">
      <c r="J976" s="206"/>
      <c r="N976" s="206"/>
    </row>
    <row r="977" spans="10:14" x14ac:dyDescent="0.2">
      <c r="J977" s="206"/>
      <c r="N977" s="206"/>
    </row>
    <row r="978" spans="10:14" x14ac:dyDescent="0.2">
      <c r="J978" s="206"/>
      <c r="N978" s="206"/>
    </row>
    <row r="979" spans="10:14" x14ac:dyDescent="0.2">
      <c r="J979" s="206"/>
      <c r="N979" s="206"/>
    </row>
    <row r="980" spans="10:14" x14ac:dyDescent="0.2">
      <c r="J980" s="206"/>
      <c r="N980" s="206"/>
    </row>
    <row r="981" spans="10:14" x14ac:dyDescent="0.2">
      <c r="J981" s="206"/>
      <c r="N981" s="206"/>
    </row>
    <row r="982" spans="10:14" x14ac:dyDescent="0.2">
      <c r="J982" s="206"/>
      <c r="N982" s="206"/>
    </row>
    <row r="983" spans="10:14" x14ac:dyDescent="0.2">
      <c r="J983" s="206"/>
      <c r="N983" s="206"/>
    </row>
    <row r="984" spans="10:14" x14ac:dyDescent="0.2">
      <c r="J984" s="206"/>
      <c r="N984" s="206"/>
    </row>
    <row r="985" spans="10:14" x14ac:dyDescent="0.2">
      <c r="J985" s="206"/>
      <c r="N985" s="206"/>
    </row>
    <row r="986" spans="10:14" x14ac:dyDescent="0.2">
      <c r="J986" s="206"/>
      <c r="N986" s="206"/>
    </row>
    <row r="987" spans="10:14" x14ac:dyDescent="0.2">
      <c r="J987" s="206"/>
      <c r="N987" s="206"/>
    </row>
    <row r="988" spans="10:14" x14ac:dyDescent="0.2">
      <c r="J988" s="206"/>
      <c r="N988" s="206"/>
    </row>
    <row r="989" spans="10:14" x14ac:dyDescent="0.2">
      <c r="J989" s="206"/>
      <c r="N989" s="206"/>
    </row>
    <row r="990" spans="10:14" x14ac:dyDescent="0.2">
      <c r="J990" s="206"/>
      <c r="N990" s="206"/>
    </row>
    <row r="991" spans="10:14" x14ac:dyDescent="0.2">
      <c r="J991" s="206"/>
      <c r="N991" s="206"/>
    </row>
    <row r="992" spans="10:14" x14ac:dyDescent="0.2">
      <c r="J992" s="206"/>
      <c r="N992" s="206"/>
    </row>
    <row r="993" spans="10:14" x14ac:dyDescent="0.2">
      <c r="J993" s="206"/>
      <c r="N993" s="206"/>
    </row>
    <row r="994" spans="10:14" x14ac:dyDescent="0.2">
      <c r="J994" s="206"/>
      <c r="N994" s="206"/>
    </row>
    <row r="995" spans="10:14" x14ac:dyDescent="0.2">
      <c r="J995" s="206"/>
      <c r="N995" s="206"/>
    </row>
    <row r="996" spans="10:14" x14ac:dyDescent="0.2">
      <c r="J996" s="206"/>
      <c r="N996" s="206"/>
    </row>
    <row r="997" spans="10:14" x14ac:dyDescent="0.2">
      <c r="J997" s="206"/>
      <c r="N997" s="206"/>
    </row>
    <row r="998" spans="10:14" x14ac:dyDescent="0.2">
      <c r="J998" s="206"/>
      <c r="N998" s="206"/>
    </row>
    <row r="999" spans="10:14" x14ac:dyDescent="0.2">
      <c r="J999" s="206"/>
      <c r="N999" s="206"/>
    </row>
    <row r="1000" spans="10:14" x14ac:dyDescent="0.2">
      <c r="J1000" s="206"/>
      <c r="N1000" s="206"/>
    </row>
    <row r="1001" spans="10:14" x14ac:dyDescent="0.2">
      <c r="J1001" s="206"/>
      <c r="N1001" s="206"/>
    </row>
    <row r="1002" spans="10:14" x14ac:dyDescent="0.2">
      <c r="J1002" s="206"/>
      <c r="N1002" s="206"/>
    </row>
    <row r="1003" spans="10:14" x14ac:dyDescent="0.2">
      <c r="J1003" s="206"/>
      <c r="N1003" s="206"/>
    </row>
    <row r="1004" spans="10:14" x14ac:dyDescent="0.2">
      <c r="J1004" s="206"/>
      <c r="N1004" s="206"/>
    </row>
    <row r="1005" spans="10:14" x14ac:dyDescent="0.2">
      <c r="J1005" s="206"/>
      <c r="N1005" s="206"/>
    </row>
    <row r="1006" spans="10:14" x14ac:dyDescent="0.2">
      <c r="J1006" s="206"/>
      <c r="N1006" s="206"/>
    </row>
    <row r="1007" spans="10:14" x14ac:dyDescent="0.2">
      <c r="J1007" s="206"/>
      <c r="N1007" s="206"/>
    </row>
    <row r="1008" spans="10:14" x14ac:dyDescent="0.2">
      <c r="J1008" s="206"/>
      <c r="N1008" s="206"/>
    </row>
    <row r="1009" spans="10:14" x14ac:dyDescent="0.2">
      <c r="J1009" s="206"/>
      <c r="N1009" s="206"/>
    </row>
    <row r="1010" spans="10:14" x14ac:dyDescent="0.2">
      <c r="J1010" s="206"/>
      <c r="N1010" s="206"/>
    </row>
    <row r="1011" spans="10:14" x14ac:dyDescent="0.2">
      <c r="J1011" s="206"/>
      <c r="N1011" s="206"/>
    </row>
    <row r="1012" spans="10:14" x14ac:dyDescent="0.2">
      <c r="J1012" s="206"/>
      <c r="N1012" s="206"/>
    </row>
    <row r="1013" spans="10:14" x14ac:dyDescent="0.2">
      <c r="J1013" s="206"/>
      <c r="N1013" s="206"/>
    </row>
    <row r="1014" spans="10:14" x14ac:dyDescent="0.2">
      <c r="J1014" s="206"/>
      <c r="N1014" s="206"/>
    </row>
    <row r="1015" spans="10:14" x14ac:dyDescent="0.2">
      <c r="J1015" s="206"/>
      <c r="N1015" s="206"/>
    </row>
    <row r="1016" spans="10:14" x14ac:dyDescent="0.2">
      <c r="J1016" s="206"/>
      <c r="N1016" s="206"/>
    </row>
    <row r="1017" spans="10:14" x14ac:dyDescent="0.2">
      <c r="J1017" s="206"/>
      <c r="N1017" s="206"/>
    </row>
    <row r="1018" spans="10:14" x14ac:dyDescent="0.2">
      <c r="J1018" s="206"/>
      <c r="N1018" s="206"/>
    </row>
    <row r="1019" spans="10:14" x14ac:dyDescent="0.2">
      <c r="J1019" s="206"/>
      <c r="N1019" s="206"/>
    </row>
    <row r="1020" spans="10:14" x14ac:dyDescent="0.2">
      <c r="J1020" s="206"/>
      <c r="N1020" s="206"/>
    </row>
    <row r="1021" spans="10:14" x14ac:dyDescent="0.2">
      <c r="J1021" s="206"/>
      <c r="N1021" s="206"/>
    </row>
    <row r="1022" spans="10:14" x14ac:dyDescent="0.2">
      <c r="J1022" s="206"/>
      <c r="N1022" s="206"/>
    </row>
    <row r="1023" spans="10:14" x14ac:dyDescent="0.2">
      <c r="J1023" s="206"/>
      <c r="N1023" s="206"/>
    </row>
    <row r="1024" spans="10:14" x14ac:dyDescent="0.2">
      <c r="J1024" s="206"/>
      <c r="N1024" s="206"/>
    </row>
    <row r="1025" spans="10:14" x14ac:dyDescent="0.2">
      <c r="J1025" s="206"/>
      <c r="N1025" s="206"/>
    </row>
    <row r="1026" spans="10:14" x14ac:dyDescent="0.2">
      <c r="J1026" s="206"/>
      <c r="N1026" s="206"/>
    </row>
  </sheetData>
  <mergeCells count="50">
    <mergeCell ref="F264:G264"/>
    <mergeCell ref="H264:I264"/>
    <mergeCell ref="F261:G261"/>
    <mergeCell ref="H261:I261"/>
    <mergeCell ref="F262:G262"/>
    <mergeCell ref="H262:I262"/>
    <mergeCell ref="F263:G263"/>
    <mergeCell ref="H263:I263"/>
    <mergeCell ref="F258:G258"/>
    <mergeCell ref="H258:I258"/>
    <mergeCell ref="F259:G259"/>
    <mergeCell ref="H259:I259"/>
    <mergeCell ref="F260:G260"/>
    <mergeCell ref="H260:I260"/>
    <mergeCell ref="C257:D257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W97:X97"/>
    <mergeCell ref="C98:D98"/>
    <mergeCell ref="X108:Y108"/>
    <mergeCell ref="C245:D245"/>
    <mergeCell ref="C120:D120"/>
    <mergeCell ref="X144:Y144"/>
    <mergeCell ref="F160:J160"/>
    <mergeCell ref="C161:D161"/>
    <mergeCell ref="F193:J193"/>
    <mergeCell ref="C194:D194"/>
    <mergeCell ref="F224:J224"/>
    <mergeCell ref="C225:D225"/>
    <mergeCell ref="B242:I242"/>
    <mergeCell ref="C243:D243"/>
    <mergeCell ref="C244:D244"/>
    <mergeCell ref="F119:J119"/>
    <mergeCell ref="C44:D44"/>
    <mergeCell ref="F97:J97"/>
    <mergeCell ref="F1:J1"/>
    <mergeCell ref="K1:N1"/>
    <mergeCell ref="C2:D2"/>
    <mergeCell ref="I2:J2"/>
    <mergeCell ref="F43:J43"/>
    <mergeCell ref="K43:N43"/>
  </mergeCells>
  <pageMargins left="0.7" right="0.7" top="0.78740157499999996" bottom="0.78740157499999996" header="0.3" footer="0.3"/>
  <pageSetup paperSize="9" scale="34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13D5-09D7-44FB-8401-A9ED0DE82A77}">
  <dimension ref="A1:I37"/>
  <sheetViews>
    <sheetView topLeftCell="A19" zoomScale="160" zoomScaleNormal="160" workbookViewId="0">
      <selection activeCell="B33" sqref="B33"/>
    </sheetView>
  </sheetViews>
  <sheetFormatPr baseColWidth="10" defaultRowHeight="14.25" x14ac:dyDescent="0.2"/>
  <cols>
    <col min="1" max="1" width="34.75" style="253" customWidth="1"/>
    <col min="2" max="7" width="8.125" style="253" customWidth="1"/>
    <col min="8" max="8" width="3.75" style="253" customWidth="1"/>
    <col min="9" max="9" width="58.125" style="253" customWidth="1"/>
    <col min="10" max="16384" width="11" style="253"/>
  </cols>
  <sheetData>
    <row r="1" spans="1:9" ht="15" x14ac:dyDescent="0.25">
      <c r="A1" s="364" t="s">
        <v>331</v>
      </c>
      <c r="B1" s="365"/>
      <c r="C1" s="365"/>
      <c r="D1" s="284"/>
      <c r="E1" s="285"/>
      <c r="F1" s="285"/>
      <c r="G1" s="285"/>
      <c r="H1" s="252"/>
      <c r="I1" s="252"/>
    </row>
    <row r="2" spans="1:9" ht="14.25" customHeight="1" thickBot="1" x14ac:dyDescent="0.25">
      <c r="A2" s="362" t="s">
        <v>398</v>
      </c>
      <c r="B2" s="363"/>
      <c r="C2" s="363"/>
      <c r="D2" s="286"/>
      <c r="E2" s="287"/>
      <c r="F2" s="287"/>
      <c r="G2" s="287"/>
      <c r="H2" s="252"/>
      <c r="I2" s="252"/>
    </row>
    <row r="3" spans="1:9" ht="18.75" customHeight="1" x14ac:dyDescent="0.2">
      <c r="A3" s="288" t="s">
        <v>276</v>
      </c>
      <c r="B3" s="204">
        <v>5487</v>
      </c>
      <c r="C3" s="289" t="s">
        <v>282</v>
      </c>
      <c r="D3" s="290"/>
      <c r="E3" s="291"/>
      <c r="F3" s="291"/>
      <c r="G3" s="271"/>
      <c r="H3" s="257"/>
      <c r="I3" s="252"/>
    </row>
    <row r="4" spans="1:9" ht="4.5" customHeight="1" x14ac:dyDescent="0.2">
      <c r="A4" s="325"/>
      <c r="B4" s="326"/>
      <c r="C4" s="326"/>
      <c r="D4" s="292"/>
      <c r="E4" s="257"/>
      <c r="F4" s="257"/>
      <c r="G4" s="257"/>
      <c r="H4" s="257"/>
      <c r="I4" s="252"/>
    </row>
    <row r="5" spans="1:9" ht="18.75" customHeight="1" x14ac:dyDescent="0.2">
      <c r="A5" s="254" t="s">
        <v>363</v>
      </c>
      <c r="B5" s="317">
        <v>1</v>
      </c>
      <c r="C5" s="293" t="s">
        <v>12</v>
      </c>
      <c r="D5" s="361"/>
      <c r="E5" s="361"/>
      <c r="F5" s="361"/>
      <c r="G5" s="361"/>
      <c r="H5" s="252"/>
      <c r="I5" s="252"/>
    </row>
    <row r="6" spans="1:9" ht="4.5" customHeight="1" x14ac:dyDescent="0.2">
      <c r="A6" s="325"/>
      <c r="B6" s="326"/>
      <c r="C6" s="327"/>
      <c r="D6" s="257"/>
      <c r="E6" s="257"/>
      <c r="F6" s="257"/>
      <c r="G6" s="257"/>
      <c r="H6" s="257"/>
      <c r="I6" s="252"/>
    </row>
    <row r="7" spans="1:9" ht="18.75" customHeight="1" x14ac:dyDescent="0.2">
      <c r="A7" s="254" t="s">
        <v>301</v>
      </c>
      <c r="B7" s="205">
        <v>100</v>
      </c>
      <c r="C7" s="293" t="s">
        <v>304</v>
      </c>
      <c r="D7" s="361" t="s">
        <v>369</v>
      </c>
      <c r="E7" s="361"/>
      <c r="F7" s="361"/>
      <c r="G7" s="361"/>
      <c r="H7" s="252"/>
      <c r="I7" s="252"/>
    </row>
    <row r="8" spans="1:9" ht="4.5" customHeight="1" x14ac:dyDescent="0.2">
      <c r="A8" s="325"/>
      <c r="B8" s="326"/>
      <c r="C8" s="326"/>
      <c r="D8" s="290"/>
      <c r="E8" s="294"/>
      <c r="F8" s="294"/>
      <c r="G8" s="294"/>
      <c r="H8" s="295"/>
      <c r="I8" s="252"/>
    </row>
    <row r="9" spans="1:9" ht="18.75" customHeight="1" x14ac:dyDescent="0.2">
      <c r="A9" s="254" t="s">
        <v>370</v>
      </c>
      <c r="B9" s="205">
        <v>300</v>
      </c>
      <c r="C9" s="296" t="s">
        <v>12</v>
      </c>
      <c r="D9" s="360" t="s">
        <v>371</v>
      </c>
      <c r="E9" s="361"/>
      <c r="F9" s="361"/>
      <c r="G9" s="361"/>
      <c r="H9" s="361"/>
      <c r="I9" s="252"/>
    </row>
    <row r="10" spans="1:9" ht="4.5" customHeight="1" thickBot="1" x14ac:dyDescent="0.25">
      <c r="A10" s="325"/>
      <c r="B10" s="326"/>
      <c r="C10" s="327"/>
      <c r="D10" s="257"/>
      <c r="E10" s="257"/>
      <c r="F10" s="257"/>
      <c r="G10" s="257"/>
      <c r="H10" s="261"/>
      <c r="I10" s="252"/>
    </row>
    <row r="11" spans="1:9" ht="18" customHeight="1" x14ac:dyDescent="0.2">
      <c r="A11" s="366" t="s">
        <v>368</v>
      </c>
      <c r="B11" s="297" t="s">
        <v>333</v>
      </c>
      <c r="C11" s="298" t="s">
        <v>39</v>
      </c>
      <c r="D11" s="299" t="s">
        <v>135</v>
      </c>
      <c r="E11" s="299" t="s">
        <v>290</v>
      </c>
      <c r="F11" s="299" t="s">
        <v>390</v>
      </c>
      <c r="G11" s="299" t="s">
        <v>395</v>
      </c>
      <c r="H11" s="300"/>
      <c r="I11" s="360" t="s">
        <v>335</v>
      </c>
    </row>
    <row r="12" spans="1:9" ht="18" customHeight="1" thickBot="1" x14ac:dyDescent="0.25">
      <c r="A12" s="367"/>
      <c r="B12" s="205">
        <v>0</v>
      </c>
      <c r="C12" s="205">
        <v>0</v>
      </c>
      <c r="D12" s="248">
        <v>0</v>
      </c>
      <c r="E12" s="248">
        <v>5761</v>
      </c>
      <c r="F12" s="248">
        <v>0</v>
      </c>
      <c r="G12" s="248">
        <v>0</v>
      </c>
      <c r="H12" s="301" t="s">
        <v>285</v>
      </c>
      <c r="I12" s="360"/>
    </row>
    <row r="13" spans="1:9" ht="4.5" customHeight="1" x14ac:dyDescent="0.2">
      <c r="A13" s="325"/>
      <c r="B13" s="326"/>
      <c r="C13" s="326"/>
      <c r="D13" s="292"/>
      <c r="E13" s="257"/>
      <c r="F13" s="257"/>
      <c r="G13" s="257"/>
      <c r="H13" s="257"/>
      <c r="I13" s="252"/>
    </row>
    <row r="14" spans="1:9" ht="22.5" customHeight="1" x14ac:dyDescent="0.2">
      <c r="A14" s="254" t="s">
        <v>249</v>
      </c>
      <c r="B14" s="205">
        <v>270</v>
      </c>
      <c r="C14" s="296" t="s">
        <v>200</v>
      </c>
      <c r="D14" s="360" t="s">
        <v>321</v>
      </c>
      <c r="E14" s="361"/>
      <c r="F14" s="361"/>
      <c r="G14" s="361"/>
      <c r="H14" s="361"/>
      <c r="I14" s="252"/>
    </row>
    <row r="15" spans="1:9" ht="4.5" customHeight="1" x14ac:dyDescent="0.2">
      <c r="A15" s="325"/>
      <c r="B15" s="326"/>
      <c r="C15" s="326"/>
      <c r="D15" s="292"/>
      <c r="E15" s="257"/>
      <c r="F15" s="257"/>
      <c r="G15" s="257"/>
      <c r="H15" s="257"/>
      <c r="I15" s="252"/>
    </row>
    <row r="16" spans="1:9" ht="22.5" customHeight="1" x14ac:dyDescent="0.2">
      <c r="A16" s="254" t="s">
        <v>397</v>
      </c>
      <c r="B16" s="205">
        <v>48</v>
      </c>
      <c r="C16" s="296" t="s">
        <v>281</v>
      </c>
      <c r="D16" s="360" t="s">
        <v>378</v>
      </c>
      <c r="E16" s="361"/>
      <c r="F16" s="361"/>
      <c r="G16" s="361"/>
      <c r="H16" s="361"/>
      <c r="I16" s="252"/>
    </row>
    <row r="17" spans="1:9" ht="18.75" customHeight="1" x14ac:dyDescent="0.2">
      <c r="A17" s="263" t="s">
        <v>313</v>
      </c>
      <c r="B17" s="251">
        <f>'Calculation SW'!H14</f>
        <v>355.55760000000004</v>
      </c>
      <c r="C17" s="264" t="s">
        <v>200</v>
      </c>
      <c r="D17" s="260" t="s">
        <v>302</v>
      </c>
      <c r="G17" s="322"/>
      <c r="H17" s="322"/>
      <c r="I17" s="252"/>
    </row>
    <row r="18" spans="1:9" ht="4.5" customHeight="1" x14ac:dyDescent="0.2">
      <c r="A18" s="370"/>
      <c r="B18" s="371"/>
      <c r="C18" s="372"/>
      <c r="D18" s="292"/>
      <c r="E18" s="257"/>
      <c r="F18" s="257"/>
      <c r="G18" s="257"/>
      <c r="H18" s="257"/>
      <c r="I18" s="252"/>
    </row>
    <row r="19" spans="1:9" ht="21.75" customHeight="1" x14ac:dyDescent="0.2">
      <c r="A19" s="254" t="s">
        <v>243</v>
      </c>
      <c r="B19" s="205">
        <v>13971</v>
      </c>
      <c r="C19" s="323" t="s">
        <v>200</v>
      </c>
      <c r="D19" s="360" t="s">
        <v>337</v>
      </c>
      <c r="E19" s="361"/>
      <c r="F19" s="361"/>
      <c r="G19" s="361"/>
      <c r="H19" s="361"/>
      <c r="I19" s="252"/>
    </row>
    <row r="20" spans="1:9" ht="4.5" customHeight="1" x14ac:dyDescent="0.2">
      <c r="A20" s="325"/>
      <c r="B20" s="326"/>
      <c r="C20" s="326"/>
      <c r="D20" s="292"/>
      <c r="E20" s="257"/>
      <c r="F20" s="257"/>
      <c r="G20" s="257"/>
      <c r="H20" s="257"/>
      <c r="I20" s="252"/>
    </row>
    <row r="21" spans="1:9" ht="22.5" customHeight="1" x14ac:dyDescent="0.2">
      <c r="A21" s="254" t="s">
        <v>305</v>
      </c>
      <c r="B21" s="205">
        <v>500</v>
      </c>
      <c r="C21" s="296" t="s">
        <v>303</v>
      </c>
      <c r="D21" s="360" t="s">
        <v>388</v>
      </c>
      <c r="E21" s="361"/>
      <c r="F21" s="361"/>
      <c r="G21" s="361"/>
      <c r="H21" s="361"/>
      <c r="I21" s="252"/>
    </row>
    <row r="22" spans="1:9" ht="4.5" customHeight="1" x14ac:dyDescent="0.2">
      <c r="A22" s="325"/>
      <c r="B22" s="326"/>
      <c r="C22" s="326"/>
      <c r="D22" s="292"/>
      <c r="E22" s="257"/>
      <c r="F22" s="257"/>
      <c r="G22" s="257"/>
      <c r="H22" s="257"/>
      <c r="I22" s="252"/>
    </row>
    <row r="23" spans="1:9" ht="18.75" customHeight="1" x14ac:dyDescent="0.2">
      <c r="A23" s="254" t="s">
        <v>314</v>
      </c>
      <c r="B23" s="205">
        <v>100</v>
      </c>
      <c r="C23" s="296" t="s">
        <v>161</v>
      </c>
      <c r="D23" s="360" t="s">
        <v>389</v>
      </c>
      <c r="E23" s="361"/>
      <c r="F23" s="361"/>
      <c r="G23" s="361"/>
      <c r="H23" s="361"/>
      <c r="I23" s="252"/>
    </row>
    <row r="24" spans="1:9" ht="4.5" customHeight="1" x14ac:dyDescent="0.2">
      <c r="A24" s="325"/>
      <c r="B24" s="326"/>
      <c r="C24" s="326"/>
      <c r="D24" s="292"/>
      <c r="E24" s="257"/>
      <c r="F24" s="257"/>
      <c r="G24" s="257"/>
      <c r="H24" s="257"/>
      <c r="I24" s="252"/>
    </row>
    <row r="25" spans="1:9" ht="22.5" customHeight="1" thickBot="1" x14ac:dyDescent="0.25">
      <c r="A25" s="280" t="s">
        <v>306</v>
      </c>
      <c r="B25" s="226">
        <v>250</v>
      </c>
      <c r="C25" s="302" t="s">
        <v>307</v>
      </c>
      <c r="D25" s="303" t="s">
        <v>316</v>
      </c>
      <c r="E25" s="291"/>
      <c r="F25" s="291"/>
      <c r="G25" s="304"/>
      <c r="H25" s="271"/>
      <c r="I25" s="252"/>
    </row>
    <row r="26" spans="1:9" ht="14.25" customHeight="1" thickBot="1" x14ac:dyDescent="0.25">
      <c r="A26" s="328"/>
      <c r="B26" s="329"/>
      <c r="C26" s="330"/>
      <c r="D26" s="252"/>
      <c r="E26" s="252"/>
      <c r="F26" s="252"/>
      <c r="G26" s="252"/>
      <c r="H26" s="252"/>
      <c r="I26" s="252"/>
    </row>
    <row r="27" spans="1:9" ht="18.75" customHeight="1" thickBot="1" x14ac:dyDescent="0.25">
      <c r="A27" s="268" t="s">
        <v>327</v>
      </c>
      <c r="B27" s="269">
        <f>SUM(B30:B36)</f>
        <v>1646.7734734471999</v>
      </c>
      <c r="C27" s="305" t="s">
        <v>341</v>
      </c>
      <c r="D27" s="306"/>
      <c r="E27" s="306"/>
      <c r="F27" s="306"/>
      <c r="G27" s="304"/>
      <c r="H27" s="271"/>
      <c r="I27" s="252"/>
    </row>
    <row r="28" spans="1:9" ht="9" customHeight="1" x14ac:dyDescent="0.2">
      <c r="A28" s="359"/>
      <c r="B28" s="359"/>
      <c r="C28" s="359"/>
      <c r="D28" s="252"/>
      <c r="E28" s="252"/>
      <c r="F28" s="252"/>
      <c r="G28" s="252"/>
      <c r="H28" s="252"/>
      <c r="I28" s="252"/>
    </row>
    <row r="29" spans="1:9" ht="18.75" x14ac:dyDescent="0.35">
      <c r="A29" s="272" t="s">
        <v>329</v>
      </c>
      <c r="B29" s="273" t="s">
        <v>328</v>
      </c>
      <c r="C29" s="252"/>
      <c r="D29" s="252"/>
      <c r="E29" s="252"/>
      <c r="F29" s="252"/>
      <c r="G29" s="252"/>
      <c r="H29" s="252"/>
      <c r="I29" s="252"/>
    </row>
    <row r="30" spans="1:9" x14ac:dyDescent="0.2">
      <c r="A30" s="274" t="s">
        <v>111</v>
      </c>
      <c r="B30" s="275">
        <f>'Calculation SW'!L15</f>
        <v>1363.5327869599998</v>
      </c>
      <c r="C30" s="252"/>
      <c r="D30" s="252"/>
      <c r="E30" s="252"/>
      <c r="F30" s="252"/>
      <c r="G30" s="252"/>
      <c r="H30" s="252"/>
      <c r="I30" s="252"/>
    </row>
    <row r="31" spans="1:9" x14ac:dyDescent="0.2">
      <c r="A31" s="274" t="s">
        <v>112</v>
      </c>
      <c r="B31" s="275">
        <f>'Calculation SW'!L51+(0.07*('Calculation SW'!L5+'Calculation SW'!L6+'Calculation SW'!L7+'Calculation SW'!L8+'Calculation SW'!L9+'Calculation SW'!L11))</f>
        <v>112.43820488719999</v>
      </c>
      <c r="C31" s="276"/>
      <c r="D31" s="252"/>
      <c r="E31" s="252"/>
      <c r="F31" s="252"/>
      <c r="G31" s="252"/>
      <c r="H31" s="252"/>
      <c r="I31" s="252"/>
    </row>
    <row r="32" spans="1:9" x14ac:dyDescent="0.2">
      <c r="A32" s="274" t="s">
        <v>110</v>
      </c>
      <c r="B32" s="275">
        <f>'Calculation SW'!L103</f>
        <v>35.043199999999999</v>
      </c>
      <c r="C32" s="252"/>
      <c r="D32" s="252"/>
      <c r="E32" s="252"/>
      <c r="F32" s="252"/>
      <c r="G32" s="252"/>
      <c r="H32" s="252"/>
      <c r="I32" s="252"/>
    </row>
    <row r="33" spans="1:9" x14ac:dyDescent="0.2">
      <c r="A33" s="274" t="s">
        <v>324</v>
      </c>
      <c r="B33" s="275">
        <f>'Calculation SW'!J131</f>
        <v>8.0483315999999991</v>
      </c>
      <c r="C33" s="252"/>
      <c r="D33" s="252"/>
      <c r="E33" s="252"/>
      <c r="F33" s="252"/>
      <c r="G33" s="252"/>
      <c r="H33" s="252"/>
      <c r="I33" s="252"/>
    </row>
    <row r="34" spans="1:9" x14ac:dyDescent="0.2">
      <c r="A34" s="274" t="s">
        <v>325</v>
      </c>
      <c r="B34" s="275">
        <f>'Calculation SW'!L168</f>
        <v>115.28187</v>
      </c>
      <c r="C34" s="252"/>
      <c r="D34" s="252"/>
      <c r="E34" s="252"/>
      <c r="F34" s="252"/>
      <c r="G34" s="252"/>
      <c r="H34" s="252"/>
      <c r="I34" s="252"/>
    </row>
    <row r="35" spans="1:9" x14ac:dyDescent="0.2">
      <c r="A35" s="274" t="s">
        <v>163</v>
      </c>
      <c r="B35" s="277">
        <f>'Calculation SW'!L204</f>
        <v>7.8199999999999994</v>
      </c>
      <c r="C35" s="278"/>
      <c r="D35" s="252"/>
      <c r="E35" s="252"/>
      <c r="F35" s="252"/>
      <c r="G35" s="252"/>
      <c r="H35" s="252"/>
      <c r="I35" s="252"/>
    </row>
    <row r="36" spans="1:9" x14ac:dyDescent="0.2">
      <c r="A36" s="274" t="s">
        <v>326</v>
      </c>
      <c r="B36" s="277">
        <f>'Calculation SW'!L230</f>
        <v>4.6090800000000005</v>
      </c>
      <c r="C36" s="252"/>
      <c r="D36" s="252"/>
      <c r="E36" s="252"/>
      <c r="F36" s="252"/>
      <c r="G36" s="252"/>
      <c r="H36" s="252"/>
      <c r="I36" s="252"/>
    </row>
    <row r="37" spans="1:9" x14ac:dyDescent="0.2">
      <c r="A37" s="252"/>
      <c r="B37" s="252"/>
      <c r="C37" s="252"/>
      <c r="D37" s="252"/>
      <c r="E37" s="252"/>
      <c r="F37" s="252"/>
      <c r="G37" s="252"/>
      <c r="H37" s="252"/>
      <c r="I37" s="252"/>
    </row>
  </sheetData>
  <sheetProtection formatCells="0" formatColumns="0" formatRows="0" insertColumns="0" insertRows="0" insertHyperlinks="0" deleteColumns="0" deleteRows="0" sort="0" autoFilter="0" pivotTables="0"/>
  <mergeCells count="24">
    <mergeCell ref="I11:I12"/>
    <mergeCell ref="A13:C13"/>
    <mergeCell ref="D14:H14"/>
    <mergeCell ref="A15:C15"/>
    <mergeCell ref="A1:C1"/>
    <mergeCell ref="A2:C2"/>
    <mergeCell ref="A4:C4"/>
    <mergeCell ref="D7:G7"/>
    <mergeCell ref="A8:C8"/>
    <mergeCell ref="D9:H9"/>
    <mergeCell ref="A26:C26"/>
    <mergeCell ref="A28:C28"/>
    <mergeCell ref="D5:G5"/>
    <mergeCell ref="D16:H16"/>
    <mergeCell ref="A6:C6"/>
    <mergeCell ref="A18:C18"/>
    <mergeCell ref="D19:H19"/>
    <mergeCell ref="A20:C20"/>
    <mergeCell ref="D21:H21"/>
    <mergeCell ref="A22:C22"/>
    <mergeCell ref="D23:H23"/>
    <mergeCell ref="A24:C24"/>
    <mergeCell ref="A10:C10"/>
    <mergeCell ref="A11:A12"/>
  </mergeCells>
  <pageMargins left="0.7" right="0.7" top="0.78740157499999996" bottom="0.78740157499999996" header="0.3" footer="0.3"/>
  <pageSetup paperSize="9"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2</vt:i4>
      </vt:variant>
    </vt:vector>
  </HeadingPairs>
  <TitlesOfParts>
    <vt:vector size="14" baseType="lpstr">
      <vt:lpstr>Anker</vt:lpstr>
      <vt:lpstr>Calculations Anker</vt:lpstr>
      <vt:lpstr>MIP550-Verbauwand</vt:lpstr>
      <vt:lpstr>Calculations MIP-VW</vt:lpstr>
      <vt:lpstr>MIP550-Dichtwand</vt:lpstr>
      <vt:lpstr>Calculations MIP-DW</vt:lpstr>
      <vt:lpstr>Pfahl - Pfahlwand</vt:lpstr>
      <vt:lpstr>Calculation Pfähle</vt:lpstr>
      <vt:lpstr>Schlitzwand</vt:lpstr>
      <vt:lpstr>Calculation SW</vt:lpstr>
      <vt:lpstr>EFFC</vt:lpstr>
      <vt:lpstr>EFFC (2)</vt:lpstr>
      <vt:lpstr>'Pfahl - Pfahlwand'!Druckbereich</vt:lpstr>
      <vt:lpstr>Schlitzwand!Druckbereich</vt:lpstr>
    </vt:vector>
  </TitlesOfParts>
  <Company>BAUER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Siegert, Simon</dc:creator>
  <cp:lastModifiedBy>Nguyen Luan</cp:lastModifiedBy>
  <cp:lastPrinted>2022-07-28T14:57:56Z</cp:lastPrinted>
  <dcterms:created xsi:type="dcterms:W3CDTF">2020-04-20T09:11:07Z</dcterms:created>
  <dcterms:modified xsi:type="dcterms:W3CDTF">2022-11-04T12:54:21Z</dcterms:modified>
</cp:coreProperties>
</file>